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6.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33BBC38B-C2DA-FC69-06AC-9F67D96B6324}"/>
  <workbookPr codeName="ThisWorkbook" defaultThemeVersion="124226"/>
  <mc:AlternateContent xmlns:mc="http://schemas.openxmlformats.org/markup-compatibility/2006">
    <mc:Choice Requires="x15">
      <x15ac:absPath xmlns:x15ac="http://schemas.microsoft.com/office/spreadsheetml/2010/11/ac" url="G:\OneDrive\Documents\work\BuildAlt\_calculators\NFBA PFBDM 2015\"/>
    </mc:Choice>
  </mc:AlternateContent>
  <bookViews>
    <workbookView xWindow="0" yWindow="0" windowWidth="11580" windowHeight="9915" tabRatio="811" activeTab="5"/>
  </bookViews>
  <sheets>
    <sheet name="design_loads" sheetId="11" r:id="rId1"/>
    <sheet name="NBCC_C-2" sheetId="12" state="hidden" r:id="rId2"/>
    <sheet name="NBCC_I-7" sheetId="9" r:id="rId3"/>
    <sheet name="NBCC_G-1" sheetId="10" r:id="rId4"/>
    <sheet name="inputs" sheetId="14" r:id="rId5"/>
    <sheet name="DAFI" sheetId="15" r:id="rId6"/>
    <sheet name="O86" sheetId="16" r:id="rId7"/>
    <sheet name="O86 T5.3.1" sheetId="17" r:id="rId8"/>
    <sheet name="matrix" sheetId="8" r:id="rId9"/>
    <sheet name="scheme" sheetId="7" r:id="rId10"/>
    <sheet name="PFBDM T6.1" sheetId="18" r:id="rId11"/>
    <sheet name="ASAE EP486.1" sheetId="20" r:id="rId12"/>
    <sheet name="ASAE EP486.1 T1" sheetId="19" r:id="rId13"/>
  </sheets>
  <functionGroups builtInGroupCount="18"/>
  <definedNames>
    <definedName name="_bldg_height_truss">inputs!$K$19</definedName>
    <definedName name="_bldg_height_wall">inputs!$K$15</definedName>
    <definedName name="_bldg_length">inputs!$K$10</definedName>
    <definedName name="_bldg_nb">inputs!$K$5</definedName>
    <definedName name="_bldg_nf">inputs!$K$4</definedName>
    <definedName name="_bldg_np1">inputs!$K$20</definedName>
    <definedName name="_bldg_npnf">inputs!$K$21</definedName>
    <definedName name="_bldg_s">inputs!$K$8</definedName>
    <definedName name="_bldg_theta">inputs!$K$17</definedName>
    <definedName name="_bldg_width">inputs!$K$12</definedName>
    <definedName name="_Ce">'NBCC_I-7'!$K$18</definedName>
    <definedName name="_Cg">'NBCC_I-7'!$K$22</definedName>
    <definedName name="_Cgi">'NBCC_I-7'!$K$21</definedName>
    <definedName name="_Cpimax">'NBCC_I-7'!$K$15</definedName>
    <definedName name="_Cpimin">'NBCC_I-7'!$K$14</definedName>
    <definedName name="_Cs">'NBCC_G-1'!$E$13</definedName>
    <definedName name="_Cw">'NBCC_G-1'!$E$12</definedName>
    <definedName name="_diaph_PFBDM_T6.1">'PFBDM T6.1'!$B$3:$G$17</definedName>
    <definedName name="_diaph_test_panel_index">inputs!$G$42</definedName>
    <definedName name="_fl">inputs!$K$35</definedName>
    <definedName name="_fw">inputs!$K$34</definedName>
    <definedName name="_load_I">'NBCC_G-1'!$E$5</definedName>
    <definedName name="_load_q">inputs!$K$68</definedName>
    <definedName name="_load_Sr">inputs!$K$67</definedName>
    <definedName name="_load_Ss">inputs!$K$66</definedName>
    <definedName name="_post_b">inputs!$K$27</definedName>
    <definedName name="_post_b_avail">'O86'!$J$100:$J$110</definedName>
    <definedName name="_post_b_index">inputs!$G$26</definedName>
    <definedName name="_post_b1">'O86'!$B$100:$B$105</definedName>
    <definedName name="_post_b1_mm">'O86'!$C$100:$C$105</definedName>
    <definedName name="_post_b2">'O86'!$D$100:$D$110</definedName>
    <definedName name="_post_b2_mm">'O86'!$E$100:$E$110</definedName>
    <definedName name="_post_collar_index">'ASAE EP486.1'!$H$14</definedName>
    <definedName name="_post_condition_collar">'ASAE EP486.1'!$S$9:$S$10</definedName>
    <definedName name="_post_condition_constraint">'ASAE EP486.1'!$S$5:$S$6</definedName>
    <definedName name="_post_condition_fixity">inputs!$Q$27:$Q$29</definedName>
    <definedName name="_post_constraint_index">'ASAE EP486.1'!$H$13</definedName>
    <definedName name="_post_d">inputs!$K$29</definedName>
    <definedName name="_post_d_avail">'O86'!$K$100:$K$110</definedName>
    <definedName name="_post_d_index">inputs!$G$28</definedName>
    <definedName name="_post_d1">'O86'!$F$100:$F$109</definedName>
    <definedName name="_post_d1_mm">'O86'!$G$100:$G$109</definedName>
    <definedName name="_post_d2">'O86'!$H$100:$H$110</definedName>
    <definedName name="_post_d2_mm">'O86'!$I$100:$I$110</definedName>
    <definedName name="_post_E">inputs!$K$32</definedName>
    <definedName name="_post_fixity_index">inputs!$G$34</definedName>
    <definedName name="_post_grade_index">inputs!$G$25</definedName>
    <definedName name="_post_grade_O86_T5.3.1">'O86 T5.3.1'!$W$6:$W$8</definedName>
    <definedName name="_post_I">inputs!$K$31</definedName>
    <definedName name="_post_nply">inputs!$K$30</definedName>
    <definedName name="_post_O86_T5.3.1">'O86 T5.3.1'!$H$6:$P$29</definedName>
    <definedName name="_post_species_index">inputs!$G$24</definedName>
    <definedName name="_post_species_O86_T5.3.1">'O86 T5.3.1'!$T$6:$T$9</definedName>
    <definedName name="_post_type_index">inputs!$G$23</definedName>
    <definedName name="_post_type_O86_T5.3.1">'O86 T5.3.1'!$S$6:$S$7</definedName>
    <definedName name="_soil_ASAE_EP486.1_T1">'ASAE EP486.1 T1'!$B$5:$M$12</definedName>
    <definedName name="_soil_kcs">'ASAE EP486.1'!$N$7</definedName>
    <definedName name="_soil_nhSv">'ASAE EP486.1'!$N$11</definedName>
    <definedName name="_soil_phi">'ASAE EP486.1'!$N$9</definedName>
    <definedName name="_soil_rho">'ASAE EP486.1'!$N$10</definedName>
    <definedName name="_soil_S">'ASAE EP486.1'!$N$6</definedName>
    <definedName name="_soil_Sy">'ASAE EP486.1'!$N$8</definedName>
    <definedName name="_soil_type">'ASAE EP486.1 T1'!$B$5:$B$12</definedName>
    <definedName name="_soil_type_index">'ASAE EP486.1'!$H$4</definedName>
    <definedName name="inputs_chi">inputs!$K$52</definedName>
    <definedName name="inputs_ke1">inputs!$K$36</definedName>
    <definedName name="inputs_kenf">inputs!$K$38</definedName>
    <definedName name="inputs_ki">inputs!$K$37</definedName>
    <definedName name="inputs_Pe">inputs!$K$87</definedName>
    <definedName name="inputs_Pi">inputs!$K$86</definedName>
    <definedName name="KB">'O86'!$C$52:$C$58</definedName>
    <definedName name="KB_length">'O86'!$B$52:$B$58</definedName>
    <definedName name="KD_duration">'O86'!$B$4:$B$6</definedName>
    <definedName name="KD_value">'O86'!$C$4:$C$6</definedName>
    <definedName name="Ke">'O86'!$C$85:$C$96</definedName>
    <definedName name="Ke_condition">'O86'!$B$85:$B$96</definedName>
    <definedName name="KH_0">'O86'!$D$26:$D$30</definedName>
    <definedName name="KH_1">'O86'!$E$26:$E$30</definedName>
    <definedName name="KH_2">'O86'!$F$26:$F$30</definedName>
    <definedName name="KH_property">'O86'!$C$26:$C$30</definedName>
    <definedName name="KH_system">'O86'!$B$26:$B$28</definedName>
    <definedName name="KL_condition">'O86'!$B$62:$B$66</definedName>
    <definedName name="KL_dbratio">'O86'!$C$62:$C$66</definedName>
    <definedName name="KS_condition">'O86'!$B$10:$B$11</definedName>
    <definedName name="KS_dry">'O86'!$D$10:$D$16</definedName>
    <definedName name="KS_property">'O86'!$C$10:$C$16</definedName>
    <definedName name="KS_wet_size">'O86'!$G$10</definedName>
    <definedName name="KS_wet1">'O86'!$E$10:$E$16</definedName>
    <definedName name="KS_wet2">'O86'!$F$10:$F$16</definedName>
    <definedName name="KT_dry">'O86'!$C$20:$C$22</definedName>
    <definedName name="KT_treatment">'O86'!$B$20:$B$22</definedName>
    <definedName name="KT_wet">'O86'!$D$20:$D$22</definedName>
    <definedName name="KTE_dry">'O86'!$E$20:$E$22</definedName>
    <definedName name="KTE_wet">'O86'!$F$20:$F$22</definedName>
    <definedName name="KZ_b">'O86'!$B$34:$B$36</definedName>
    <definedName name="KZ_d">'O86'!$C$34:$C$43</definedName>
    <definedName name="KZbv_1">'O86'!$D$34:$D$43</definedName>
    <definedName name="KZbv_2">'O86'!$E$34:$E$43</definedName>
    <definedName name="KZbv_3">'O86'!$F$34:$F$43</definedName>
    <definedName name="KZcp">'O86'!$C$47:$C$48</definedName>
    <definedName name="KZcp_ratio">'O86'!$B$47:$B$48</definedName>
    <definedName name="KZt">'O86'!$G$34:$G$43</definedName>
    <definedName name="Le_condition">'O86'!$B$70:$B$81</definedName>
    <definedName name="Le_supp">'O86'!$D$70:$D$81</definedName>
    <definedName name="Le_unsup">'O86'!$C$70:$C$81</definedName>
    <definedName name="matrix_ch">DAFI!$D$16:$D$24</definedName>
    <definedName name="matrix_defl">DAFI!$H$4:$H$13</definedName>
    <definedName name="matrix_K">DAFI!$N$4:$W$13</definedName>
    <definedName name="matrix_ki">DAFI!$D$4:$D$13</definedName>
    <definedName name="matrix_P">DAFI!$F$4:$F$13</definedName>
    <definedName name="matrix_Pf">DAFI!$J$4:$J$13</definedName>
    <definedName name="matrix_Pr">DAFI!$H$16:$H$24</definedName>
    <definedName name="matrix_Pratio">DAFI!$L$4:$L$13</definedName>
    <definedName name="matrix_shear_displ">DAFI!$F$16:$F$24</definedName>
  </definedNames>
  <calcPr calcId="171027"/>
</workbook>
</file>

<file path=xl/calcChain.xml><?xml version="1.0" encoding="utf-8"?>
<calcChain xmlns="http://schemas.openxmlformats.org/spreadsheetml/2006/main">
  <c r="K43" i="14" l="1"/>
  <c r="K44" i="14"/>
  <c r="K45" i="14"/>
  <c r="K17" i="14"/>
  <c r="J39" i="9" s="1"/>
  <c r="K46" i="14"/>
  <c r="K35" i="14"/>
  <c r="K34" i="14"/>
  <c r="N11" i="20"/>
  <c r="N10" i="20"/>
  <c r="N9" i="20"/>
  <c r="N8" i="20"/>
  <c r="N7" i="20"/>
  <c r="N6" i="20"/>
  <c r="G5" i="20"/>
  <c r="M6" i="19"/>
  <c r="L6" i="19"/>
  <c r="K6" i="19"/>
  <c r="J6" i="19"/>
  <c r="I6" i="19"/>
  <c r="M5" i="19"/>
  <c r="L5" i="19"/>
  <c r="K5" i="19"/>
  <c r="J5" i="19"/>
  <c r="I5" i="19"/>
  <c r="K29" i="14"/>
  <c r="K28" i="14"/>
  <c r="K27" i="14"/>
  <c r="K26" i="14"/>
  <c r="K101" i="16"/>
  <c r="K102" i="16"/>
  <c r="K103" i="16"/>
  <c r="K104" i="16"/>
  <c r="K105" i="16"/>
  <c r="K106" i="16"/>
  <c r="K107" i="16"/>
  <c r="K108" i="16"/>
  <c r="K109" i="16"/>
  <c r="K110" i="16"/>
  <c r="K100" i="16"/>
  <c r="J100" i="16"/>
  <c r="J101" i="16"/>
  <c r="J102" i="16"/>
  <c r="J103" i="16"/>
  <c r="J104" i="16"/>
  <c r="J105" i="16"/>
  <c r="J106" i="16"/>
  <c r="J107" i="16"/>
  <c r="J108" i="16"/>
  <c r="J109" i="16"/>
  <c r="J110" i="16"/>
  <c r="H17" i="17"/>
  <c r="H23" i="17"/>
  <c r="H20" i="17"/>
  <c r="H18" i="17"/>
  <c r="H6" i="17"/>
  <c r="H7" i="17"/>
  <c r="H8" i="17"/>
  <c r="H9" i="17"/>
  <c r="H10" i="17"/>
  <c r="H11" i="17"/>
  <c r="H12" i="17"/>
  <c r="H13" i="17"/>
  <c r="H14" i="17"/>
  <c r="H15" i="17"/>
  <c r="H16" i="17"/>
  <c r="H19" i="17"/>
  <c r="H21" i="17"/>
  <c r="H22" i="17"/>
  <c r="H24" i="17"/>
  <c r="H25" i="17"/>
  <c r="H26" i="17"/>
  <c r="H27" i="17"/>
  <c r="H28" i="17"/>
  <c r="H29" i="17"/>
  <c r="K32" i="14"/>
  <c r="K37" i="14" s="1"/>
  <c r="W7" i="17"/>
  <c r="W8" i="17"/>
  <c r="W6" i="17"/>
  <c r="C81" i="16"/>
  <c r="C80" i="16"/>
  <c r="C79" i="16"/>
  <c r="D78" i="16"/>
  <c r="D77" i="16"/>
  <c r="D76" i="16"/>
  <c r="D75" i="16"/>
  <c r="D74" i="16"/>
  <c r="D73" i="16"/>
  <c r="F36" i="16"/>
  <c r="F35" i="16"/>
  <c r="E35" i="16"/>
  <c r="F34" i="16"/>
  <c r="E34" i="16"/>
  <c r="K31" i="14"/>
  <c r="E5" i="10"/>
  <c r="K54" i="14"/>
  <c r="K15" i="9"/>
  <c r="K14" i="9"/>
  <c r="K59" i="14" s="1"/>
  <c r="K22" i="9"/>
  <c r="K21" i="9"/>
  <c r="E30" i="9" s="1"/>
  <c r="E29" i="9"/>
  <c r="D14" i="10"/>
  <c r="K12" i="14"/>
  <c r="K19" i="14" s="1"/>
  <c r="K60" i="14"/>
  <c r="K16" i="9"/>
  <c r="K8" i="14"/>
  <c r="K15" i="14"/>
  <c r="K12" i="9" s="1"/>
  <c r="K65" i="14"/>
  <c r="D39" i="9"/>
  <c r="B2" i="15"/>
  <c r="F39" i="9"/>
  <c r="K5" i="14"/>
  <c r="AM223" i="12"/>
  <c r="AL223" i="12"/>
  <c r="AK223" i="12"/>
  <c r="AJ223" i="12"/>
  <c r="AM222" i="12"/>
  <c r="AL222" i="12"/>
  <c r="AK222" i="12"/>
  <c r="AJ222" i="12"/>
  <c r="AM221" i="12"/>
  <c r="AL221" i="12"/>
  <c r="AK221" i="12"/>
  <c r="AJ221" i="12"/>
  <c r="AM220" i="12"/>
  <c r="AL220" i="12"/>
  <c r="AK220" i="12"/>
  <c r="AJ220" i="12"/>
  <c r="AM219" i="12"/>
  <c r="AL219" i="12"/>
  <c r="AK219" i="12"/>
  <c r="AJ219" i="12"/>
  <c r="AM218" i="12"/>
  <c r="AL218" i="12"/>
  <c r="AK218" i="12"/>
  <c r="AJ218" i="12"/>
  <c r="AM217" i="12"/>
  <c r="AL217" i="12"/>
  <c r="AK217" i="12"/>
  <c r="AJ217" i="12"/>
  <c r="AM216" i="12"/>
  <c r="AL216" i="12"/>
  <c r="AK216" i="12"/>
  <c r="AJ216" i="12"/>
  <c r="AM215" i="12"/>
  <c r="AL215" i="12"/>
  <c r="AK215" i="12"/>
  <c r="AJ215" i="12"/>
  <c r="AM214" i="12"/>
  <c r="AL214" i="12"/>
  <c r="AK214" i="12"/>
  <c r="AJ214" i="12"/>
  <c r="AM213" i="12"/>
  <c r="AL213" i="12"/>
  <c r="AK213" i="12"/>
  <c r="AJ213" i="12"/>
  <c r="AM212" i="12"/>
  <c r="AL212" i="12"/>
  <c r="AK212" i="12"/>
  <c r="AJ212" i="12"/>
  <c r="AM211" i="12"/>
  <c r="AL211" i="12"/>
  <c r="AK211" i="12"/>
  <c r="AJ211" i="12"/>
  <c r="AM210" i="12"/>
  <c r="AL210" i="12"/>
  <c r="AK210" i="12"/>
  <c r="AJ210" i="12"/>
  <c r="AM209" i="12"/>
  <c r="AL209" i="12"/>
  <c r="AK209" i="12"/>
  <c r="AJ209" i="12"/>
  <c r="AM208" i="12"/>
  <c r="AL208" i="12"/>
  <c r="AK208" i="12"/>
  <c r="AJ208" i="12"/>
  <c r="AM207" i="12"/>
  <c r="AL207" i="12"/>
  <c r="AK207" i="12"/>
  <c r="AJ207" i="12"/>
  <c r="AM206" i="12"/>
  <c r="AL206" i="12"/>
  <c r="AK206" i="12"/>
  <c r="AJ206" i="12"/>
  <c r="AM205" i="12"/>
  <c r="AL205" i="12"/>
  <c r="AK205" i="12"/>
  <c r="AJ205" i="12"/>
  <c r="AM204" i="12"/>
  <c r="AL204" i="12"/>
  <c r="AK204" i="12"/>
  <c r="AJ204" i="12"/>
  <c r="AM203" i="12"/>
  <c r="AL203" i="12"/>
  <c r="AK203" i="12"/>
  <c r="AJ203" i="12"/>
  <c r="AM202" i="12"/>
  <c r="AL202" i="12"/>
  <c r="AK202" i="12"/>
  <c r="AJ202" i="12"/>
  <c r="AM201" i="12"/>
  <c r="AL201" i="12"/>
  <c r="AK201" i="12"/>
  <c r="AJ201" i="12"/>
  <c r="AM200" i="12"/>
  <c r="AL200" i="12"/>
  <c r="AK200" i="12"/>
  <c r="AJ200" i="12"/>
  <c r="AM199" i="12"/>
  <c r="AL199" i="12"/>
  <c r="AK199" i="12"/>
  <c r="AJ199" i="12"/>
  <c r="AM198" i="12"/>
  <c r="AL198" i="12"/>
  <c r="AK198" i="12"/>
  <c r="AJ198" i="12"/>
  <c r="AM197" i="12"/>
  <c r="AL197" i="12"/>
  <c r="AK197" i="12"/>
  <c r="AJ197" i="12"/>
  <c r="AM196" i="12"/>
  <c r="AL196" i="12"/>
  <c r="AK196" i="12"/>
  <c r="AJ196" i="12"/>
  <c r="AM195" i="12"/>
  <c r="AL195" i="12"/>
  <c r="AK195" i="12"/>
  <c r="AJ195" i="12"/>
  <c r="AM194" i="12"/>
  <c r="AL194" i="12"/>
  <c r="AK194" i="12"/>
  <c r="AJ194" i="12"/>
  <c r="AM193" i="12"/>
  <c r="AL193" i="12"/>
  <c r="AK193" i="12"/>
  <c r="AJ193" i="12"/>
  <c r="AM192" i="12"/>
  <c r="AL192" i="12"/>
  <c r="AK192" i="12"/>
  <c r="AJ192" i="12"/>
  <c r="AM191" i="12"/>
  <c r="AL191" i="12"/>
  <c r="AK191" i="12"/>
  <c r="AJ191" i="12"/>
  <c r="AM190" i="12"/>
  <c r="AL190" i="12"/>
  <c r="AK190" i="12"/>
  <c r="AJ190" i="12"/>
  <c r="AM189" i="12"/>
  <c r="AL189" i="12"/>
  <c r="AK189" i="12"/>
  <c r="AJ189" i="12"/>
  <c r="AM188" i="12"/>
  <c r="AL188" i="12"/>
  <c r="AK188" i="12"/>
  <c r="AJ188" i="12"/>
  <c r="AM187" i="12"/>
  <c r="AL187" i="12"/>
  <c r="AK187" i="12"/>
  <c r="AJ187" i="12"/>
  <c r="AM186" i="12"/>
  <c r="AL186" i="12"/>
  <c r="AK186" i="12"/>
  <c r="AJ186" i="12"/>
  <c r="AM185" i="12"/>
  <c r="AL185" i="12"/>
  <c r="AK185" i="12"/>
  <c r="AJ185" i="12"/>
  <c r="AM184" i="12"/>
  <c r="AL184" i="12"/>
  <c r="AK184" i="12"/>
  <c r="AJ184" i="12"/>
  <c r="AM183" i="12"/>
  <c r="AL183" i="12"/>
  <c r="AK183" i="12"/>
  <c r="AJ183" i="12"/>
  <c r="AM182" i="12"/>
  <c r="AL182" i="12"/>
  <c r="AK182" i="12"/>
  <c r="AJ182" i="12"/>
  <c r="AM181" i="12"/>
  <c r="AL181" i="12"/>
  <c r="AK181" i="12"/>
  <c r="AJ181" i="12"/>
  <c r="AM180" i="12"/>
  <c r="AL180" i="12"/>
  <c r="AK180" i="12"/>
  <c r="AJ180" i="12"/>
  <c r="AM179" i="12"/>
  <c r="AL179" i="12"/>
  <c r="AK179" i="12"/>
  <c r="AJ179" i="12"/>
  <c r="AM178" i="12"/>
  <c r="AL178" i="12"/>
  <c r="AK178" i="12"/>
  <c r="AJ178" i="12"/>
  <c r="AM177" i="12"/>
  <c r="AL177" i="12"/>
  <c r="AK177" i="12"/>
  <c r="AJ177" i="12"/>
  <c r="AM176" i="12"/>
  <c r="AL176" i="12"/>
  <c r="AK176" i="12"/>
  <c r="AJ176" i="12"/>
  <c r="AM175" i="12"/>
  <c r="AL175" i="12"/>
  <c r="AK175" i="12"/>
  <c r="AJ175" i="12"/>
  <c r="AM174" i="12"/>
  <c r="AL174" i="12"/>
  <c r="AK174" i="12"/>
  <c r="AJ174" i="12"/>
  <c r="AM173" i="12"/>
  <c r="AL173" i="12"/>
  <c r="AK173" i="12"/>
  <c r="AJ173" i="12"/>
  <c r="AM172" i="12"/>
  <c r="AL172" i="12"/>
  <c r="AK172" i="12"/>
  <c r="AJ172" i="12"/>
  <c r="AM171" i="12"/>
  <c r="AL171" i="12"/>
  <c r="AK171" i="12"/>
  <c r="AJ171" i="12"/>
  <c r="AM170" i="12"/>
  <c r="AL170" i="12"/>
  <c r="AK170" i="12"/>
  <c r="AJ170" i="12"/>
  <c r="AM169" i="12"/>
  <c r="AL169" i="12"/>
  <c r="AK169" i="12"/>
  <c r="AJ169" i="12"/>
  <c r="AM168" i="12"/>
  <c r="AL168" i="12"/>
  <c r="AK168" i="12"/>
  <c r="AJ168" i="12"/>
  <c r="AM167" i="12"/>
  <c r="AL167" i="12"/>
  <c r="AK167" i="12"/>
  <c r="AJ167" i="12"/>
  <c r="AM166" i="12"/>
  <c r="AL166" i="12"/>
  <c r="AK166" i="12"/>
  <c r="AJ166" i="12"/>
  <c r="AM165" i="12"/>
  <c r="AL165" i="12"/>
  <c r="AK165" i="12"/>
  <c r="AJ165" i="12"/>
  <c r="AM164" i="12"/>
  <c r="AL164" i="12"/>
  <c r="AK164" i="12"/>
  <c r="AJ164" i="12"/>
  <c r="AM163" i="12"/>
  <c r="AL163" i="12"/>
  <c r="AK163" i="12"/>
  <c r="AJ163" i="12"/>
  <c r="AM162" i="12"/>
  <c r="AL162" i="12"/>
  <c r="AK162" i="12"/>
  <c r="AJ162" i="12"/>
  <c r="AM161" i="12"/>
  <c r="AL161" i="12"/>
  <c r="AK161" i="12"/>
  <c r="AJ161" i="12"/>
  <c r="AM160" i="12"/>
  <c r="AL160" i="12"/>
  <c r="AK160" i="12"/>
  <c r="AJ160" i="12"/>
  <c r="AM159" i="12"/>
  <c r="AL159" i="12"/>
  <c r="AK159" i="12"/>
  <c r="AJ159" i="12"/>
  <c r="AM158" i="12"/>
  <c r="AL158" i="12"/>
  <c r="AK158" i="12"/>
  <c r="AJ158" i="12"/>
  <c r="AM157" i="12"/>
  <c r="AL157" i="12"/>
  <c r="AK157" i="12"/>
  <c r="AJ157" i="12"/>
  <c r="AM156" i="12"/>
  <c r="AL156" i="12"/>
  <c r="AK156" i="12"/>
  <c r="AJ156" i="12"/>
  <c r="AM155" i="12"/>
  <c r="AL155" i="12"/>
  <c r="AK155" i="12"/>
  <c r="AJ155" i="12"/>
  <c r="AM154" i="12"/>
  <c r="AL154" i="12"/>
  <c r="AK154" i="12"/>
  <c r="AJ154" i="12"/>
  <c r="AM153" i="12"/>
  <c r="AL153" i="12"/>
  <c r="AK153" i="12"/>
  <c r="AJ153" i="12"/>
  <c r="AM152" i="12"/>
  <c r="AL152" i="12"/>
  <c r="AK152" i="12"/>
  <c r="AJ152" i="12"/>
  <c r="AM151" i="12"/>
  <c r="AL151" i="12"/>
  <c r="AK151" i="12"/>
  <c r="AJ151" i="12"/>
  <c r="AM150" i="12"/>
  <c r="AL150" i="12"/>
  <c r="AK150" i="12"/>
  <c r="AJ150" i="12"/>
  <c r="AM149" i="12"/>
  <c r="AL149" i="12"/>
  <c r="AK149" i="12"/>
  <c r="AJ149" i="12"/>
  <c r="AM148" i="12"/>
  <c r="AL148" i="12"/>
  <c r="AK148" i="12"/>
  <c r="AJ148" i="12"/>
  <c r="AM147" i="12"/>
  <c r="AL147" i="12"/>
  <c r="AK147" i="12"/>
  <c r="AJ147" i="12"/>
  <c r="AM146" i="12"/>
  <c r="AL146" i="12"/>
  <c r="AK146" i="12"/>
  <c r="AJ146" i="12"/>
  <c r="AM145" i="12"/>
  <c r="AL145" i="12"/>
  <c r="AK145" i="12"/>
  <c r="AJ145" i="12"/>
  <c r="AM144" i="12"/>
  <c r="AL144" i="12"/>
  <c r="AK144" i="12"/>
  <c r="AJ144" i="12"/>
  <c r="AM143" i="12"/>
  <c r="AL143" i="12"/>
  <c r="AK143" i="12"/>
  <c r="AJ143" i="12"/>
  <c r="AM142" i="12"/>
  <c r="AL142" i="12"/>
  <c r="AK142" i="12"/>
  <c r="AJ142" i="12"/>
  <c r="AM141" i="12"/>
  <c r="AL141" i="12"/>
  <c r="AK141" i="12"/>
  <c r="AJ141" i="12"/>
  <c r="AM140" i="12"/>
  <c r="AL140" i="12"/>
  <c r="AK140" i="12"/>
  <c r="AJ140" i="12"/>
  <c r="AM139" i="12"/>
  <c r="AL139" i="12"/>
  <c r="AK139" i="12"/>
  <c r="AJ139" i="12"/>
  <c r="AM138" i="12"/>
  <c r="AL138" i="12"/>
  <c r="AK138" i="12"/>
  <c r="AJ138" i="12"/>
  <c r="AM137" i="12"/>
  <c r="AL137" i="12"/>
  <c r="AK137" i="12"/>
  <c r="AJ137" i="12"/>
  <c r="AM136" i="12"/>
  <c r="AL136" i="12"/>
  <c r="AK136" i="12"/>
  <c r="AJ136" i="12"/>
  <c r="AM135" i="12"/>
  <c r="AL135" i="12"/>
  <c r="AK135" i="12"/>
  <c r="AJ135" i="12"/>
  <c r="AM134" i="12"/>
  <c r="AL134" i="12"/>
  <c r="AK134" i="12"/>
  <c r="AJ134" i="12"/>
  <c r="AM133" i="12"/>
  <c r="AL133" i="12"/>
  <c r="AK133" i="12"/>
  <c r="AJ133" i="12"/>
  <c r="AM132" i="12"/>
  <c r="AL132" i="12"/>
  <c r="AK132" i="12"/>
  <c r="AJ132" i="12"/>
  <c r="AM131" i="12"/>
  <c r="AL131" i="12"/>
  <c r="AK131" i="12"/>
  <c r="AJ131" i="12"/>
  <c r="AM130" i="12"/>
  <c r="AL130" i="12"/>
  <c r="AK130" i="12"/>
  <c r="AJ130" i="12"/>
  <c r="AM129" i="12"/>
  <c r="AL129" i="12"/>
  <c r="AK129" i="12"/>
  <c r="AJ129" i="12"/>
  <c r="AM128" i="12"/>
  <c r="AL128" i="12"/>
  <c r="AK128" i="12"/>
  <c r="AJ128" i="12"/>
  <c r="AM127" i="12"/>
  <c r="AL127" i="12"/>
  <c r="AK127" i="12"/>
  <c r="AJ127" i="12"/>
  <c r="AM126" i="12"/>
  <c r="AL126" i="12"/>
  <c r="AK126" i="12"/>
  <c r="AJ126" i="12"/>
  <c r="AM125" i="12"/>
  <c r="AL125" i="12"/>
  <c r="AK125" i="12"/>
  <c r="AJ125" i="12"/>
  <c r="AM124" i="12"/>
  <c r="AL124" i="12"/>
  <c r="AK124" i="12"/>
  <c r="AJ124" i="12"/>
  <c r="AM123" i="12"/>
  <c r="AL123" i="12"/>
  <c r="AK123" i="12"/>
  <c r="AJ123" i="12"/>
  <c r="AM122" i="12"/>
  <c r="AL122" i="12"/>
  <c r="AK122" i="12"/>
  <c r="AJ122" i="12"/>
  <c r="AM121" i="12"/>
  <c r="AL121" i="12"/>
  <c r="AK121" i="12"/>
  <c r="AJ121" i="12"/>
  <c r="AM120" i="12"/>
  <c r="AL120" i="12"/>
  <c r="AK120" i="12"/>
  <c r="AJ120" i="12"/>
  <c r="AM119" i="12"/>
  <c r="AL119" i="12"/>
  <c r="AK119" i="12"/>
  <c r="AJ119" i="12"/>
  <c r="AM118" i="12"/>
  <c r="AL118" i="12"/>
  <c r="AK118" i="12"/>
  <c r="AJ118" i="12"/>
  <c r="AM117" i="12"/>
  <c r="AL117" i="12"/>
  <c r="AK117" i="12"/>
  <c r="AJ117" i="12"/>
  <c r="AM116" i="12"/>
  <c r="AL116" i="12"/>
  <c r="AK116" i="12"/>
  <c r="AJ116" i="12"/>
  <c r="AM115" i="12"/>
  <c r="AL115" i="12"/>
  <c r="AK115" i="12"/>
  <c r="AJ115" i="12"/>
  <c r="AM114" i="12"/>
  <c r="AL114" i="12"/>
  <c r="AK114" i="12"/>
  <c r="AJ114" i="12"/>
  <c r="AM113" i="12"/>
  <c r="AL113" i="12"/>
  <c r="AK113" i="12"/>
  <c r="AJ113" i="12"/>
  <c r="AM112" i="12"/>
  <c r="AL112" i="12"/>
  <c r="AK112" i="12"/>
  <c r="AJ112" i="12"/>
  <c r="AM111" i="12"/>
  <c r="AL111" i="12"/>
  <c r="AK111" i="12"/>
  <c r="AJ111" i="12"/>
  <c r="AM110" i="12"/>
  <c r="AL110" i="12"/>
  <c r="AK110" i="12"/>
  <c r="AJ110" i="12"/>
  <c r="AM109" i="12"/>
  <c r="AL109" i="12"/>
  <c r="AK109" i="12"/>
  <c r="AJ109" i="12"/>
  <c r="AM108" i="12"/>
  <c r="AL108" i="12"/>
  <c r="AK108" i="12"/>
  <c r="AJ108" i="12"/>
  <c r="AM107" i="12"/>
  <c r="AL107" i="12"/>
  <c r="AK107" i="12"/>
  <c r="AJ107" i="12"/>
  <c r="AM106" i="12"/>
  <c r="AL106" i="12"/>
  <c r="AK106" i="12"/>
  <c r="AJ106" i="12"/>
  <c r="AM105" i="12"/>
  <c r="AL105" i="12"/>
  <c r="AK105" i="12"/>
  <c r="AJ105" i="12"/>
  <c r="AM104" i="12"/>
  <c r="AL104" i="12"/>
  <c r="AK104" i="12"/>
  <c r="AJ104" i="12"/>
  <c r="AM103" i="12"/>
  <c r="AL103" i="12"/>
  <c r="AK103" i="12"/>
  <c r="AJ103" i="12"/>
  <c r="AM102" i="12"/>
  <c r="AL102" i="12"/>
  <c r="AK102" i="12"/>
  <c r="AJ102" i="12"/>
  <c r="AM101" i="12"/>
  <c r="AL101" i="12"/>
  <c r="AK101" i="12"/>
  <c r="AJ101" i="12"/>
  <c r="AM100" i="12"/>
  <c r="AL100" i="12"/>
  <c r="AK100" i="12"/>
  <c r="AJ100" i="12"/>
  <c r="AM99" i="12"/>
  <c r="AL99" i="12"/>
  <c r="AK99" i="12"/>
  <c r="AJ99" i="12"/>
  <c r="AM98" i="12"/>
  <c r="AL98" i="12"/>
  <c r="AK98" i="12"/>
  <c r="AJ98" i="12"/>
  <c r="AM97" i="12"/>
  <c r="AL97" i="12"/>
  <c r="AK97" i="12"/>
  <c r="AJ97" i="12"/>
  <c r="AM96" i="12"/>
  <c r="AL96" i="12"/>
  <c r="AK96" i="12"/>
  <c r="AJ96" i="12"/>
  <c r="AM95" i="12"/>
  <c r="AL95" i="12"/>
  <c r="AK95" i="12"/>
  <c r="AJ95" i="12"/>
  <c r="AM94" i="12"/>
  <c r="AL94" i="12"/>
  <c r="AK94" i="12"/>
  <c r="AJ94" i="12"/>
  <c r="AM93" i="12"/>
  <c r="AL93" i="12"/>
  <c r="AK93" i="12"/>
  <c r="AM92" i="12"/>
  <c r="AL92" i="12"/>
  <c r="AK92" i="12"/>
  <c r="AM91" i="12"/>
  <c r="AL91" i="12"/>
  <c r="AK91" i="12"/>
  <c r="AM90" i="12"/>
  <c r="AL90" i="12"/>
  <c r="AK90" i="12"/>
  <c r="AM89" i="12"/>
  <c r="AL89" i="12"/>
  <c r="AK89" i="12"/>
  <c r="AM88" i="12"/>
  <c r="AL88" i="12"/>
  <c r="AK88" i="12"/>
  <c r="AM87" i="12"/>
  <c r="AL87" i="12"/>
  <c r="AK87" i="12"/>
  <c r="AM86" i="12"/>
  <c r="AL86" i="12"/>
  <c r="AK86" i="12"/>
  <c r="AM85" i="12"/>
  <c r="AL85" i="12"/>
  <c r="AK85" i="12"/>
  <c r="AM84" i="12"/>
  <c r="AL84" i="12"/>
  <c r="AK84" i="12"/>
  <c r="AM83" i="12"/>
  <c r="AL83" i="12"/>
  <c r="AK83" i="12"/>
  <c r="AM82" i="12"/>
  <c r="AL82" i="12"/>
  <c r="AK82" i="12"/>
  <c r="AM81" i="12"/>
  <c r="AL81" i="12"/>
  <c r="AK81" i="12"/>
  <c r="AM80" i="12"/>
  <c r="AL80" i="12"/>
  <c r="AK80" i="12"/>
  <c r="AM79" i="12"/>
  <c r="AL79" i="12"/>
  <c r="AK79" i="12"/>
  <c r="AM78" i="12"/>
  <c r="AL78" i="12"/>
  <c r="AK78" i="12"/>
  <c r="AM77" i="12"/>
  <c r="AL77" i="12"/>
  <c r="AK77" i="12"/>
  <c r="AM76" i="12"/>
  <c r="AL76" i="12"/>
  <c r="AK76" i="12"/>
  <c r="AM75" i="12"/>
  <c r="AL75" i="12"/>
  <c r="AK75" i="12"/>
  <c r="AM74" i="12"/>
  <c r="AL74" i="12"/>
  <c r="AK74" i="12"/>
  <c r="AM73" i="12"/>
  <c r="AL73" i="12"/>
  <c r="AK73" i="12"/>
  <c r="AM72" i="12"/>
  <c r="AL72" i="12"/>
  <c r="AK72" i="12"/>
  <c r="AM71" i="12"/>
  <c r="AL71" i="12"/>
  <c r="AK71" i="12"/>
  <c r="AM70" i="12"/>
  <c r="AL70" i="12"/>
  <c r="AK70" i="12"/>
  <c r="AM69" i="12"/>
  <c r="AL69" i="12"/>
  <c r="AK69" i="12"/>
  <c r="AM68" i="12"/>
  <c r="AL68" i="12"/>
  <c r="AK68" i="12"/>
  <c r="AM67" i="12"/>
  <c r="AL67" i="12"/>
  <c r="AK67" i="12"/>
  <c r="AM66" i="12"/>
  <c r="AL66" i="12"/>
  <c r="AK66" i="12"/>
  <c r="AM65" i="12"/>
  <c r="AL65" i="12"/>
  <c r="AK65" i="12"/>
  <c r="AM64" i="12"/>
  <c r="AL64" i="12"/>
  <c r="AK64" i="12"/>
  <c r="AM63" i="12"/>
  <c r="AL63" i="12"/>
  <c r="AK63" i="12"/>
  <c r="AM62" i="12"/>
  <c r="AL62" i="12"/>
  <c r="AK62" i="12"/>
  <c r="AM61" i="12"/>
  <c r="AL61" i="12"/>
  <c r="AK61" i="12"/>
  <c r="AM60" i="12"/>
  <c r="AL60" i="12"/>
  <c r="AK60" i="12"/>
  <c r="AM59" i="12"/>
  <c r="AL59" i="12"/>
  <c r="AK59" i="12"/>
  <c r="AM58" i="12"/>
  <c r="AL58" i="12"/>
  <c r="AK58" i="12"/>
  <c r="AM57" i="12"/>
  <c r="AL57" i="12"/>
  <c r="AK57" i="12"/>
  <c r="AM56" i="12"/>
  <c r="AL56" i="12"/>
  <c r="AK56" i="12"/>
  <c r="AM55" i="12"/>
  <c r="AL55" i="12"/>
  <c r="AK55" i="12"/>
  <c r="AM54" i="12"/>
  <c r="AL54" i="12"/>
  <c r="AK54" i="12"/>
  <c r="AM53" i="12"/>
  <c r="AL53" i="12"/>
  <c r="AK53" i="12"/>
  <c r="AM52" i="12"/>
  <c r="AL52" i="12"/>
  <c r="AK52" i="12"/>
  <c r="AM51" i="12"/>
  <c r="AL51" i="12"/>
  <c r="AK51" i="12"/>
  <c r="AM50" i="12"/>
  <c r="AL50" i="12"/>
  <c r="AK50" i="12"/>
  <c r="AM49" i="12"/>
  <c r="AL49" i="12"/>
  <c r="AK49" i="12"/>
  <c r="AM48" i="12"/>
  <c r="AL48" i="12"/>
  <c r="AK48" i="12"/>
  <c r="AM47" i="12"/>
  <c r="AL47" i="12"/>
  <c r="AK47" i="12"/>
  <c r="AM46" i="12"/>
  <c r="AL46" i="12"/>
  <c r="AK46" i="12"/>
  <c r="AM45" i="12"/>
  <c r="AL45" i="12"/>
  <c r="AK45" i="12"/>
  <c r="AM44" i="12"/>
  <c r="AL44" i="12"/>
  <c r="AK44" i="12"/>
  <c r="AM43" i="12"/>
  <c r="AL43" i="12"/>
  <c r="AK43" i="12"/>
  <c r="AM42" i="12"/>
  <c r="AL42" i="12"/>
  <c r="AK42" i="12"/>
  <c r="AM41" i="12"/>
  <c r="AL41" i="12"/>
  <c r="AK41" i="12"/>
  <c r="AM40" i="12"/>
  <c r="AL40" i="12"/>
  <c r="AK40" i="12"/>
  <c r="AM39" i="12"/>
  <c r="AL39" i="12"/>
  <c r="AK39" i="12"/>
  <c r="AM38" i="12"/>
  <c r="AL38" i="12"/>
  <c r="AK38" i="12"/>
  <c r="AM37" i="12"/>
  <c r="AL37" i="12"/>
  <c r="AK37" i="12"/>
  <c r="AM36" i="12"/>
  <c r="AL36" i="12"/>
  <c r="AK36" i="12"/>
  <c r="AM35" i="12"/>
  <c r="AL35" i="12"/>
  <c r="AK35" i="12"/>
  <c r="AM34" i="12"/>
  <c r="AL34" i="12"/>
  <c r="AK34" i="12"/>
  <c r="AM33" i="12"/>
  <c r="AL33" i="12"/>
  <c r="AK33" i="12"/>
  <c r="AM32" i="12"/>
  <c r="AL32" i="12"/>
  <c r="AK32" i="12"/>
  <c r="AM31" i="12"/>
  <c r="AL31" i="12"/>
  <c r="AK31" i="12"/>
  <c r="AM30" i="12"/>
  <c r="AL30" i="12"/>
  <c r="AK30" i="12"/>
  <c r="AM29" i="12"/>
  <c r="AL29" i="12"/>
  <c r="AK29" i="12"/>
  <c r="AM28" i="12"/>
  <c r="AL28" i="12"/>
  <c r="AK28" i="12"/>
  <c r="AM27" i="12"/>
  <c r="AL27" i="12"/>
  <c r="AK27" i="12"/>
  <c r="AM26" i="12"/>
  <c r="AL26" i="12"/>
  <c r="AK26" i="12"/>
  <c r="AM25" i="12"/>
  <c r="AL25" i="12"/>
  <c r="AK25" i="12"/>
  <c r="AM24" i="12"/>
  <c r="AL24" i="12"/>
  <c r="AK24" i="12"/>
  <c r="AM23" i="12"/>
  <c r="AL23" i="12"/>
  <c r="AK23" i="12"/>
  <c r="AM22" i="12"/>
  <c r="AL22" i="12"/>
  <c r="AK22" i="12"/>
  <c r="AM21" i="12"/>
  <c r="AL21" i="12"/>
  <c r="AK21" i="12"/>
  <c r="AM20" i="12"/>
  <c r="AL20" i="12"/>
  <c r="AK20" i="12"/>
  <c r="AM19" i="12"/>
  <c r="AL19" i="12"/>
  <c r="AK19" i="12"/>
  <c r="AM18" i="12"/>
  <c r="AL18" i="12"/>
  <c r="AK18" i="12"/>
  <c r="AM17" i="12"/>
  <c r="AL17" i="12"/>
  <c r="AK17" i="12"/>
  <c r="AM16" i="12"/>
  <c r="AL16" i="12"/>
  <c r="AK16" i="12"/>
  <c r="AM15" i="12"/>
  <c r="AL15" i="12"/>
  <c r="AK15" i="12"/>
  <c r="AF5" i="12"/>
  <c r="AJ15" i="12" s="1"/>
  <c r="AM14" i="12"/>
  <c r="AL14" i="12"/>
  <c r="AK14" i="12"/>
  <c r="AM13" i="12"/>
  <c r="AL13" i="12"/>
  <c r="AK13" i="12"/>
  <c r="AM12" i="12"/>
  <c r="AL12" i="12"/>
  <c r="AK12" i="12"/>
  <c r="AM11" i="12"/>
  <c r="AL11" i="12"/>
  <c r="AK11" i="12"/>
  <c r="AJ11" i="12"/>
  <c r="AM10" i="12"/>
  <c r="AL10" i="12"/>
  <c r="AK10" i="12"/>
  <c r="AM9" i="12"/>
  <c r="AL9" i="12"/>
  <c r="AK9" i="12"/>
  <c r="AM8" i="12"/>
  <c r="AL8" i="12"/>
  <c r="AK8" i="12"/>
  <c r="AM7" i="12"/>
  <c r="AL7" i="12"/>
  <c r="AK7" i="12"/>
  <c r="AM6" i="12"/>
  <c r="AL6" i="12"/>
  <c r="AK6" i="12"/>
  <c r="AM5" i="12"/>
  <c r="AL5" i="12"/>
  <c r="AK5" i="12"/>
  <c r="AJ93" i="12"/>
  <c r="AM4" i="12"/>
  <c r="AL4" i="12"/>
  <c r="AK4" i="12"/>
  <c r="AJ4" i="12"/>
  <c r="AM3" i="12"/>
  <c r="AL3" i="12"/>
  <c r="AK3" i="12"/>
  <c r="AJ3" i="12"/>
  <c r="N8" i="11"/>
  <c r="M8" i="11"/>
  <c r="L8" i="11"/>
  <c r="K8" i="11"/>
  <c r="J8" i="11"/>
  <c r="I8" i="11"/>
  <c r="H8" i="11"/>
  <c r="G8" i="11"/>
  <c r="F8" i="11"/>
  <c r="AA8" i="11"/>
  <c r="Z8" i="11"/>
  <c r="Y8" i="11"/>
  <c r="X8" i="11"/>
  <c r="W8" i="11"/>
  <c r="V8" i="11"/>
  <c r="U8" i="11"/>
  <c r="T8" i="11"/>
  <c r="S8" i="11"/>
  <c r="R8" i="11"/>
  <c r="Q8" i="11"/>
  <c r="P8" i="11"/>
  <c r="N7" i="11"/>
  <c r="M7" i="11"/>
  <c r="L7" i="11"/>
  <c r="K7" i="11"/>
  <c r="J7" i="11"/>
  <c r="I7" i="11"/>
  <c r="H7" i="11"/>
  <c r="G7" i="11"/>
  <c r="F7" i="11"/>
  <c r="AA7" i="11"/>
  <c r="Z7" i="11"/>
  <c r="Y7" i="11"/>
  <c r="X7" i="11"/>
  <c r="W7" i="11"/>
  <c r="V7" i="11"/>
  <c r="V9" i="11" s="1"/>
  <c r="U7" i="11"/>
  <c r="T7" i="11"/>
  <c r="S7" i="11"/>
  <c r="R7" i="11"/>
  <c r="Q7" i="11"/>
  <c r="P7" i="11"/>
  <c r="N6" i="11"/>
  <c r="M6" i="11"/>
  <c r="M9" i="11" s="1"/>
  <c r="L6" i="11"/>
  <c r="K6" i="11"/>
  <c r="J6" i="11"/>
  <c r="I6" i="11"/>
  <c r="H6" i="11"/>
  <c r="G6" i="11"/>
  <c r="F6" i="11"/>
  <c r="AA6" i="11"/>
  <c r="Z6" i="11"/>
  <c r="Y6" i="11"/>
  <c r="X6" i="11"/>
  <c r="W6" i="11"/>
  <c r="W9" i="11" s="1"/>
  <c r="V6" i="11"/>
  <c r="U6" i="11"/>
  <c r="T6" i="11"/>
  <c r="S6" i="11"/>
  <c r="R6" i="11"/>
  <c r="Q6" i="11"/>
  <c r="P6" i="11"/>
  <c r="N5" i="11"/>
  <c r="N10" i="11" s="1"/>
  <c r="M5" i="11"/>
  <c r="M10" i="11" s="1"/>
  <c r="L5" i="11"/>
  <c r="L9" i="11" s="1"/>
  <c r="K5" i="11"/>
  <c r="K10" i="11" s="1"/>
  <c r="J5" i="11"/>
  <c r="J9" i="11" s="1"/>
  <c r="I5" i="11"/>
  <c r="I10" i="11" s="1"/>
  <c r="K68" i="14" s="1"/>
  <c r="H5" i="11"/>
  <c r="H10" i="11" s="1"/>
  <c r="G5" i="11"/>
  <c r="G10" i="11" s="1"/>
  <c r="K67" i="14" s="1"/>
  <c r="E7" i="10" s="1"/>
  <c r="F5" i="11"/>
  <c r="AA5" i="11"/>
  <c r="AA9" i="11" s="1"/>
  <c r="Z5" i="11"/>
  <c r="Z10" i="11" s="1"/>
  <c r="Y5" i="11"/>
  <c r="Y10" i="11" s="1"/>
  <c r="X5" i="11"/>
  <c r="X10" i="11" s="1"/>
  <c r="W5" i="11"/>
  <c r="W10" i="11"/>
  <c r="V5" i="11"/>
  <c r="V10" i="11"/>
  <c r="U5" i="11"/>
  <c r="U10" i="11"/>
  <c r="T5" i="11"/>
  <c r="T9" i="11" s="1"/>
  <c r="S5" i="11"/>
  <c r="S10" i="11" s="1"/>
  <c r="R5" i="11"/>
  <c r="R10" i="11" s="1"/>
  <c r="Q5" i="11"/>
  <c r="Q10" i="11" s="1"/>
  <c r="P5" i="11"/>
  <c r="F10" i="11"/>
  <c r="K66" i="14" s="1"/>
  <c r="E6" i="10" s="1"/>
  <c r="F9" i="11"/>
  <c r="N9" i="11"/>
  <c r="K9" i="11"/>
  <c r="AJ6" i="12"/>
  <c r="AJ10" i="12"/>
  <c r="AJ14" i="12"/>
  <c r="AJ5" i="12"/>
  <c r="AF6" i="12"/>
  <c r="AF7" i="12" s="1"/>
  <c r="AF8" i="12" s="1"/>
  <c r="AF9" i="12" s="1"/>
  <c r="AF10" i="12" s="1"/>
  <c r="AF11" i="12" s="1"/>
  <c r="AF12" i="12" s="1"/>
  <c r="AF13" i="12" s="1"/>
  <c r="AF14" i="12" s="1"/>
  <c r="AF15" i="12" s="1"/>
  <c r="AF16" i="12" s="1"/>
  <c r="AJ9" i="12"/>
  <c r="AJ13" i="12"/>
  <c r="AJ8" i="12"/>
  <c r="AJ12" i="12"/>
  <c r="AJ16" i="12"/>
  <c r="AJ17" i="12"/>
  <c r="AJ18" i="12"/>
  <c r="AJ19" i="12"/>
  <c r="AJ20" i="12"/>
  <c r="AJ21" i="12"/>
  <c r="AJ22" i="12"/>
  <c r="AJ23" i="12"/>
  <c r="AJ24" i="12"/>
  <c r="AJ25" i="12"/>
  <c r="AJ26" i="12"/>
  <c r="AJ27" i="12"/>
  <c r="AJ28" i="12"/>
  <c r="AJ29" i="12"/>
  <c r="AJ30" i="12"/>
  <c r="AJ31" i="12"/>
  <c r="AJ32" i="12"/>
  <c r="AJ33" i="12"/>
  <c r="AJ34" i="12"/>
  <c r="AJ35" i="12"/>
  <c r="AJ36" i="12"/>
  <c r="AJ37" i="12"/>
  <c r="AJ38" i="12"/>
  <c r="AJ39" i="12"/>
  <c r="AJ40" i="12"/>
  <c r="AJ41" i="12"/>
  <c r="AJ42" i="12"/>
  <c r="AJ43" i="12"/>
  <c r="AJ44" i="12"/>
  <c r="AJ45" i="12"/>
  <c r="AJ46" i="12"/>
  <c r="AJ47" i="12"/>
  <c r="AJ48" i="12"/>
  <c r="AJ49" i="12"/>
  <c r="AJ50" i="12"/>
  <c r="AJ51" i="12"/>
  <c r="AJ52" i="12"/>
  <c r="AJ53" i="12"/>
  <c r="AJ54" i="12"/>
  <c r="AJ55" i="12"/>
  <c r="AJ56" i="12"/>
  <c r="AJ57" i="12"/>
  <c r="AJ58" i="12"/>
  <c r="AJ59" i="12"/>
  <c r="AJ60" i="12"/>
  <c r="AJ61" i="12"/>
  <c r="AJ62" i="12"/>
  <c r="AJ63" i="12"/>
  <c r="AJ64" i="12"/>
  <c r="AJ65" i="12"/>
  <c r="AJ66" i="12"/>
  <c r="AJ67" i="12"/>
  <c r="AJ68" i="12"/>
  <c r="AJ69" i="12"/>
  <c r="AJ70" i="12"/>
  <c r="AJ71" i="12"/>
  <c r="AJ72" i="12"/>
  <c r="AJ73" i="12"/>
  <c r="AJ74" i="12"/>
  <c r="AJ75" i="12"/>
  <c r="AJ76" i="12"/>
  <c r="AJ77" i="12"/>
  <c r="AJ78" i="12"/>
  <c r="AJ79" i="12"/>
  <c r="AJ80" i="12"/>
  <c r="AJ81" i="12"/>
  <c r="AJ82" i="12"/>
  <c r="AJ83" i="12"/>
  <c r="AJ84" i="12"/>
  <c r="AJ85" i="12"/>
  <c r="AJ86" i="12"/>
  <c r="AJ87" i="12"/>
  <c r="AJ88" i="12"/>
  <c r="AJ89" i="12"/>
  <c r="AJ90" i="12"/>
  <c r="AJ91" i="12"/>
  <c r="AJ92" i="12"/>
  <c r="K15" i="10"/>
  <c r="K14" i="10"/>
  <c r="E12" i="10" s="1"/>
  <c r="K7" i="14"/>
  <c r="K14" i="14"/>
  <c r="K9" i="14"/>
  <c r="I9" i="11" l="1"/>
  <c r="AA10" i="11"/>
  <c r="L10" i="11"/>
  <c r="Y9" i="11"/>
  <c r="R9" i="11"/>
  <c r="Z9" i="11"/>
  <c r="U9" i="11"/>
  <c r="X9" i="11"/>
  <c r="S9" i="11"/>
  <c r="Q9" i="11"/>
  <c r="K10" i="14"/>
  <c r="K56" i="14"/>
  <c r="F45" i="9"/>
  <c r="O48" i="9"/>
  <c r="K17" i="9"/>
  <c r="K38" i="14"/>
  <c r="K36" i="14"/>
  <c r="H9" i="11"/>
  <c r="K7" i="9"/>
  <c r="G39" i="9"/>
  <c r="K6" i="9"/>
  <c r="E39" i="9"/>
  <c r="D45" i="9"/>
  <c r="E25" i="10"/>
  <c r="J10" i="11"/>
  <c r="AJ7" i="12"/>
  <c r="K9" i="9"/>
  <c r="K18" i="9" s="1"/>
  <c r="K58" i="14" s="1"/>
  <c r="H39" i="9"/>
  <c r="E8" i="10"/>
  <c r="K47" i="14"/>
  <c r="I39" i="9"/>
  <c r="E4" i="10"/>
  <c r="E19" i="10" s="1"/>
  <c r="G9" i="11"/>
  <c r="T10" i="11"/>
  <c r="K39" i="9"/>
  <c r="K8" i="9"/>
  <c r="E13" i="10"/>
  <c r="K57" i="14" s="1"/>
  <c r="K4" i="9"/>
  <c r="L39" i="9"/>
  <c r="L45" i="9" s="1"/>
  <c r="K18" i="14"/>
  <c r="K49" i="14"/>
  <c r="K51" i="14" l="1"/>
  <c r="K81" i="14"/>
  <c r="E47" i="9"/>
  <c r="I46" i="9"/>
  <c r="P47" i="9"/>
  <c r="E45" i="9"/>
  <c r="N47" i="9"/>
  <c r="E27" i="10"/>
  <c r="E28" i="10" s="1"/>
  <c r="E46" i="9"/>
  <c r="L47" i="9"/>
  <c r="P48" i="9"/>
  <c r="K48" i="9"/>
  <c r="J46" i="9"/>
  <c r="K78" i="14"/>
  <c r="J48" i="9"/>
  <c r="G48" i="9"/>
  <c r="I47" i="9"/>
  <c r="F46" i="9"/>
  <c r="G47" i="9"/>
  <c r="J45" i="9"/>
  <c r="E23" i="10"/>
  <c r="K70" i="14" s="1"/>
  <c r="K71" i="14" s="1"/>
  <c r="L46" i="9"/>
  <c r="L50" i="9" s="1"/>
  <c r="E48" i="9"/>
  <c r="F47" i="9"/>
  <c r="N48" i="9"/>
  <c r="G46" i="9"/>
  <c r="G45" i="9"/>
  <c r="I48" i="9"/>
  <c r="O47" i="9"/>
  <c r="H48" i="9"/>
  <c r="K45" i="9"/>
  <c r="K47" i="9"/>
  <c r="F48" i="9"/>
  <c r="L48" i="9"/>
  <c r="K46" i="9"/>
  <c r="H45" i="9"/>
  <c r="M47" i="9"/>
  <c r="E24" i="10"/>
  <c r="K72" i="14" s="1"/>
  <c r="K73" i="14" s="1"/>
  <c r="J47" i="9"/>
  <c r="H47" i="9"/>
  <c r="H46" i="9"/>
  <c r="M48" i="9"/>
  <c r="I45" i="9"/>
  <c r="K10" i="9"/>
  <c r="K11" i="9" s="1"/>
  <c r="E9" i="10"/>
  <c r="E10" i="10" s="1"/>
  <c r="E26" i="10" s="1"/>
  <c r="K5" i="9"/>
  <c r="K48" i="14"/>
  <c r="F50" i="9" l="1"/>
  <c r="K50" i="14"/>
  <c r="K52" i="14" s="1"/>
  <c r="K75" i="14"/>
  <c r="G50" i="9"/>
  <c r="G49" i="9"/>
  <c r="K74" i="14"/>
  <c r="E49" i="9"/>
  <c r="E50" i="9"/>
  <c r="K85" i="14"/>
  <c r="P49" i="9"/>
  <c r="P50" i="9"/>
  <c r="K49" i="9"/>
  <c r="K77" i="14"/>
  <c r="K50" i="9"/>
  <c r="L49" i="9"/>
  <c r="M49" i="9"/>
  <c r="K82" i="14"/>
  <c r="M50" i="9"/>
  <c r="F49" i="9"/>
  <c r="O49" i="9"/>
  <c r="O50" i="9"/>
  <c r="K84" i="14"/>
  <c r="H49" i="9"/>
  <c r="H50" i="9"/>
  <c r="K79" i="14"/>
  <c r="K76" i="14"/>
  <c r="I50" i="9"/>
  <c r="I49" i="9"/>
  <c r="J49" i="9"/>
  <c r="K80" i="14"/>
  <c r="J50" i="9"/>
  <c r="K83" i="14"/>
  <c r="N49" i="9"/>
  <c r="N50" i="9"/>
  <c r="K86" i="14" l="1"/>
  <c r="K87" i="14" s="1"/>
</calcChain>
</file>

<file path=xl/comments1.xml><?xml version="1.0" encoding="utf-8"?>
<comments xmlns="http://schemas.openxmlformats.org/spreadsheetml/2006/main">
  <authors>
    <author>Dave</author>
  </authors>
  <commentList>
    <comment ref="K32" authorId="0" shapeId="0">
      <text>
        <r>
          <rPr>
            <b/>
            <sz val="9"/>
            <color indexed="81"/>
            <rFont val="Tahoma"/>
            <family val="2"/>
          </rPr>
          <t>Dave:</t>
        </r>
        <r>
          <rPr>
            <sz val="9"/>
            <color indexed="81"/>
            <rFont val="Tahoma"/>
            <family val="2"/>
          </rPr>
          <t xml:space="preserve">
currently returns E (col7); should it be E05 (col8)?</t>
        </r>
      </text>
    </comment>
    <comment ref="G37" authorId="0" shapeId="0">
      <text>
        <r>
          <rPr>
            <b/>
            <sz val="9"/>
            <color indexed="81"/>
            <rFont val="Tahoma"/>
            <family val="2"/>
          </rPr>
          <t>Dave:</t>
        </r>
        <r>
          <rPr>
            <sz val="9"/>
            <color indexed="81"/>
            <rFont val="Tahoma"/>
            <family val="2"/>
          </rPr>
          <t xml:space="preserve">
O86 K-factors for service condition, treatment, etc?</t>
        </r>
      </text>
    </comment>
    <comment ref="G76" authorId="0" shapeId="0">
      <text>
        <r>
          <rPr>
            <b/>
            <sz val="9"/>
            <color indexed="81"/>
            <rFont val="Tahoma"/>
            <family val="2"/>
          </rPr>
          <t>Dave:</t>
        </r>
        <r>
          <rPr>
            <sz val="9"/>
            <color indexed="81"/>
            <rFont val="Tahoma"/>
            <family val="2"/>
          </rPr>
          <t xml:space="preserve">
xfrm according to Manbeck webinar</t>
        </r>
      </text>
    </comment>
    <comment ref="G77" authorId="0" shapeId="0">
      <text>
        <r>
          <rPr>
            <b/>
            <sz val="9"/>
            <color indexed="81"/>
            <rFont val="Tahoma"/>
            <family val="2"/>
          </rPr>
          <t>Dave:</t>
        </r>
        <r>
          <rPr>
            <sz val="9"/>
            <color indexed="81"/>
            <rFont val="Tahoma"/>
            <family val="2"/>
          </rPr>
          <t xml:space="preserve">
xfrm according to Manbeck webinar</t>
        </r>
      </text>
    </comment>
    <comment ref="G80" authorId="0" shapeId="0">
      <text>
        <r>
          <rPr>
            <b/>
            <sz val="9"/>
            <color indexed="81"/>
            <rFont val="Tahoma"/>
            <family val="2"/>
          </rPr>
          <t>Dave:</t>
        </r>
        <r>
          <rPr>
            <sz val="9"/>
            <color indexed="81"/>
            <rFont val="Tahoma"/>
            <family val="2"/>
          </rPr>
          <t xml:space="preserve">
xfrm according to Manbeck webinar</t>
        </r>
      </text>
    </comment>
    <comment ref="G81" authorId="0" shapeId="0">
      <text>
        <r>
          <rPr>
            <b/>
            <sz val="9"/>
            <color indexed="81"/>
            <rFont val="Tahoma"/>
            <family val="2"/>
          </rPr>
          <t>Dave:</t>
        </r>
        <r>
          <rPr>
            <sz val="9"/>
            <color indexed="81"/>
            <rFont val="Tahoma"/>
            <family val="2"/>
          </rPr>
          <t xml:space="preserve">
xfrm according to Manbeck webinar</t>
        </r>
      </text>
    </comment>
  </commentList>
</comments>
</file>

<file path=xl/comments2.xml><?xml version="1.0" encoding="utf-8"?>
<comments xmlns="http://schemas.openxmlformats.org/spreadsheetml/2006/main">
  <authors>
    <author>Dave</author>
    <author>Dave_PC</author>
  </authors>
  <commentList>
    <comment ref="C9" authorId="0" shapeId="0">
      <text>
        <r>
          <rPr>
            <b/>
            <sz val="9"/>
            <color indexed="81"/>
            <rFont val="Tahoma"/>
            <family val="2"/>
          </rPr>
          <t>Dave:</t>
        </r>
        <r>
          <rPr>
            <sz val="9"/>
            <color indexed="81"/>
            <rFont val="Tahoma"/>
            <family val="2"/>
          </rPr>
          <t xml:space="preserve">
sorted column(s); does not match order listed in O86</t>
        </r>
      </text>
    </comment>
    <comment ref="E9" authorId="0" shapeId="0">
      <text>
        <r>
          <rPr>
            <b/>
            <sz val="9"/>
            <color indexed="81"/>
            <rFont val="Tahoma"/>
            <family val="2"/>
          </rPr>
          <t>Dave:</t>
        </r>
        <r>
          <rPr>
            <sz val="9"/>
            <color indexed="81"/>
            <rFont val="Tahoma"/>
            <family val="2"/>
          </rPr>
          <t xml:space="preserve">
b &lt;= KS_wet_size</t>
        </r>
      </text>
    </comment>
    <comment ref="F9" authorId="0" shapeId="0">
      <text>
        <r>
          <rPr>
            <b/>
            <sz val="9"/>
            <color indexed="81"/>
            <rFont val="Tahoma"/>
            <family val="2"/>
          </rPr>
          <t>Dave:</t>
        </r>
        <r>
          <rPr>
            <sz val="9"/>
            <color indexed="81"/>
            <rFont val="Tahoma"/>
            <family val="2"/>
          </rPr>
          <t xml:space="preserve">
b &gt; KS_wet_size</t>
        </r>
      </text>
    </comment>
    <comment ref="G9" authorId="0" shapeId="0">
      <text>
        <r>
          <rPr>
            <b/>
            <sz val="9"/>
            <color indexed="81"/>
            <rFont val="Tahoma"/>
            <family val="2"/>
          </rPr>
          <t>Dave:</t>
        </r>
        <r>
          <rPr>
            <sz val="9"/>
            <color indexed="81"/>
            <rFont val="Tahoma"/>
            <family val="2"/>
          </rPr>
          <t xml:space="preserve">
least dimension, b, of member in question (mm)</t>
        </r>
      </text>
    </comment>
    <comment ref="B19" authorId="0" shapeId="0">
      <text>
        <r>
          <rPr>
            <b/>
            <sz val="9"/>
            <color indexed="81"/>
            <rFont val="Tahoma"/>
            <family val="2"/>
          </rPr>
          <t>Dave:</t>
        </r>
        <r>
          <rPr>
            <sz val="9"/>
            <color indexed="81"/>
            <rFont val="Tahoma"/>
            <family val="2"/>
          </rPr>
          <t xml:space="preserve">
sorted column(s); does not match order listed in O86</t>
        </r>
      </text>
    </comment>
    <comment ref="C25" authorId="0" shapeId="0">
      <text>
        <r>
          <rPr>
            <b/>
            <sz val="9"/>
            <color indexed="81"/>
            <rFont val="Tahoma"/>
            <family val="2"/>
          </rPr>
          <t>Dave:</t>
        </r>
        <r>
          <rPr>
            <sz val="9"/>
            <color indexed="81"/>
            <rFont val="Tahoma"/>
            <family val="2"/>
          </rPr>
          <t xml:space="preserve">
sorted column(s); does not match order listed in O86</t>
        </r>
      </text>
    </comment>
    <comment ref="D25" authorId="0" shapeId="0">
      <text>
        <r>
          <rPr>
            <b/>
            <sz val="9"/>
            <color indexed="81"/>
            <rFont val="Tahoma"/>
            <family val="2"/>
          </rPr>
          <t>Dave:</t>
        </r>
        <r>
          <rPr>
            <sz val="9"/>
            <color indexed="81"/>
            <rFont val="Tahoma"/>
            <family val="2"/>
          </rPr>
          <t xml:space="preserve">
"no system"</t>
        </r>
      </text>
    </comment>
    <comment ref="E25" authorId="0" shapeId="0">
      <text>
        <r>
          <rPr>
            <b/>
            <sz val="9"/>
            <color indexed="81"/>
            <rFont val="Tahoma"/>
            <family val="2"/>
          </rPr>
          <t>Dave:</t>
        </r>
        <r>
          <rPr>
            <sz val="9"/>
            <color indexed="81"/>
            <rFont val="Tahoma"/>
            <family val="2"/>
          </rPr>
          <t xml:space="preserve">
"Case 1" system</t>
        </r>
      </text>
    </comment>
    <comment ref="F25" authorId="0" shapeId="0">
      <text>
        <r>
          <rPr>
            <b/>
            <sz val="9"/>
            <color indexed="81"/>
            <rFont val="Tahoma"/>
            <family val="2"/>
          </rPr>
          <t>Dave:</t>
        </r>
        <r>
          <rPr>
            <sz val="9"/>
            <color indexed="81"/>
            <rFont val="Tahoma"/>
            <family val="2"/>
          </rPr>
          <t xml:space="preserve">
"Case 2" system</t>
        </r>
      </text>
    </comment>
    <comment ref="F29" authorId="0" shapeId="0">
      <text>
        <r>
          <rPr>
            <b/>
            <sz val="9"/>
            <color indexed="81"/>
            <rFont val="Tahoma"/>
            <family val="2"/>
          </rPr>
          <t>Dave:</t>
        </r>
        <r>
          <rPr>
            <sz val="9"/>
            <color indexed="81"/>
            <rFont val="Tahoma"/>
            <family val="2"/>
          </rPr>
          <t xml:space="preserve">
standard lists this value as "-" suggesting it is not applicable; it would seem that setting the value to "1.0" would have the same effect</t>
        </r>
      </text>
    </comment>
    <comment ref="B33" authorId="0" shapeId="0">
      <text>
        <r>
          <rPr>
            <b/>
            <sz val="9"/>
            <color indexed="81"/>
            <rFont val="Tahoma"/>
            <family val="2"/>
          </rPr>
          <t>Dave:</t>
        </r>
        <r>
          <rPr>
            <sz val="9"/>
            <color indexed="81"/>
            <rFont val="Tahoma"/>
            <family val="2"/>
          </rPr>
          <t xml:space="preserve">
lower threshold value for b (mm); i.e. 65 indicates validity for d &lt; 64 mm</t>
        </r>
      </text>
    </comment>
    <comment ref="C33" authorId="0" shapeId="0">
      <text>
        <r>
          <rPr>
            <b/>
            <sz val="9"/>
            <color indexed="81"/>
            <rFont val="Tahoma"/>
            <family val="2"/>
          </rPr>
          <t>Dave:</t>
        </r>
        <r>
          <rPr>
            <sz val="9"/>
            <color indexed="81"/>
            <rFont val="Tahoma"/>
            <family val="2"/>
          </rPr>
          <t xml:space="preserve">
lower threshold value for d (mm); i.e. 39 indicates validity for d &lt; 39 mm</t>
        </r>
      </text>
    </comment>
    <comment ref="B51" authorId="1" shapeId="0">
      <text>
        <r>
          <rPr>
            <b/>
            <sz val="10"/>
            <color indexed="81"/>
            <rFont val="Tahoma"/>
            <family val="2"/>
          </rPr>
          <t>Dave_PC:</t>
        </r>
        <r>
          <rPr>
            <sz val="10"/>
            <color indexed="81"/>
            <rFont val="Tahoma"/>
            <family val="2"/>
          </rPr>
          <t xml:space="preserve">
lower threshold value for length of bearing, L</t>
        </r>
        <r>
          <rPr>
            <vertAlign val="subscript"/>
            <sz val="10"/>
            <color indexed="81"/>
            <rFont val="Tahoma"/>
            <family val="2"/>
          </rPr>
          <t>b</t>
        </r>
        <r>
          <rPr>
            <sz val="10"/>
            <color indexed="81"/>
            <rFont val="Tahoma"/>
            <family val="2"/>
          </rPr>
          <t xml:space="preserve"> (mm); i.e. 12.6 indicates validity for d &lt;= 12.5 mm</t>
        </r>
      </text>
    </comment>
  </commentList>
</comments>
</file>

<file path=xl/comments3.xml><?xml version="1.0" encoding="utf-8"?>
<comments xmlns="http://schemas.openxmlformats.org/spreadsheetml/2006/main">
  <authors>
    <author>Dave</author>
  </authors>
  <commentList>
    <comment ref="B2" authorId="0" shapeId="0">
      <text>
        <r>
          <rPr>
            <b/>
            <sz val="9"/>
            <color indexed="81"/>
            <rFont val="Tahoma"/>
            <family val="2"/>
          </rPr>
          <t>Dave:</t>
        </r>
        <r>
          <rPr>
            <sz val="9"/>
            <color indexed="81"/>
            <rFont val="Tahoma"/>
            <family val="2"/>
          </rPr>
          <t xml:space="preserve">
combination of tables 5.3.1A-D, p.23-25, O86-2009; resorted by code</t>
        </r>
      </text>
    </comment>
    <comment ref="A6" authorId="0" shapeId="0">
      <text>
        <r>
          <rPr>
            <b/>
            <sz val="9"/>
            <color indexed="81"/>
            <rFont val="Tahoma"/>
            <family val="2"/>
          </rPr>
          <t>Dave:</t>
        </r>
        <r>
          <rPr>
            <sz val="9"/>
            <color indexed="81"/>
            <rFont val="Tahoma"/>
            <family val="2"/>
          </rPr>
          <t xml:space="preserve">
original unsorted tables</t>
        </r>
      </text>
    </comment>
  </commentList>
</comments>
</file>

<file path=xl/comments4.xml><?xml version="1.0" encoding="utf-8"?>
<comments xmlns="http://schemas.openxmlformats.org/spreadsheetml/2006/main">
  <authors>
    <author>Dave</author>
  </authors>
  <commentList>
    <comment ref="C18" authorId="0" shapeId="0">
      <text>
        <r>
          <rPr>
            <b/>
            <sz val="9"/>
            <color indexed="81"/>
            <rFont val="Tahoma"/>
            <family val="2"/>
          </rPr>
          <t>Dave:</t>
        </r>
        <r>
          <rPr>
            <sz val="9"/>
            <color indexed="81"/>
            <rFont val="Tahoma"/>
            <family val="2"/>
          </rPr>
          <t xml:space="preserve">
according to Manbeck webinar [P] = [Pf] + [Pr], but does not appear to be the case in DAFI</t>
        </r>
      </text>
    </comment>
  </commentList>
</comments>
</file>

<file path=xl/comments5.xml><?xml version="1.0" encoding="utf-8"?>
<comments xmlns="http://schemas.openxmlformats.org/spreadsheetml/2006/main">
  <authors>
    <author>Dave</author>
  </authors>
  <commentList>
    <comment ref="F11" authorId="0" shapeId="0">
      <text>
        <r>
          <rPr>
            <b/>
            <sz val="9"/>
            <color indexed="81"/>
            <rFont val="Tahoma"/>
            <family val="2"/>
          </rPr>
          <t>Dave:</t>
        </r>
        <r>
          <rPr>
            <sz val="9"/>
            <color indexed="81"/>
            <rFont val="Tahoma"/>
            <family val="2"/>
          </rPr>
          <t xml:space="preserve">
Multiply an assumed lateral sliding resistance of 6 kPa (130 lb/ft2) by the contact area. Use the lesser of the lateral sliding resistance and one-half the dead load.</t>
        </r>
      </text>
    </comment>
  </commentList>
</comments>
</file>

<file path=xl/sharedStrings.xml><?xml version="1.0" encoding="utf-8"?>
<sst xmlns="http://schemas.openxmlformats.org/spreadsheetml/2006/main" count="4226" uniqueCount="1544">
  <si>
    <t>ft</t>
  </si>
  <si>
    <t>Description</t>
  </si>
  <si>
    <t>Variable &amp; Formula</t>
  </si>
  <si>
    <t>Value</t>
  </si>
  <si>
    <t>Units</t>
  </si>
  <si>
    <t>Reference</t>
  </si>
  <si>
    <t>snow</t>
  </si>
  <si>
    <t>wind</t>
  </si>
  <si>
    <t>other</t>
  </si>
  <si>
    <t>@ typical interior frame</t>
  </si>
  <si>
    <t>@ end walls</t>
  </si>
  <si>
    <t>eave height</t>
  </si>
  <si>
    <t>post embedment detpth</t>
  </si>
  <si>
    <t>D</t>
  </si>
  <si>
    <t># bays</t>
  </si>
  <si>
    <t>bldg width</t>
  </si>
  <si>
    <t>roof slope</t>
  </si>
  <si>
    <t>Ss</t>
  </si>
  <si>
    <t>Sr</t>
  </si>
  <si>
    <t>q</t>
  </si>
  <si>
    <t>L</t>
  </si>
  <si>
    <t>E</t>
  </si>
  <si>
    <t>soil</t>
  </si>
  <si>
    <t>theta</t>
  </si>
  <si>
    <t>W</t>
  </si>
  <si>
    <t>H1</t>
  </si>
  <si>
    <t>s</t>
  </si>
  <si>
    <t>basic loads</t>
  </si>
  <si>
    <t>frame loads</t>
  </si>
  <si>
    <t>@ special frames</t>
  </si>
  <si>
    <t>bldg length</t>
  </si>
  <si>
    <t>truss height</t>
  </si>
  <si>
    <t>H2</t>
  </si>
  <si>
    <t>tan(theta) = H2/(W/2)</t>
  </si>
  <si>
    <t>eave overhang</t>
  </si>
  <si>
    <t>location(s) of special frame(s)</t>
  </si>
  <si>
    <t>post spacing, regular</t>
  </si>
  <si>
    <t>S</t>
  </si>
  <si>
    <t>@ roof</t>
  </si>
  <si>
    <t>@ walls</t>
  </si>
  <si>
    <t>@ ceiling</t>
  </si>
  <si>
    <t>DAFI calculation</t>
  </si>
  <si>
    <t>critical post(s)</t>
  </si>
  <si>
    <t>shear</t>
  </si>
  <si>
    <t>moment</t>
  </si>
  <si>
    <t>Mf</t>
  </si>
  <si>
    <t>Vf</t>
  </si>
  <si>
    <t>post embedment</t>
  </si>
  <si>
    <t>other specifications</t>
  </si>
  <si>
    <t>building geometry</t>
  </si>
  <si>
    <t>diaphragms</t>
  </si>
  <si>
    <t>constraint</t>
  </si>
  <si>
    <t>collars</t>
  </si>
  <si>
    <t>other...</t>
  </si>
  <si>
    <t>footings</t>
  </si>
  <si>
    <t>posts</t>
  </si>
  <si>
    <t>species</t>
  </si>
  <si>
    <t>grade</t>
  </si>
  <si>
    <t>size</t>
  </si>
  <si>
    <t>plies</t>
  </si>
  <si>
    <t>treatment</t>
  </si>
  <si>
    <t>bare frame stiffness</t>
  </si>
  <si>
    <t>diaphragm panel stiffness</t>
  </si>
  <si>
    <t>c</t>
  </si>
  <si>
    <t>n</t>
  </si>
  <si>
    <t>L = s n</t>
  </si>
  <si>
    <r>
      <t>k</t>
    </r>
    <r>
      <rPr>
        <vertAlign val="subscript"/>
        <sz val="10"/>
        <rFont val="Arial"/>
        <family val="2"/>
      </rPr>
      <t>1</t>
    </r>
  </si>
  <si>
    <r>
      <t>k</t>
    </r>
    <r>
      <rPr>
        <vertAlign val="subscript"/>
        <sz val="10"/>
        <rFont val="Arial"/>
        <family val="2"/>
      </rPr>
      <t>n+1</t>
    </r>
  </si>
  <si>
    <r>
      <t>k</t>
    </r>
    <r>
      <rPr>
        <vertAlign val="subscript"/>
        <sz val="10"/>
        <rFont val="Arial"/>
        <family val="2"/>
      </rPr>
      <t>?</t>
    </r>
  </si>
  <si>
    <t>a</t>
  </si>
  <si>
    <t>b</t>
  </si>
  <si>
    <t>soil type</t>
  </si>
  <si>
    <r>
      <t>k</t>
    </r>
    <r>
      <rPr>
        <vertAlign val="subscript"/>
        <sz val="10"/>
        <rFont val="Arial"/>
        <family val="2"/>
      </rPr>
      <t>i (i = 2 to n)</t>
    </r>
  </si>
  <si>
    <r>
      <t>c</t>
    </r>
    <r>
      <rPr>
        <vertAlign val="subscript"/>
        <sz val="10"/>
        <rFont val="Arial"/>
        <family val="2"/>
      </rPr>
      <t>hia</t>
    </r>
  </si>
  <si>
    <r>
      <t>c</t>
    </r>
    <r>
      <rPr>
        <vertAlign val="subscript"/>
        <sz val="10"/>
        <rFont val="Arial"/>
        <family val="2"/>
      </rPr>
      <t>hib</t>
    </r>
  </si>
  <si>
    <r>
      <t>c</t>
    </r>
    <r>
      <rPr>
        <vertAlign val="subscript"/>
        <sz val="10"/>
        <rFont val="Arial"/>
        <family val="2"/>
      </rPr>
      <t>hic</t>
    </r>
  </si>
  <si>
    <t>description</t>
  </si>
  <si>
    <t>formula</t>
  </si>
  <si>
    <t>value</t>
  </si>
  <si>
    <t>units</t>
  </si>
  <si>
    <t>reference</t>
  </si>
  <si>
    <t>B</t>
  </si>
  <si>
    <t>given</t>
  </si>
  <si>
    <t>m</t>
  </si>
  <si>
    <t>Eave height</t>
  </si>
  <si>
    <t>H</t>
  </si>
  <si>
    <t>Roof slope</t>
  </si>
  <si>
    <t>°</t>
  </si>
  <si>
    <t>Reference height</t>
  </si>
  <si>
    <t>h</t>
  </si>
  <si>
    <t>NBCC-2005</t>
  </si>
  <si>
    <t>Fig. I-7</t>
  </si>
  <si>
    <t>Smaller plan dimension</t>
  </si>
  <si>
    <r>
      <t>D</t>
    </r>
    <r>
      <rPr>
        <vertAlign val="subscript"/>
        <sz val="10"/>
        <rFont val="Arial"/>
        <family val="2"/>
      </rPr>
      <t>s</t>
    </r>
  </si>
  <si>
    <t>Table I-2</t>
  </si>
  <si>
    <t>Validity checks</t>
  </si>
  <si>
    <t>Internal pressure coefficient, range</t>
  </si>
  <si>
    <r>
      <t>C</t>
    </r>
    <r>
      <rPr>
        <vertAlign val="subscript"/>
        <sz val="10"/>
        <rFont val="Arial"/>
        <family val="2"/>
      </rPr>
      <t>pi</t>
    </r>
  </si>
  <si>
    <t>Category 3</t>
  </si>
  <si>
    <t>I-31</t>
  </si>
  <si>
    <t>Case 1, min</t>
  </si>
  <si>
    <t>Case 2, max</t>
  </si>
  <si>
    <t>Importance factor</t>
  </si>
  <si>
    <t>Table 4.1.7.1</t>
  </si>
  <si>
    <t>1/50 yr reference velocity pressure</t>
  </si>
  <si>
    <t>kPa</t>
  </si>
  <si>
    <t>Table C-2</t>
  </si>
  <si>
    <t>Exposure coefficient</t>
  </si>
  <si>
    <r>
      <t>C</t>
    </r>
    <r>
      <rPr>
        <vertAlign val="subscript"/>
        <sz val="10"/>
        <rFont val="Arial"/>
        <family val="2"/>
      </rPr>
      <t>e</t>
    </r>
  </si>
  <si>
    <t>4.1.7.1(5)</t>
  </si>
  <si>
    <t>Gust factor</t>
  </si>
  <si>
    <t>internal</t>
  </si>
  <si>
    <r>
      <t>C</t>
    </r>
    <r>
      <rPr>
        <vertAlign val="subscript"/>
        <sz val="10"/>
        <rFont val="Arial"/>
        <family val="2"/>
      </rPr>
      <t>gi</t>
    </r>
  </si>
  <si>
    <t>4.1.7.1(6)</t>
  </si>
  <si>
    <t>external</t>
  </si>
  <si>
    <r>
      <t>C</t>
    </r>
    <r>
      <rPr>
        <vertAlign val="subscript"/>
        <sz val="10"/>
        <rFont val="Arial"/>
        <family val="2"/>
      </rPr>
      <t>g</t>
    </r>
  </si>
  <si>
    <t>Wind pressure, external</t>
  </si>
  <si>
    <r>
      <t>p</t>
    </r>
    <r>
      <rPr>
        <vertAlign val="subscript"/>
        <sz val="10"/>
        <rFont val="Arial"/>
        <family val="2"/>
      </rPr>
      <t>e</t>
    </r>
  </si>
  <si>
    <t>4.1.7.1(1)</t>
  </si>
  <si>
    <t>Wind pressure, internal</t>
  </si>
  <si>
    <r>
      <t>p</t>
    </r>
    <r>
      <rPr>
        <vertAlign val="subscript"/>
        <sz val="10"/>
        <rFont val="Arial"/>
        <family val="2"/>
      </rPr>
      <t>i</t>
    </r>
  </si>
  <si>
    <t>4.1.7.1(3)</t>
  </si>
  <si>
    <t>in</t>
  </si>
  <si>
    <t>Load Case</t>
  </si>
  <si>
    <r>
      <t xml:space="preserve">Wind Angle, </t>
    </r>
    <r>
      <rPr>
        <sz val="10"/>
        <rFont val="GreekC"/>
      </rPr>
      <t>ϕ</t>
    </r>
    <r>
      <rPr>
        <sz val="10"/>
        <rFont val="Arial"/>
        <family val="2"/>
      </rPr>
      <t>°</t>
    </r>
  </si>
  <si>
    <r>
      <t>C</t>
    </r>
    <r>
      <rPr>
        <vertAlign val="subscript"/>
        <sz val="10"/>
        <rFont val="Arial"/>
        <family val="2"/>
      </rPr>
      <t xml:space="preserve">pi </t>
    </r>
    <r>
      <rPr>
        <sz val="10"/>
        <rFont val="Arial"/>
        <family val="2"/>
      </rPr>
      <t>C</t>
    </r>
    <r>
      <rPr>
        <vertAlign val="subscript"/>
        <sz val="10"/>
        <rFont val="Arial"/>
        <family val="2"/>
      </rPr>
      <t>gi</t>
    </r>
  </si>
  <si>
    <r>
      <t>0</t>
    </r>
    <r>
      <rPr>
        <sz val="10"/>
        <rFont val="Arial"/>
        <family val="2"/>
      </rPr>
      <t>°</t>
    </r>
    <r>
      <rPr>
        <sz val="10"/>
        <rFont val="Arial"/>
        <family val="2"/>
      </rPr>
      <t xml:space="preserve"> - 90</t>
    </r>
    <r>
      <rPr>
        <sz val="10"/>
        <rFont val="Arial"/>
        <family val="2"/>
      </rPr>
      <t>°</t>
    </r>
  </si>
  <si>
    <r>
      <t>External peak composite pressure-gust coefficients, C</t>
    </r>
    <r>
      <rPr>
        <vertAlign val="subscript"/>
        <sz val="10"/>
        <rFont val="Arial"/>
        <family val="2"/>
      </rPr>
      <t xml:space="preserve">p </t>
    </r>
    <r>
      <rPr>
        <sz val="10"/>
        <rFont val="Arial"/>
        <family val="2"/>
      </rPr>
      <t>C</t>
    </r>
    <r>
      <rPr>
        <vertAlign val="subscript"/>
        <sz val="10"/>
        <rFont val="Arial"/>
        <family val="2"/>
      </rPr>
      <t>g</t>
    </r>
  </si>
  <si>
    <t>Bldg Surface</t>
  </si>
  <si>
    <t>1E</t>
  </si>
  <si>
    <t>2E</t>
  </si>
  <si>
    <t>3E</t>
  </si>
  <si>
    <t>4E</t>
  </si>
  <si>
    <t>5E</t>
  </si>
  <si>
    <t>6E</t>
  </si>
  <si>
    <t>A</t>
  </si>
  <si>
    <r>
      <t>45</t>
    </r>
    <r>
      <rPr>
        <sz val="10"/>
        <rFont val="Arial"/>
        <family val="2"/>
      </rPr>
      <t>°</t>
    </r>
    <r>
      <rPr>
        <sz val="10"/>
        <rFont val="Arial"/>
        <family val="2"/>
      </rPr>
      <t xml:space="preserve"> - 90</t>
    </r>
    <r>
      <rPr>
        <sz val="10"/>
        <rFont val="Arial"/>
        <family val="2"/>
      </rPr>
      <t>°</t>
    </r>
  </si>
  <si>
    <r>
      <t>0</t>
    </r>
    <r>
      <rPr>
        <sz val="10"/>
        <rFont val="Arial"/>
        <family val="2"/>
      </rPr>
      <t>°</t>
    </r>
    <r>
      <rPr>
        <sz val="10"/>
        <rFont val="Arial"/>
        <family val="2"/>
      </rPr>
      <t xml:space="preserve"> - 5</t>
    </r>
    <r>
      <rPr>
        <sz val="10"/>
        <rFont val="Arial"/>
        <family val="2"/>
      </rPr>
      <t>°</t>
    </r>
  </si>
  <si>
    <r>
      <t>20</t>
    </r>
    <r>
      <rPr>
        <sz val="10"/>
        <rFont val="Arial"/>
        <family val="2"/>
      </rPr>
      <t>°</t>
    </r>
  </si>
  <si>
    <r>
      <t>30</t>
    </r>
    <r>
      <rPr>
        <sz val="10"/>
        <rFont val="Arial"/>
        <family val="2"/>
      </rPr>
      <t>°</t>
    </r>
    <r>
      <rPr>
        <sz val="10"/>
        <rFont val="Arial"/>
        <family val="2"/>
      </rPr>
      <t xml:space="preserve"> - 45</t>
    </r>
    <r>
      <rPr>
        <sz val="10"/>
        <rFont val="Arial"/>
        <family val="2"/>
      </rPr>
      <t>°</t>
    </r>
  </si>
  <si>
    <r>
      <t>90</t>
    </r>
    <r>
      <rPr>
        <sz val="10"/>
        <rFont val="Arial"/>
        <family val="2"/>
      </rPr>
      <t>°</t>
    </r>
    <r>
      <rPr>
        <sz val="10"/>
        <rFont val="Arial"/>
        <family val="2"/>
      </rPr>
      <t/>
    </r>
  </si>
  <si>
    <r>
      <t>0</t>
    </r>
    <r>
      <rPr>
        <sz val="10"/>
        <rFont val="Arial"/>
        <family val="2"/>
      </rPr>
      <t>°</t>
    </r>
    <r>
      <rPr>
        <sz val="10"/>
        <rFont val="Arial"/>
        <family val="2"/>
      </rPr>
      <t xml:space="preserve"> - 45</t>
    </r>
    <r>
      <rPr>
        <sz val="10"/>
        <rFont val="Arial"/>
        <family val="2"/>
      </rPr>
      <t>°</t>
    </r>
  </si>
  <si>
    <t>min</t>
  </si>
  <si>
    <t>max</t>
  </si>
  <si>
    <r>
      <t>Bldg Surfaces</t>
    </r>
    <r>
      <rPr>
        <vertAlign val="subscript"/>
        <sz val="10"/>
        <rFont val="Arial"/>
        <family val="2"/>
      </rPr>
      <t>1</t>
    </r>
  </si>
  <si>
    <t>eave wall, windward</t>
  </si>
  <si>
    <t>roof, windward</t>
  </si>
  <si>
    <t>roof, leeward</t>
  </si>
  <si>
    <t>notes:</t>
  </si>
  <si>
    <t>eave wall, leeward</t>
  </si>
  <si>
    <t>1)</t>
  </si>
  <si>
    <r>
      <t>Wind Angle</t>
    </r>
    <r>
      <rPr>
        <sz val="12"/>
        <rFont val="Arial"/>
        <family val="2"/>
      </rPr>
      <t>:  Wind angle is measured relative to the ridge of the building.  Parallel wind is at an angle of 0°; perpendicular wind is at an angle of 90°.</t>
    </r>
  </si>
  <si>
    <t>gable wall, windward</t>
  </si>
  <si>
    <t>2)</t>
  </si>
  <si>
    <r>
      <t>Sign convention</t>
    </r>
    <r>
      <rPr>
        <sz val="12"/>
        <rFont val="Arial"/>
        <family val="2"/>
      </rPr>
      <t>: NBCC-2005 treats pressure directed towards the surface of the building as positive and pressure directed away from the surface (suction) as negative.</t>
    </r>
  </si>
  <si>
    <t>3)</t>
  </si>
  <si>
    <r>
      <t>Categories</t>
    </r>
    <r>
      <rPr>
        <sz val="12"/>
        <rFont val="Arial"/>
        <family val="2"/>
      </rPr>
      <t>: As per NBCC-2005, Commentary I-31:
Category 1 - buildings without any large or significant openings, but having small uniformly distributed openings amounting to less than 0.1% of total surface area (i.e. a high-rise building that is normally sealed)
Category 2 - buildings in which significant openings, if there are any, can be relied on to be closed during storms but in which background leakage may not be uniformly distributed (i.e. typical low-rise buildings or high-rise buildings with operable windows or balcony doors)
Category 3 - buildings with large or significant openings through which gusts are transmitted to the interior (i.e. sheds with one or more open sides, industrial buildings with shipping doors or ventilations systems that are likely to be open during a storm or not fully resistant to design wind loads)</t>
    </r>
  </si>
  <si>
    <t>4)</t>
  </si>
  <si>
    <r>
      <t>Reference</t>
    </r>
    <r>
      <rPr>
        <sz val="12"/>
        <rFont val="Arial"/>
        <family val="2"/>
      </rPr>
      <t>: NBCC-2005, Commentary I, Figure I-7.</t>
    </r>
  </si>
  <si>
    <t>common input</t>
  </si>
  <si>
    <t>/ 12</t>
  </si>
  <si>
    <t>importance factor</t>
  </si>
  <si>
    <t>Table 4.1.6.2</t>
  </si>
  <si>
    <t>1-in-50-year ground snow load</t>
  </si>
  <si>
    <r>
      <t>S</t>
    </r>
    <r>
      <rPr>
        <vertAlign val="subscript"/>
        <sz val="10"/>
        <rFont val="Arial"/>
        <family val="2"/>
      </rPr>
      <t>s</t>
    </r>
    <r>
      <rPr>
        <sz val="10"/>
        <rFont val="Arial"/>
        <family val="2"/>
      </rPr>
      <t/>
    </r>
  </si>
  <si>
    <t>psf</t>
  </si>
  <si>
    <t>1-in-50-year associated rain load</t>
  </si>
  <si>
    <r>
      <t>S</t>
    </r>
    <r>
      <rPr>
        <vertAlign val="subscript"/>
        <sz val="10"/>
        <rFont val="Arial"/>
        <family val="2"/>
      </rPr>
      <t>r</t>
    </r>
  </si>
  <si>
    <r>
      <t>C</t>
    </r>
    <r>
      <rPr>
        <vertAlign val="subscript"/>
        <sz val="10"/>
        <rFont val="Arial"/>
        <family val="2"/>
      </rPr>
      <t>w</t>
    </r>
  </si>
  <si>
    <t>bldg area</t>
  </si>
  <si>
    <r>
      <t>m</t>
    </r>
    <r>
      <rPr>
        <vertAlign val="superscript"/>
        <sz val="10"/>
        <rFont val="Arial"/>
        <family val="2"/>
      </rPr>
      <t>2</t>
    </r>
  </si>
  <si>
    <t>Part 4</t>
  </si>
  <si>
    <t>basic roof snow load factor</t>
  </si>
  <si>
    <t>4.1.6.2.(2)</t>
  </si>
  <si>
    <t>wind exposure factor</t>
  </si>
  <si>
    <r>
      <t>C</t>
    </r>
    <r>
      <rPr>
        <vertAlign val="subscript"/>
        <sz val="10"/>
        <rFont val="Arial"/>
        <family val="2"/>
      </rPr>
      <t>w</t>
    </r>
    <r>
      <rPr>
        <sz val="10"/>
        <rFont val="Arial"/>
        <family val="2"/>
      </rPr>
      <t/>
    </r>
  </si>
  <si>
    <t>4.1.6.2.(3)</t>
  </si>
  <si>
    <t>slope factor, regular roof</t>
  </si>
  <si>
    <r>
      <t>C</t>
    </r>
    <r>
      <rPr>
        <vertAlign val="subscript"/>
        <sz val="10"/>
        <rFont val="Arial"/>
        <family val="2"/>
      </rPr>
      <t>s</t>
    </r>
  </si>
  <si>
    <t>4.1.6.2.(5)</t>
  </si>
  <si>
    <t>shape factor, Case I: balanced</t>
  </si>
  <si>
    <r>
      <t>C</t>
    </r>
    <r>
      <rPr>
        <vertAlign val="subscript"/>
        <sz val="10"/>
        <rFont val="Arial"/>
        <family val="2"/>
      </rPr>
      <t>ab</t>
    </r>
  </si>
  <si>
    <t>= 1.0</t>
  </si>
  <si>
    <t>4.1.6.2.(8)</t>
  </si>
  <si>
    <t>shape factor, Case II: unbalanced</t>
  </si>
  <si>
    <r>
      <t>C</t>
    </r>
    <r>
      <rPr>
        <vertAlign val="subscript"/>
        <sz val="10"/>
        <rFont val="Arial"/>
        <family val="2"/>
      </rPr>
      <t>au</t>
    </r>
  </si>
  <si>
    <t>Commentary G</t>
  </si>
  <si>
    <t>specified snow load, balanced</t>
  </si>
  <si>
    <r>
      <t>S</t>
    </r>
    <r>
      <rPr>
        <vertAlign val="subscript"/>
        <sz val="10"/>
        <rFont val="Arial"/>
        <family val="2"/>
      </rPr>
      <t>b</t>
    </r>
  </si>
  <si>
    <t>4.1.6.2</t>
  </si>
  <si>
    <t>specified snow load, unbalanced</t>
  </si>
  <si>
    <r>
      <t>S</t>
    </r>
    <r>
      <rPr>
        <vertAlign val="subscript"/>
        <sz val="10"/>
        <rFont val="Arial"/>
        <family val="2"/>
      </rPr>
      <t>u</t>
    </r>
  </si>
  <si>
    <t>Part 9</t>
  </si>
  <si>
    <t>= if(W&lt;4.3m,0.45,0.55)</t>
  </si>
  <si>
    <t>9.4.2.2</t>
  </si>
  <si>
    <t>NBCC-2005 listed location</t>
  </si>
  <si>
    <t>Elev.,
m</t>
  </si>
  <si>
    <t>Design Temperature</t>
  </si>
  <si>
    <t>Degree-Days
Below 18°C</t>
  </si>
  <si>
    <t>15 Min.
Rain,
mm</t>
  </si>
  <si>
    <t>One Day
Rain, 1/50,
mm</t>
  </si>
  <si>
    <t>Annual
Rain,
mm</t>
  </si>
  <si>
    <t>Moisture
Index</t>
  </si>
  <si>
    <t>Annual Total
Precipitation,
mm</t>
  </si>
  <si>
    <t>Driving Rain
Wind Pressure,
Pa, 1/5</t>
  </si>
  <si>
    <t>Snow Load
kPa, 1/50</t>
  </si>
  <si>
    <t>Hourly Wind
Pressure, kPa</t>
  </si>
  <si>
    <t>Seismic Data</t>
  </si>
  <si>
    <t>January</t>
  </si>
  <si>
    <t>July 2.5%</t>
  </si>
  <si>
    <t>2.5% °C</t>
  </si>
  <si>
    <t>1% °C</t>
  </si>
  <si>
    <t>Dry °C</t>
  </si>
  <si>
    <t>Wet °C</t>
  </si>
  <si>
    <r>
      <t>S</t>
    </r>
    <r>
      <rPr>
        <b/>
        <vertAlign val="subscript"/>
        <sz val="14"/>
        <rFont val="Arial"/>
        <family val="2"/>
      </rPr>
      <t>s</t>
    </r>
  </si>
  <si>
    <r>
      <t>S</t>
    </r>
    <r>
      <rPr>
        <b/>
        <vertAlign val="subscript"/>
        <sz val="14"/>
        <rFont val="Arial"/>
        <family val="2"/>
      </rPr>
      <t>r</t>
    </r>
  </si>
  <si>
    <r>
      <t>q</t>
    </r>
    <r>
      <rPr>
        <b/>
        <vertAlign val="subscript"/>
        <sz val="14"/>
        <rFont val="Arial"/>
        <family val="2"/>
      </rPr>
      <t>1/10</t>
    </r>
  </si>
  <si>
    <r>
      <t>q</t>
    </r>
    <r>
      <rPr>
        <b/>
        <vertAlign val="subscript"/>
        <sz val="14"/>
        <rFont val="Arial"/>
        <family val="2"/>
      </rPr>
      <t>1/50</t>
    </r>
  </si>
  <si>
    <r>
      <t>S</t>
    </r>
    <r>
      <rPr>
        <vertAlign val="subscript"/>
        <sz val="12"/>
        <rFont val="Arial"/>
        <family val="2"/>
      </rPr>
      <t>a</t>
    </r>
    <r>
      <rPr>
        <sz val="12"/>
        <rFont val="Arial"/>
        <family val="2"/>
      </rPr>
      <t>(0.2)</t>
    </r>
  </si>
  <si>
    <r>
      <t>S</t>
    </r>
    <r>
      <rPr>
        <vertAlign val="subscript"/>
        <sz val="12"/>
        <rFont val="Arial"/>
        <family val="2"/>
      </rPr>
      <t>a</t>
    </r>
    <r>
      <rPr>
        <sz val="12"/>
        <rFont val="Arial"/>
        <family val="2"/>
      </rPr>
      <t>(0.5)</t>
    </r>
  </si>
  <si>
    <r>
      <t>S</t>
    </r>
    <r>
      <rPr>
        <vertAlign val="subscript"/>
        <sz val="12"/>
        <rFont val="Arial"/>
        <family val="2"/>
      </rPr>
      <t>a</t>
    </r>
    <r>
      <rPr>
        <sz val="12"/>
        <rFont val="Arial"/>
        <family val="2"/>
      </rPr>
      <t>(1.0)</t>
    </r>
  </si>
  <si>
    <r>
      <t>S</t>
    </r>
    <r>
      <rPr>
        <vertAlign val="subscript"/>
        <sz val="12"/>
        <rFont val="Arial"/>
        <family val="2"/>
      </rPr>
      <t>a</t>
    </r>
    <r>
      <rPr>
        <sz val="12"/>
        <rFont val="Arial"/>
        <family val="2"/>
      </rPr>
      <t>(2.0)</t>
    </r>
  </si>
  <si>
    <t>PGA</t>
  </si>
  <si>
    <t>Quesnel</t>
  </si>
  <si>
    <t>BC</t>
  </si>
  <si>
    <t/>
  </si>
  <si>
    <t>Worst case combination</t>
  </si>
  <si>
    <t>Sorted by province...</t>
  </si>
  <si>
    <t>Sorted alphabetically...</t>
  </si>
  <si>
    <t>Porvince / Territory</t>
  </si>
  <si>
    <t>First row</t>
  </si>
  <si>
    <t># Rows</t>
  </si>
  <si>
    <t>Cities of selected province/territory</t>
  </si>
  <si>
    <t>Location</t>
  </si>
  <si>
    <t>Provincial
Index #</t>
  </si>
  <si>
    <t>#</t>
  </si>
  <si>
    <t>location A</t>
  </si>
  <si>
    <t>location B</t>
  </si>
  <si>
    <t>location C</t>
  </si>
  <si>
    <t>location D</t>
  </si>
  <si>
    <r>
      <t>S</t>
    </r>
    <r>
      <rPr>
        <vertAlign val="subscript"/>
        <sz val="10"/>
        <rFont val="Arial"/>
        <family val="2"/>
      </rPr>
      <t>s</t>
    </r>
  </si>
  <si>
    <r>
      <t>q</t>
    </r>
    <r>
      <rPr>
        <vertAlign val="subscript"/>
        <sz val="10"/>
        <rFont val="Arial"/>
        <family val="2"/>
      </rPr>
      <t>1/10</t>
    </r>
  </si>
  <si>
    <r>
      <t>q</t>
    </r>
    <r>
      <rPr>
        <vertAlign val="subscript"/>
        <sz val="10"/>
        <rFont val="Arial"/>
        <family val="2"/>
      </rPr>
      <t>1/50</t>
    </r>
  </si>
  <si>
    <r>
      <t>S</t>
    </r>
    <r>
      <rPr>
        <vertAlign val="subscript"/>
        <sz val="10"/>
        <rFont val="Arial"/>
        <family val="2"/>
      </rPr>
      <t>a</t>
    </r>
    <r>
      <rPr>
        <sz val="10"/>
        <rFont val="Arial"/>
        <family val="2"/>
      </rPr>
      <t>(0.2)</t>
    </r>
  </si>
  <si>
    <r>
      <t>S</t>
    </r>
    <r>
      <rPr>
        <vertAlign val="subscript"/>
        <sz val="10"/>
        <rFont val="Arial"/>
        <family val="2"/>
      </rPr>
      <t>a</t>
    </r>
    <r>
      <rPr>
        <sz val="10"/>
        <rFont val="Arial"/>
        <family val="2"/>
      </rPr>
      <t>(0.5)</t>
    </r>
  </si>
  <si>
    <r>
      <t>S</t>
    </r>
    <r>
      <rPr>
        <vertAlign val="subscript"/>
        <sz val="10"/>
        <rFont val="Arial"/>
        <family val="2"/>
      </rPr>
      <t>a</t>
    </r>
    <r>
      <rPr>
        <sz val="10"/>
        <rFont val="Arial"/>
        <family val="2"/>
      </rPr>
      <t>(1.0)</t>
    </r>
  </si>
  <si>
    <r>
      <t>S</t>
    </r>
    <r>
      <rPr>
        <vertAlign val="subscript"/>
        <sz val="10"/>
        <rFont val="Arial"/>
        <family val="2"/>
      </rPr>
      <t>a</t>
    </r>
    <r>
      <rPr>
        <sz val="10"/>
        <rFont val="Arial"/>
        <family val="2"/>
      </rPr>
      <t>(2.0)</t>
    </r>
  </si>
  <si>
    <t>AB</t>
  </si>
  <si>
    <t>Acadia Valley</t>
  </si>
  <si>
    <t>100 Mile House</t>
  </si>
  <si>
    <t>Airdrie</t>
  </si>
  <si>
    <t>Abbotsford</t>
  </si>
  <si>
    <t>MB</t>
  </si>
  <si>
    <t>Athabasca</t>
  </si>
  <si>
    <t>NB</t>
  </si>
  <si>
    <t>Banff</t>
  </si>
  <si>
    <t>Acton-Vale</t>
  </si>
  <si>
    <t>QC</t>
  </si>
  <si>
    <t>NL</t>
  </si>
  <si>
    <t>Barrhead</t>
  </si>
  <si>
    <t>Agassiz</t>
  </si>
  <si>
    <t>NS</t>
  </si>
  <si>
    <t>Bashaw</t>
  </si>
  <si>
    <t>Ailsa Craig</t>
  </si>
  <si>
    <t>ON</t>
  </si>
  <si>
    <t>NT</t>
  </si>
  <si>
    <t>Bassano</t>
  </si>
  <si>
    <t>NU</t>
  </si>
  <si>
    <t>Beaumont</t>
  </si>
  <si>
    <t>Aishihik</t>
  </si>
  <si>
    <t>YT</t>
  </si>
  <si>
    <t>Beaverlodge</t>
  </si>
  <si>
    <t>Ajax</t>
  </si>
  <si>
    <t>PE</t>
  </si>
  <si>
    <t>Berwyn</t>
  </si>
  <si>
    <t>Aklavik</t>
  </si>
  <si>
    <t>Black Diamond</t>
  </si>
  <si>
    <t>Alberni</t>
  </si>
  <si>
    <t>SK</t>
  </si>
  <si>
    <t>Blackfalds</t>
  </si>
  <si>
    <t>Alert</t>
  </si>
  <si>
    <t>Bon Accord</t>
  </si>
  <si>
    <t>Alexandria</t>
  </si>
  <si>
    <t>Bonnyville</t>
  </si>
  <si>
    <t>Alliston</t>
  </si>
  <si>
    <t>Bow Island</t>
  </si>
  <si>
    <t>Alma</t>
  </si>
  <si>
    <t>Bowden</t>
  </si>
  <si>
    <t>Brooks</t>
  </si>
  <si>
    <t>Almonte</t>
  </si>
  <si>
    <t>Bruderheim</t>
  </si>
  <si>
    <t>Amherst</t>
  </si>
  <si>
    <t>Calgary</t>
  </si>
  <si>
    <t>Amos</t>
  </si>
  <si>
    <t>Calmar</t>
  </si>
  <si>
    <t>Ancienne-Lorette</t>
  </si>
  <si>
    <t>Campsie</t>
  </si>
  <si>
    <t>Antigonish</t>
  </si>
  <si>
    <t>Camrose</t>
  </si>
  <si>
    <t>Arctic Bay</t>
  </si>
  <si>
    <t>Canmore</t>
  </si>
  <si>
    <t>Argentia</t>
  </si>
  <si>
    <t>Cardston</t>
  </si>
  <si>
    <t>Armstrong</t>
  </si>
  <si>
    <t>Carstairs</t>
  </si>
  <si>
    <t>Arnprior</t>
  </si>
  <si>
    <t>Castor</t>
  </si>
  <si>
    <t>Arviat / Eskimo Point</t>
  </si>
  <si>
    <t>Claresholm</t>
  </si>
  <si>
    <t>Asbestos</t>
  </si>
  <si>
    <t>Coaldale</t>
  </si>
  <si>
    <t>Ashcroft</t>
  </si>
  <si>
    <t>Cochrane</t>
  </si>
  <si>
    <t>Assiniboia</t>
  </si>
  <si>
    <t>Cold Lake</t>
  </si>
  <si>
    <t>Coleman</t>
  </si>
  <si>
    <t>Atikokan</t>
  </si>
  <si>
    <t>Coronation</t>
  </si>
  <si>
    <t>Aurora</t>
  </si>
  <si>
    <t>Cowley</t>
  </si>
  <si>
    <t>Aylmer</t>
  </si>
  <si>
    <t>Crossfield</t>
  </si>
  <si>
    <t>Baie-Comeau</t>
  </si>
  <si>
    <t>Daysland</t>
  </si>
  <si>
    <t>Baker Lake</t>
  </si>
  <si>
    <t>Devon</t>
  </si>
  <si>
    <t>Bancroft</t>
  </si>
  <si>
    <t>Didsbury</t>
  </si>
  <si>
    <t>Drayton Valley</t>
  </si>
  <si>
    <t>Drumheller</t>
  </si>
  <si>
    <t>Barrie</t>
  </si>
  <si>
    <t>Eckville</t>
  </si>
  <si>
    <t>Barriefield</t>
  </si>
  <si>
    <t>Edmonton</t>
  </si>
  <si>
    <t>Edson</t>
  </si>
  <si>
    <t>Elk Point</t>
  </si>
  <si>
    <t>Bathurst</t>
  </si>
  <si>
    <t>Embarras Portage</t>
  </si>
  <si>
    <t>Battrum</t>
  </si>
  <si>
    <t>Fairview</t>
  </si>
  <si>
    <t>Beaconsfield</t>
  </si>
  <si>
    <t>Falher</t>
  </si>
  <si>
    <t>Beatton River</t>
  </si>
  <si>
    <t>Foremost</t>
  </si>
  <si>
    <t>Fort Chipewayan</t>
  </si>
  <si>
    <t>Beauport</t>
  </si>
  <si>
    <t>Fort MacLeod</t>
  </si>
  <si>
    <t>Beausejour</t>
  </si>
  <si>
    <t>Fort McMurray</t>
  </si>
  <si>
    <t>Fort Saskatchewan</t>
  </si>
  <si>
    <t>Beaverton</t>
  </si>
  <si>
    <t>Fort Vermilion</t>
  </si>
  <si>
    <t>Bedford</t>
  </si>
  <si>
    <t>Fox Creek</t>
  </si>
  <si>
    <t>Belleville</t>
  </si>
  <si>
    <t>Gibbons</t>
  </si>
  <si>
    <t>Belmont</t>
  </si>
  <si>
    <t>Gleichen</t>
  </si>
  <si>
    <t>Beloeil</t>
  </si>
  <si>
    <t>Grand Centre</t>
  </si>
  <si>
    <t>Grande Cache</t>
  </si>
  <si>
    <t>Big Trout Lake</t>
  </si>
  <si>
    <t>Grande Prairie</t>
  </si>
  <si>
    <t>Biggar</t>
  </si>
  <si>
    <t>Granum</t>
  </si>
  <si>
    <t>Grimshaw</t>
  </si>
  <si>
    <t>Habay</t>
  </si>
  <si>
    <t>Boissevain</t>
  </si>
  <si>
    <t>Hanna</t>
  </si>
  <si>
    <t>Hardisty</t>
  </si>
  <si>
    <t>Bonavista</t>
  </si>
  <si>
    <t>High Level</t>
  </si>
  <si>
    <t>High Prairie</t>
  </si>
  <si>
    <t>High River</t>
  </si>
  <si>
    <t>Hinton</t>
  </si>
  <si>
    <t>Bracebridge</t>
  </si>
  <si>
    <t>Innisfail</t>
  </si>
  <si>
    <t>Bradford</t>
  </si>
  <si>
    <t>Irvine</t>
  </si>
  <si>
    <t>Brampton</t>
  </si>
  <si>
    <t>Jasper</t>
  </si>
  <si>
    <t>Brandon</t>
  </si>
  <si>
    <t>Keg River</t>
  </si>
  <si>
    <t>Brantford</t>
  </si>
  <si>
    <t>Killam</t>
  </si>
  <si>
    <t>Bridgewater</t>
  </si>
  <si>
    <t>Kitscoty</t>
  </si>
  <si>
    <t>Brighton</t>
  </si>
  <si>
    <t>Lac la Biche</t>
  </si>
  <si>
    <t>Broadview</t>
  </si>
  <si>
    <t>Lacombe</t>
  </si>
  <si>
    <t>Brockville</t>
  </si>
  <si>
    <t>Lake Louise</t>
  </si>
  <si>
    <t>Brome</t>
  </si>
  <si>
    <t>Lamont</t>
  </si>
  <si>
    <t>Leduc</t>
  </si>
  <si>
    <t>Brossard</t>
  </si>
  <si>
    <t>Lethbridge</t>
  </si>
  <si>
    <t>Lloydminster</t>
  </si>
  <si>
    <t>Buchans</t>
  </si>
  <si>
    <t>Magrath</t>
  </si>
  <si>
    <t>Buckingham</t>
  </si>
  <si>
    <t>Manning</t>
  </si>
  <si>
    <t>Burk's Falls</t>
  </si>
  <si>
    <t>Mayerthorpe</t>
  </si>
  <si>
    <t>Burlington</t>
  </si>
  <si>
    <t>McLennan</t>
  </si>
  <si>
    <t>Burnaby (Simon Fraser Univ.)</t>
  </si>
  <si>
    <t>Medicine Hat</t>
  </si>
  <si>
    <t>Burns Lake</t>
  </si>
  <si>
    <t>Milk River</t>
  </si>
  <si>
    <t>Cache Creek</t>
  </si>
  <si>
    <t>Millet</t>
  </si>
  <si>
    <t>Morinville</t>
  </si>
  <si>
    <t>Morrin</t>
  </si>
  <si>
    <t>Cambridge</t>
  </si>
  <si>
    <t>Mundare</t>
  </si>
  <si>
    <t>Cambridge Bay</t>
  </si>
  <si>
    <t>Nanton</t>
  </si>
  <si>
    <t>Campbell River</t>
  </si>
  <si>
    <t>Okotoks</t>
  </si>
  <si>
    <t>Campbellford</t>
  </si>
  <si>
    <t>Olds</t>
  </si>
  <si>
    <t>Campbell's Bay</t>
  </si>
  <si>
    <t>Oyen</t>
  </si>
  <si>
    <t>Campbellton</t>
  </si>
  <si>
    <t>Peace River</t>
  </si>
  <si>
    <t>Penhold</t>
  </si>
  <si>
    <t>Picture Butte</t>
  </si>
  <si>
    <t>Pincher Creek</t>
  </si>
  <si>
    <t>Cannington</t>
  </si>
  <si>
    <t>Ponoka</t>
  </si>
  <si>
    <t>Canso</t>
  </si>
  <si>
    <t>Provost</t>
  </si>
  <si>
    <t>Cape Harrison</t>
  </si>
  <si>
    <t>Rainbow Lake</t>
  </si>
  <si>
    <t>Cape Race</t>
  </si>
  <si>
    <t>Ranfurly</t>
  </si>
  <si>
    <t>Raymond</t>
  </si>
  <si>
    <t>Carleton Place</t>
  </si>
  <si>
    <t>Red Deer</t>
  </si>
  <si>
    <t>Carmi</t>
  </si>
  <si>
    <t>Redcliff</t>
  </si>
  <si>
    <t>Redwater</t>
  </si>
  <si>
    <t>Castlegar</t>
  </si>
  <si>
    <t>Rimbey</t>
  </si>
  <si>
    <t>Rocky Mountain House</t>
  </si>
  <si>
    <t>Cavan</t>
  </si>
  <si>
    <t>Ryley</t>
  </si>
  <si>
    <t>Centralia</t>
  </si>
  <si>
    <t>Sangudo</t>
  </si>
  <si>
    <t>CFB Borden</t>
  </si>
  <si>
    <t>Sedgewick</t>
  </si>
  <si>
    <t>Chambly</t>
  </si>
  <si>
    <t>Sexsmith</t>
  </si>
  <si>
    <t>Channel-Port aux Basques</t>
  </si>
  <si>
    <t>Sherwood Park</t>
  </si>
  <si>
    <t>Chapleau</t>
  </si>
  <si>
    <t>Slave Lake</t>
  </si>
  <si>
    <t>Charlottetown</t>
  </si>
  <si>
    <t>Smoky Lake</t>
  </si>
  <si>
    <t>Chatham</t>
  </si>
  <si>
    <t>Spirit River</t>
  </si>
  <si>
    <t>Spruce Grove</t>
  </si>
  <si>
    <t>Chesley</t>
  </si>
  <si>
    <t>Stavely</t>
  </si>
  <si>
    <t>Chesterfield Inlet</t>
  </si>
  <si>
    <t>Stettler</t>
  </si>
  <si>
    <t>Chetwynd</t>
  </si>
  <si>
    <t>Stony Plain</t>
  </si>
  <si>
    <t>Chicoutimi</t>
  </si>
  <si>
    <t>Strathmore</t>
  </si>
  <si>
    <t>Chicoutimi (Bagotville)</t>
  </si>
  <si>
    <t>St. Albert</t>
  </si>
  <si>
    <t>Chicoutimi (Kenogami)</t>
  </si>
  <si>
    <t>St. Paul</t>
  </si>
  <si>
    <t>Chilliwack</t>
  </si>
  <si>
    <t>Suffield</t>
  </si>
  <si>
    <t>Churchill</t>
  </si>
  <si>
    <t>Sundre</t>
  </si>
  <si>
    <t>Swan Hills</t>
  </si>
  <si>
    <t>Clinton</t>
  </si>
  <si>
    <t>Sylvan Lake</t>
  </si>
  <si>
    <t>Cloverdale</t>
  </si>
  <si>
    <t>Taber</t>
  </si>
  <si>
    <t>Clyde River</t>
  </si>
  <si>
    <t>Thorhild</t>
  </si>
  <si>
    <t>Three Hills</t>
  </si>
  <si>
    <t>Coaticook</t>
  </si>
  <si>
    <t>Tofield</t>
  </si>
  <si>
    <t>Coboconk</t>
  </si>
  <si>
    <t>Trochu</t>
  </si>
  <si>
    <t>Cobourg</t>
  </si>
  <si>
    <t>Turner Valley</t>
  </si>
  <si>
    <t>Two Hills</t>
  </si>
  <si>
    <t>Valleyview</t>
  </si>
  <si>
    <t>Colborne</t>
  </si>
  <si>
    <t>Vauxhall</t>
  </si>
  <si>
    <t>Vegreville</t>
  </si>
  <si>
    <t>Vermilion</t>
  </si>
  <si>
    <t>Collingwood</t>
  </si>
  <si>
    <t>Viking</t>
  </si>
  <si>
    <t>Comox</t>
  </si>
  <si>
    <t>Vulcan</t>
  </si>
  <si>
    <t>Contrecoeur</t>
  </si>
  <si>
    <t>Wagner</t>
  </si>
  <si>
    <t>Coppermine</t>
  </si>
  <si>
    <t>Wainwright</t>
  </si>
  <si>
    <t>Coral Harbour</t>
  </si>
  <si>
    <t>Warner</t>
  </si>
  <si>
    <t>Corner Brook</t>
  </si>
  <si>
    <t>Wembley</t>
  </si>
  <si>
    <t>Cornwall</t>
  </si>
  <si>
    <t>Westlock</t>
  </si>
  <si>
    <t>Wetaskiwin</t>
  </si>
  <si>
    <t>Corunna</t>
  </si>
  <si>
    <t>Whitecourt</t>
  </si>
  <si>
    <t>Courtenay</t>
  </si>
  <si>
    <t>Wimborne</t>
  </si>
  <si>
    <t>Cowansville</t>
  </si>
  <si>
    <t>Cranbrook</t>
  </si>
  <si>
    <t>Crescent Valley</t>
  </si>
  <si>
    <t>Crofton</t>
  </si>
  <si>
    <t>Dafoe</t>
  </si>
  <si>
    <t>Dartmouth</t>
  </si>
  <si>
    <t>Dauphin</t>
  </si>
  <si>
    <t>Dawson</t>
  </si>
  <si>
    <t>Dawson Creek</t>
  </si>
  <si>
    <t>Debert</t>
  </si>
  <si>
    <t>Deep River</t>
  </si>
  <si>
    <t>Deseronto</t>
  </si>
  <si>
    <t>Destruction Bay</t>
  </si>
  <si>
    <t>Deux-Montagnes</t>
  </si>
  <si>
    <t>Digby</t>
  </si>
  <si>
    <t>Dog Creek</t>
  </si>
  <si>
    <t>Dolbeau</t>
  </si>
  <si>
    <t>Dorchester</t>
  </si>
  <si>
    <t>Duncan</t>
  </si>
  <si>
    <t>Dorion</t>
  </si>
  <si>
    <t>Elko</t>
  </si>
  <si>
    <t>Dorval</t>
  </si>
  <si>
    <t>Fernie</t>
  </si>
  <si>
    <t>Fort Nelson</t>
  </si>
  <si>
    <t>Dresden</t>
  </si>
  <si>
    <t>Fort St. John</t>
  </si>
  <si>
    <t>Glacier</t>
  </si>
  <si>
    <t>Drummondville</t>
  </si>
  <si>
    <t>Golden</t>
  </si>
  <si>
    <t>Dryden</t>
  </si>
  <si>
    <t>Grand Forks</t>
  </si>
  <si>
    <t>Greenwood</t>
  </si>
  <si>
    <t>Dundurn</t>
  </si>
  <si>
    <t>Haney</t>
  </si>
  <si>
    <t>Dunnville</t>
  </si>
  <si>
    <t>Hope</t>
  </si>
  <si>
    <t>Durham</t>
  </si>
  <si>
    <t>Kamloops</t>
  </si>
  <si>
    <t>Dutton</t>
  </si>
  <si>
    <t>Kaslo</t>
  </si>
  <si>
    <t>Earlton</t>
  </si>
  <si>
    <t>Kelowna</t>
  </si>
  <si>
    <t>Echo Bay / Port Radium</t>
  </si>
  <si>
    <t>Kimberley</t>
  </si>
  <si>
    <t>Kitimat Plant</t>
  </si>
  <si>
    <t>Edison</t>
  </si>
  <si>
    <t>Kitimat Townsite</t>
  </si>
  <si>
    <t>Ladner</t>
  </si>
  <si>
    <t>Edmundston</t>
  </si>
  <si>
    <t>Langley</t>
  </si>
  <si>
    <t>Lillooet</t>
  </si>
  <si>
    <t>Lytton</t>
  </si>
  <si>
    <t>Mackenzie</t>
  </si>
  <si>
    <t>Elmvale</t>
  </si>
  <si>
    <t>Masset</t>
  </si>
  <si>
    <t>McBride</t>
  </si>
  <si>
    <t>Embro</t>
  </si>
  <si>
    <t>McLeod Lake</t>
  </si>
  <si>
    <t>Englehart</t>
  </si>
  <si>
    <t>Merritt</t>
  </si>
  <si>
    <t>Espanola</t>
  </si>
  <si>
    <t>Mission City</t>
  </si>
  <si>
    <t>Estevan</t>
  </si>
  <si>
    <t>Montrose</t>
  </si>
  <si>
    <t>Etobicoke (Toronto area)</t>
  </si>
  <si>
    <t>Nakusp</t>
  </si>
  <si>
    <t>Eureka</t>
  </si>
  <si>
    <t>Nanaimo</t>
  </si>
  <si>
    <t>Exeter</t>
  </si>
  <si>
    <t>Nelson</t>
  </si>
  <si>
    <t>New Westminster</t>
  </si>
  <si>
    <t>North Vancouver</t>
  </si>
  <si>
    <t>Farnham</t>
  </si>
  <si>
    <t>Ocean Falls</t>
  </si>
  <si>
    <t>Fenelon Falls</t>
  </si>
  <si>
    <t>Osoyoos</t>
  </si>
  <si>
    <t>Fergus</t>
  </si>
  <si>
    <t>Penticton</t>
  </si>
  <si>
    <t>Port Alberni</t>
  </si>
  <si>
    <t>Flin Flon</t>
  </si>
  <si>
    <t>Port Hardy</t>
  </si>
  <si>
    <t>Port McNeill</t>
  </si>
  <si>
    <t>Forest</t>
  </si>
  <si>
    <t>Powell River</t>
  </si>
  <si>
    <t>Prince George</t>
  </si>
  <si>
    <t>Fort Erie</t>
  </si>
  <si>
    <t>Prince Rupert</t>
  </si>
  <si>
    <t>Fort Erie (Ridgeway)</t>
  </si>
  <si>
    <t>Princeton</t>
  </si>
  <si>
    <t>Fort Frances</t>
  </si>
  <si>
    <t>Qualicum Beach</t>
  </si>
  <si>
    <t>Fort Good Hope</t>
  </si>
  <si>
    <t>Revelstoke</t>
  </si>
  <si>
    <t>Richmond</t>
  </si>
  <si>
    <t>Salmon Arm</t>
  </si>
  <si>
    <t>Fort Providence</t>
  </si>
  <si>
    <t>Sandspit</t>
  </si>
  <si>
    <t>Fort Resolution</t>
  </si>
  <si>
    <t>Sidney</t>
  </si>
  <si>
    <t>Smith River</t>
  </si>
  <si>
    <t>Fort Simpson</t>
  </si>
  <si>
    <t>Smithers</t>
  </si>
  <si>
    <t>Fort Smith</t>
  </si>
  <si>
    <t>Squamish</t>
  </si>
  <si>
    <t>Stewart</t>
  </si>
  <si>
    <t>Surrey (88 Ave &amp; 156 St.)</t>
  </si>
  <si>
    <t>Fort-Coulonge</t>
  </si>
  <si>
    <t>Taylor</t>
  </si>
  <si>
    <t>Terrace</t>
  </si>
  <si>
    <t>Fredericton</t>
  </si>
  <si>
    <t>Tofino</t>
  </si>
  <si>
    <t>Gagetown</t>
  </si>
  <si>
    <t>Trail</t>
  </si>
  <si>
    <t>Gagnon</t>
  </si>
  <si>
    <t>Ucluelet</t>
  </si>
  <si>
    <t>Gananoque</t>
  </si>
  <si>
    <t>Vancouver</t>
  </si>
  <si>
    <t>Gander</t>
  </si>
  <si>
    <t>Vancouver (Granville &amp; 41 Ave)</t>
  </si>
  <si>
    <t>Gaspé</t>
  </si>
  <si>
    <t>Vernon</t>
  </si>
  <si>
    <t>Gatineau</t>
  </si>
  <si>
    <t>Victoria</t>
  </si>
  <si>
    <t>Geraldton</t>
  </si>
  <si>
    <t>Victoria (Gonzales Hts)</t>
  </si>
  <si>
    <t>Victoria (Mt Tolmie)</t>
  </si>
  <si>
    <t>Gimli</t>
  </si>
  <si>
    <t>West Vancouver</t>
  </si>
  <si>
    <t>Williams Lake</t>
  </si>
  <si>
    <t>Youbou</t>
  </si>
  <si>
    <t>Glencoe</t>
  </si>
  <si>
    <t>Goderich</t>
  </si>
  <si>
    <t>Gore Bay</t>
  </si>
  <si>
    <t>Gracefield</t>
  </si>
  <si>
    <t>Graham</t>
  </si>
  <si>
    <t>Granby</t>
  </si>
  <si>
    <t>Grand Bank</t>
  </si>
  <si>
    <t>Island Lake</t>
  </si>
  <si>
    <t>Lac du Bonnet</t>
  </si>
  <si>
    <t>Grand Falls</t>
  </si>
  <si>
    <t>Lynn Lake</t>
  </si>
  <si>
    <t>Morden</t>
  </si>
  <si>
    <t>Neepawa</t>
  </si>
  <si>
    <t>Pine Falls</t>
  </si>
  <si>
    <t>Portage la Prairie</t>
  </si>
  <si>
    <t>Rivers</t>
  </si>
  <si>
    <t>Gravenhurst (Muskoka Airport)</t>
  </si>
  <si>
    <t>Sandilands</t>
  </si>
  <si>
    <t>Selkirk</t>
  </si>
  <si>
    <t>Greenwood (CFB)</t>
  </si>
  <si>
    <t>Split Lake</t>
  </si>
  <si>
    <t>Grimsby</t>
  </si>
  <si>
    <t>Steinbach</t>
  </si>
  <si>
    <t>Swan River</t>
  </si>
  <si>
    <t>Guelph</t>
  </si>
  <si>
    <t>The Pas</t>
  </si>
  <si>
    <t>Guthrie</t>
  </si>
  <si>
    <t>Thompson</t>
  </si>
  <si>
    <t>Virden</t>
  </si>
  <si>
    <t>Haileybury</t>
  </si>
  <si>
    <t>Winnipeg</t>
  </si>
  <si>
    <t>Haldimand (Caledonia)</t>
  </si>
  <si>
    <t>Haldimand (Hagersville)</t>
  </si>
  <si>
    <t>Haliburton</t>
  </si>
  <si>
    <t>Halifax</t>
  </si>
  <si>
    <t>Halton Hills (Georgetown)</t>
  </si>
  <si>
    <t>Hamilton</t>
  </si>
  <si>
    <t>Hanover</t>
  </si>
  <si>
    <t>Moncton</t>
  </si>
  <si>
    <t>Happy Valley-Goose Bay</t>
  </si>
  <si>
    <t>Oromocto</t>
  </si>
  <si>
    <t>Sackville</t>
  </si>
  <si>
    <t>Harrington-Harbour</t>
  </si>
  <si>
    <t>Saint John</t>
  </si>
  <si>
    <t>Hastings</t>
  </si>
  <si>
    <t>Shippagan</t>
  </si>
  <si>
    <t>Havre-St-Pierre</t>
  </si>
  <si>
    <t>St. Stephen</t>
  </si>
  <si>
    <t>Hawkesbury</t>
  </si>
  <si>
    <t>Woodstock</t>
  </si>
  <si>
    <t>Hay River</t>
  </si>
  <si>
    <t>Hearst</t>
  </si>
  <si>
    <t>Hemmingford</t>
  </si>
  <si>
    <t>Holman</t>
  </si>
  <si>
    <t>Honey Harbour</t>
  </si>
  <si>
    <t>Hornepayne</t>
  </si>
  <si>
    <t>Hudson Bay</t>
  </si>
  <si>
    <t>Labrador City</t>
  </si>
  <si>
    <t>Hull</t>
  </si>
  <si>
    <t>St. Anthony</t>
  </si>
  <si>
    <t>Humboldt</t>
  </si>
  <si>
    <t>St. John's</t>
  </si>
  <si>
    <t>Huntsville</t>
  </si>
  <si>
    <t>Stephenville</t>
  </si>
  <si>
    <t>Iberville</t>
  </si>
  <si>
    <t>Twin Falls</t>
  </si>
  <si>
    <t>Ingersoll</t>
  </si>
  <si>
    <t>Wabana</t>
  </si>
  <si>
    <t>Wabush</t>
  </si>
  <si>
    <t>Inukjuak</t>
  </si>
  <si>
    <t>Inuvik</t>
  </si>
  <si>
    <t>Iqaluit</t>
  </si>
  <si>
    <t>Iroquois Falls</t>
  </si>
  <si>
    <t>Isachsen</t>
  </si>
  <si>
    <t>Island Falls</t>
  </si>
  <si>
    <t>Jellicoe</t>
  </si>
  <si>
    <t>Kentville</t>
  </si>
  <si>
    <t>Joliette</t>
  </si>
  <si>
    <t>Liverpool</t>
  </si>
  <si>
    <t>Jonquière</t>
  </si>
  <si>
    <t>Lockeport</t>
  </si>
  <si>
    <t>Louisburg</t>
  </si>
  <si>
    <t>Kamsack</t>
  </si>
  <si>
    <t>Lunenburg</t>
  </si>
  <si>
    <t>Kapuskasing</t>
  </si>
  <si>
    <t>New Glasgow</t>
  </si>
  <si>
    <t>North Sydney</t>
  </si>
  <si>
    <t>Pictou</t>
  </si>
  <si>
    <t>Port Hawkesbury</t>
  </si>
  <si>
    <t>Kemptville</t>
  </si>
  <si>
    <t>Springhill</t>
  </si>
  <si>
    <t>Kenora</t>
  </si>
  <si>
    <t>Stewiacke</t>
  </si>
  <si>
    <t>Sydney</t>
  </si>
  <si>
    <t>Killaloe</t>
  </si>
  <si>
    <t>Tatamagouche</t>
  </si>
  <si>
    <t>Truro</t>
  </si>
  <si>
    <t>Wolfville</t>
  </si>
  <si>
    <t>Kincardine</t>
  </si>
  <si>
    <t>Yarmouth</t>
  </si>
  <si>
    <t>Kindersley</t>
  </si>
  <si>
    <t>Kingston</t>
  </si>
  <si>
    <t>Kinmount</t>
  </si>
  <si>
    <t>Kirkland Lake</t>
  </si>
  <si>
    <t>Kitchener</t>
  </si>
  <si>
    <t>Kuujjuaq</t>
  </si>
  <si>
    <t>Kuujjuarapik</t>
  </si>
  <si>
    <t>Mould Bay</t>
  </si>
  <si>
    <t>Norman Wells</t>
  </si>
  <si>
    <t>Rae-Edzo</t>
  </si>
  <si>
    <t>Lachute</t>
  </si>
  <si>
    <t>Tungsten</t>
  </si>
  <si>
    <t>Lac-Mégantic</t>
  </si>
  <si>
    <t>Yellowknife</t>
  </si>
  <si>
    <t>Lakefield</t>
  </si>
  <si>
    <t>La-Malbaie</t>
  </si>
  <si>
    <t>Lansdowne House</t>
  </si>
  <si>
    <t>La-Tuque</t>
  </si>
  <si>
    <t>Laval</t>
  </si>
  <si>
    <t>Leamington</t>
  </si>
  <si>
    <t>Lennoxville</t>
  </si>
  <si>
    <t>Nottingham Island</t>
  </si>
  <si>
    <t>Léry</t>
  </si>
  <si>
    <t>Rankin Inlet</t>
  </si>
  <si>
    <t>Resolute</t>
  </si>
  <si>
    <t>Lévis</t>
  </si>
  <si>
    <t>Resolution Island</t>
  </si>
  <si>
    <t>Lindsay</t>
  </si>
  <si>
    <t>Lion's Head</t>
  </si>
  <si>
    <t>Listowel</t>
  </si>
  <si>
    <t>London</t>
  </si>
  <si>
    <t>Loretteville</t>
  </si>
  <si>
    <t>Louiseville</t>
  </si>
  <si>
    <t>Lucan</t>
  </si>
  <si>
    <t>Magog</t>
  </si>
  <si>
    <t>Maitland</t>
  </si>
  <si>
    <t>Malartic</t>
  </si>
  <si>
    <t>Maniwaki</t>
  </si>
  <si>
    <t>Maple Creek</t>
  </si>
  <si>
    <t>Markdale</t>
  </si>
  <si>
    <t>Markham</t>
  </si>
  <si>
    <t>Martin</t>
  </si>
  <si>
    <t>Masson</t>
  </si>
  <si>
    <t>Matane</t>
  </si>
  <si>
    <t>Matheson</t>
  </si>
  <si>
    <t>Mattawa</t>
  </si>
  <si>
    <t>Meadow Lake</t>
  </si>
  <si>
    <t>Melfort</t>
  </si>
  <si>
    <t>Melville</t>
  </si>
  <si>
    <t>Midland</t>
  </si>
  <si>
    <t>Milton</t>
  </si>
  <si>
    <t>Milverton</t>
  </si>
  <si>
    <t>Minden</t>
  </si>
  <si>
    <t>Mississauga</t>
  </si>
  <si>
    <t>Mississauga (Port Credit)</t>
  </si>
  <si>
    <t>Mitchell</t>
  </si>
  <si>
    <t>Mont-Joli</t>
  </si>
  <si>
    <t>Mont-Laurier</t>
  </si>
  <si>
    <t>Montmagny</t>
  </si>
  <si>
    <t>Montréal</t>
  </si>
  <si>
    <t>Montréal-Est</t>
  </si>
  <si>
    <t>Montréal-Nord</t>
  </si>
  <si>
    <t>Moose Jaw</t>
  </si>
  <si>
    <t>Moosonee</t>
  </si>
  <si>
    <t>Morrisburg</t>
  </si>
  <si>
    <t>Mount Forest</t>
  </si>
  <si>
    <t>Nakina</t>
  </si>
  <si>
    <t>Nanticoke (Jarvis)</t>
  </si>
  <si>
    <t>Nanticoke (Port Dover)</t>
  </si>
  <si>
    <t>Napanee</t>
  </si>
  <si>
    <t>New Liskeard</t>
  </si>
  <si>
    <t>Newcastle</t>
  </si>
  <si>
    <t>Newcastle (Bowmanville)</t>
  </si>
  <si>
    <t>Newmarket</t>
  </si>
  <si>
    <t>Niagara Falls</t>
  </si>
  <si>
    <t>Nicolet (Gentilly)</t>
  </si>
  <si>
    <t>Nipawin</t>
  </si>
  <si>
    <t>Nitchequon</t>
  </si>
  <si>
    <t>Noranda</t>
  </si>
  <si>
    <t>North Battleford</t>
  </si>
  <si>
    <t>North Bay</t>
  </si>
  <si>
    <t>North York (Toronto area)</t>
  </si>
  <si>
    <t>Norwood</t>
  </si>
  <si>
    <t>Oakville</t>
  </si>
  <si>
    <t>Orangeville</t>
  </si>
  <si>
    <t>Orillia</t>
  </si>
  <si>
    <t>Oshawa</t>
  </si>
  <si>
    <t>Ottawa</t>
  </si>
  <si>
    <t>Outremont</t>
  </si>
  <si>
    <t>Owen Sound</t>
  </si>
  <si>
    <t>Pagwa River</t>
  </si>
  <si>
    <t>Paris</t>
  </si>
  <si>
    <t>Parkhill</t>
  </si>
  <si>
    <t>Parry Sound</t>
  </si>
  <si>
    <t>Pelham (Fonthill)</t>
  </si>
  <si>
    <t>Pembroke</t>
  </si>
  <si>
    <t>Penetanguishene</t>
  </si>
  <si>
    <t>Percé</t>
  </si>
  <si>
    <t>Perth</t>
  </si>
  <si>
    <t>Petawawa</t>
  </si>
  <si>
    <t>Peterborough</t>
  </si>
  <si>
    <t>Petrolia</t>
  </si>
  <si>
    <t>Pickering (Dunbarton)</t>
  </si>
  <si>
    <t>Picton</t>
  </si>
  <si>
    <t>Pierrefonds</t>
  </si>
  <si>
    <t>Pincourt</t>
  </si>
  <si>
    <t>Plattsville</t>
  </si>
  <si>
    <t>Plessisville</t>
  </si>
  <si>
    <t>Point Alexander</t>
  </si>
  <si>
    <t>Port Burwell</t>
  </si>
  <si>
    <t>Port Colborne</t>
  </si>
  <si>
    <t>Port Elgin</t>
  </si>
  <si>
    <t>Port Hope</t>
  </si>
  <si>
    <t>Port Perry</t>
  </si>
  <si>
    <t>Port Stanley</t>
  </si>
  <si>
    <t>Port-Cartier</t>
  </si>
  <si>
    <t>Povungnituk</t>
  </si>
  <si>
    <t>Prescott</t>
  </si>
  <si>
    <t>Prince Albert</t>
  </si>
  <si>
    <t>Qu'Appelle</t>
  </si>
  <si>
    <t>Québec</t>
  </si>
  <si>
    <t>Raith</t>
  </si>
  <si>
    <t>Rayside-Balfour (Chelmsford)</t>
  </si>
  <si>
    <t>Red Lake</t>
  </si>
  <si>
    <t>Renfrew</t>
  </si>
  <si>
    <t>Richmond Hill</t>
  </si>
  <si>
    <t>Rockland</t>
  </si>
  <si>
    <t>Sarnia</t>
  </si>
  <si>
    <t>Regina</t>
  </si>
  <si>
    <t>Sault Ste. Marie</t>
  </si>
  <si>
    <t>Scarborough (Toronto area)</t>
  </si>
  <si>
    <t>Schreiber</t>
  </si>
  <si>
    <t>Seaforth</t>
  </si>
  <si>
    <t>Simcoe</t>
  </si>
  <si>
    <t>Sioux Lookout</t>
  </si>
  <si>
    <t>Smiths Falls</t>
  </si>
  <si>
    <t>Smithville</t>
  </si>
  <si>
    <t>Smooth Rock Falls</t>
  </si>
  <si>
    <t>Rimouski</t>
  </si>
  <si>
    <t>South River</t>
  </si>
  <si>
    <t>Southampton</t>
  </si>
  <si>
    <t>Rivière-du-Loup</t>
  </si>
  <si>
    <t>St. Catharines</t>
  </si>
  <si>
    <t>Roberval</t>
  </si>
  <si>
    <t>St. Mary's</t>
  </si>
  <si>
    <t>Rock-Island</t>
  </si>
  <si>
    <t>St. Thomas</t>
  </si>
  <si>
    <t>Stirling</t>
  </si>
  <si>
    <t>Stratford</t>
  </si>
  <si>
    <t>Rosemère</t>
  </si>
  <si>
    <t>Strathroy</t>
  </si>
  <si>
    <t>Rosetown</t>
  </si>
  <si>
    <t>Sturgeon Falls</t>
  </si>
  <si>
    <t>Rouyn</t>
  </si>
  <si>
    <t>Sudbury</t>
  </si>
  <si>
    <t>Sundridge</t>
  </si>
  <si>
    <t>Tavistock</t>
  </si>
  <si>
    <t>Temagami</t>
  </si>
  <si>
    <t>Salaberry-de-Valleyfield</t>
  </si>
  <si>
    <t>Thamesford</t>
  </si>
  <si>
    <t>Thedford</t>
  </si>
  <si>
    <t>Thunder Bay</t>
  </si>
  <si>
    <t>Tillsonburg</t>
  </si>
  <si>
    <t>Timmins</t>
  </si>
  <si>
    <t>Timmins (Porcupine)</t>
  </si>
  <si>
    <t>Saskatoon</t>
  </si>
  <si>
    <t>Toronto</t>
  </si>
  <si>
    <t>Trenton</t>
  </si>
  <si>
    <t>Trout Creek</t>
  </si>
  <si>
    <t>Schefferville</t>
  </si>
  <si>
    <t>Uxbridge</t>
  </si>
  <si>
    <t>Vaughan (Woodbridge)</t>
  </si>
  <si>
    <t>Scott</t>
  </si>
  <si>
    <t>Vittoria</t>
  </si>
  <si>
    <t>Walkerton</t>
  </si>
  <si>
    <t>Wallaceburg</t>
  </si>
  <si>
    <t>Waterloo</t>
  </si>
  <si>
    <t>Senneterre</t>
  </si>
  <si>
    <t>Watford</t>
  </si>
  <si>
    <t>Sept-Îles</t>
  </si>
  <si>
    <t>Wawa</t>
  </si>
  <si>
    <t>Welland</t>
  </si>
  <si>
    <t>Shawinigan</t>
  </si>
  <si>
    <t>West Lorne</t>
  </si>
  <si>
    <t>Shawville</t>
  </si>
  <si>
    <t>Whitby</t>
  </si>
  <si>
    <t>Sherbrooke</t>
  </si>
  <si>
    <t>Whitby (Brooklin)</t>
  </si>
  <si>
    <t>White River</t>
  </si>
  <si>
    <t>Wiarton</t>
  </si>
  <si>
    <t>Windsor</t>
  </si>
  <si>
    <t>Sillery</t>
  </si>
  <si>
    <t>Wingham</t>
  </si>
  <si>
    <t>Wyoming</t>
  </si>
  <si>
    <t>Souris</t>
  </si>
  <si>
    <t>Summerside</t>
  </si>
  <si>
    <t>Tignish</t>
  </si>
  <si>
    <t>Snag</t>
  </si>
  <si>
    <t>Sorel</t>
  </si>
  <si>
    <t>Ste-Agathe-des-Monts</t>
  </si>
  <si>
    <t>Ste-Anne-de-Bellevue</t>
  </si>
  <si>
    <t>Ste-Foy</t>
  </si>
  <si>
    <t>St-Félicien</t>
  </si>
  <si>
    <t>St-Georges-de-Cacouna</t>
  </si>
  <si>
    <t>St-Hubert</t>
  </si>
  <si>
    <t>St-Hubert-de-Temiscouata</t>
  </si>
  <si>
    <t>St-Hyacinthe</t>
  </si>
  <si>
    <t>St-Jean</t>
  </si>
  <si>
    <t>St-Jérôme</t>
  </si>
  <si>
    <t>St-Jovite</t>
  </si>
  <si>
    <t>St-Lambert</t>
  </si>
  <si>
    <t>St-Laurent</t>
  </si>
  <si>
    <t>St-Nicolas</t>
  </si>
  <si>
    <t>Strasbourg</t>
  </si>
  <si>
    <t>Sutton</t>
  </si>
  <si>
    <t>Swift Current</t>
  </si>
  <si>
    <t>Tadoussac</t>
  </si>
  <si>
    <t>Témiscaming</t>
  </si>
  <si>
    <t>Teslin</t>
  </si>
  <si>
    <t>Thetford Mines</t>
  </si>
  <si>
    <t>Thurso</t>
  </si>
  <si>
    <t>Trois-Rivières</t>
  </si>
  <si>
    <t>Uranium City</t>
  </si>
  <si>
    <t>Val-d'Or</t>
  </si>
  <si>
    <t>Varennes</t>
  </si>
  <si>
    <t>Verchères</t>
  </si>
  <si>
    <t>Verdun</t>
  </si>
  <si>
    <t>Victoriaville</t>
  </si>
  <si>
    <t>Ville-Marie</t>
  </si>
  <si>
    <t>Watson Lake</t>
  </si>
  <si>
    <t>Weyburn</t>
  </si>
  <si>
    <t>Whitehorse</t>
  </si>
  <si>
    <t>Yorkton</t>
  </si>
  <si>
    <t>C</t>
  </si>
  <si>
    <t>[P]</t>
  </si>
  <si>
    <t>=</t>
  </si>
  <si>
    <t>...</t>
  </si>
  <si>
    <t>n-1</t>
  </si>
  <si>
    <t>x</t>
  </si>
  <si>
    <t>frame#, i</t>
  </si>
  <si>
    <r>
      <t>k</t>
    </r>
    <r>
      <rPr>
        <vertAlign val="subscript"/>
        <sz val="10"/>
        <rFont val="Arial"/>
        <family val="2"/>
      </rPr>
      <t>i</t>
    </r>
    <r>
      <rPr>
        <sz val="10"/>
        <rFont val="Arial"/>
        <family val="2"/>
      </rPr>
      <t>+c</t>
    </r>
    <r>
      <rPr>
        <vertAlign val="subscript"/>
        <sz val="10"/>
        <rFont val="Arial"/>
        <family val="2"/>
      </rPr>
      <t>hi</t>
    </r>
  </si>
  <si>
    <r>
      <t>-</t>
    </r>
    <r>
      <rPr>
        <sz val="10"/>
        <rFont val="Arial"/>
        <family val="2"/>
      </rPr>
      <t>c</t>
    </r>
    <r>
      <rPr>
        <vertAlign val="subscript"/>
        <sz val="10"/>
        <rFont val="Arial"/>
        <family val="2"/>
      </rPr>
      <t>hi-1</t>
    </r>
  </si>
  <si>
    <r>
      <t>-</t>
    </r>
    <r>
      <rPr>
        <sz val="10"/>
        <rFont val="Arial"/>
        <family val="2"/>
      </rPr>
      <t>c</t>
    </r>
    <r>
      <rPr>
        <vertAlign val="subscript"/>
        <sz val="10"/>
        <rFont val="Arial"/>
        <family val="2"/>
      </rPr>
      <t>hi</t>
    </r>
  </si>
  <si>
    <r>
      <t>k</t>
    </r>
    <r>
      <rPr>
        <vertAlign val="subscript"/>
        <sz val="10"/>
        <rFont val="Arial"/>
        <family val="2"/>
      </rPr>
      <t>i</t>
    </r>
    <r>
      <rPr>
        <sz val="10"/>
        <rFont val="Arial"/>
        <family val="2"/>
      </rPr>
      <t>+c</t>
    </r>
    <r>
      <rPr>
        <vertAlign val="subscript"/>
        <sz val="10"/>
        <rFont val="Arial"/>
        <family val="2"/>
      </rPr>
      <t>hi-1</t>
    </r>
    <r>
      <rPr>
        <sz val="10"/>
        <rFont val="Arial"/>
        <family val="2"/>
      </rPr>
      <t>+c</t>
    </r>
    <r>
      <rPr>
        <vertAlign val="subscript"/>
        <sz val="10"/>
        <rFont val="Arial"/>
        <family val="2"/>
      </rPr>
      <t>hi</t>
    </r>
  </si>
  <si>
    <r>
      <t>-</t>
    </r>
    <r>
      <rPr>
        <sz val="10"/>
        <rFont val="Arial"/>
        <family val="2"/>
      </rPr>
      <t>c</t>
    </r>
    <r>
      <rPr>
        <vertAlign val="subscript"/>
        <sz val="10"/>
        <rFont val="Arial"/>
        <family val="2"/>
      </rPr>
      <t>hn-2</t>
    </r>
  </si>
  <si>
    <r>
      <t>k</t>
    </r>
    <r>
      <rPr>
        <vertAlign val="subscript"/>
        <sz val="10"/>
        <rFont val="Arial"/>
        <family val="2"/>
      </rPr>
      <t>n-1</t>
    </r>
    <r>
      <rPr>
        <sz val="10"/>
        <rFont val="Arial"/>
        <family val="2"/>
      </rPr>
      <t>+c</t>
    </r>
    <r>
      <rPr>
        <vertAlign val="subscript"/>
        <sz val="10"/>
        <rFont val="Arial"/>
        <family val="2"/>
      </rPr>
      <t>hn-2</t>
    </r>
    <r>
      <rPr>
        <sz val="10"/>
        <rFont val="Arial"/>
        <family val="2"/>
      </rPr>
      <t>+c</t>
    </r>
    <r>
      <rPr>
        <vertAlign val="subscript"/>
        <sz val="10"/>
        <rFont val="Arial"/>
        <family val="2"/>
      </rPr>
      <t>hn-1</t>
    </r>
  </si>
  <si>
    <r>
      <t>-</t>
    </r>
    <r>
      <rPr>
        <sz val="10"/>
        <rFont val="Arial"/>
        <family val="2"/>
      </rPr>
      <t>c</t>
    </r>
    <r>
      <rPr>
        <vertAlign val="subscript"/>
        <sz val="10"/>
        <rFont val="Arial"/>
        <family val="2"/>
      </rPr>
      <t>hn-1</t>
    </r>
  </si>
  <si>
    <r>
      <t>k</t>
    </r>
    <r>
      <rPr>
        <vertAlign val="subscript"/>
        <sz val="10"/>
        <rFont val="Arial"/>
        <family val="2"/>
      </rPr>
      <t>n</t>
    </r>
    <r>
      <rPr>
        <sz val="10"/>
        <rFont val="Arial"/>
        <family val="2"/>
      </rPr>
      <t>+c</t>
    </r>
    <r>
      <rPr>
        <vertAlign val="subscript"/>
        <sz val="10"/>
        <rFont val="Arial"/>
        <family val="2"/>
      </rPr>
      <t>hn-1</t>
    </r>
  </si>
  <si>
    <r>
      <t>P</t>
    </r>
    <r>
      <rPr>
        <vertAlign val="subscript"/>
        <sz val="10"/>
        <rFont val="Arial"/>
        <family val="2"/>
      </rPr>
      <t>1</t>
    </r>
  </si>
  <si>
    <r>
      <t>P</t>
    </r>
    <r>
      <rPr>
        <vertAlign val="subscript"/>
        <sz val="10"/>
        <rFont val="Arial"/>
        <family val="2"/>
      </rPr>
      <t>2</t>
    </r>
  </si>
  <si>
    <r>
      <t>P</t>
    </r>
    <r>
      <rPr>
        <vertAlign val="subscript"/>
        <sz val="10"/>
        <rFont val="Arial"/>
        <family val="2"/>
      </rPr>
      <t>n-1</t>
    </r>
  </si>
  <si>
    <r>
      <t>P</t>
    </r>
    <r>
      <rPr>
        <vertAlign val="subscript"/>
        <sz val="10"/>
        <rFont val="Arial"/>
        <family val="2"/>
      </rPr>
      <t>n</t>
    </r>
  </si>
  <si>
    <t>[defl]</t>
  </si>
  <si>
    <r>
      <t>d</t>
    </r>
    <r>
      <rPr>
        <sz val="10"/>
        <rFont val="Arial"/>
        <family val="2"/>
      </rPr>
      <t>efl</t>
    </r>
    <r>
      <rPr>
        <vertAlign val="subscript"/>
        <sz val="10"/>
        <rFont val="Arial"/>
        <family val="2"/>
      </rPr>
      <t>1</t>
    </r>
  </si>
  <si>
    <r>
      <t>d</t>
    </r>
    <r>
      <rPr>
        <sz val="10"/>
        <rFont val="Arial"/>
        <family val="2"/>
      </rPr>
      <t>efl</t>
    </r>
    <r>
      <rPr>
        <vertAlign val="subscript"/>
        <sz val="10"/>
        <rFont val="Arial"/>
        <family val="2"/>
      </rPr>
      <t>2</t>
    </r>
    <r>
      <rPr>
        <sz val="11"/>
        <color theme="1"/>
        <rFont val="Calibri"/>
        <family val="2"/>
        <scheme val="minor"/>
      </rPr>
      <t/>
    </r>
  </si>
  <si>
    <r>
      <t>d</t>
    </r>
    <r>
      <rPr>
        <sz val="10"/>
        <rFont val="Arial"/>
        <family val="2"/>
      </rPr>
      <t>efl</t>
    </r>
    <r>
      <rPr>
        <vertAlign val="subscript"/>
        <sz val="10"/>
        <rFont val="Arial"/>
        <family val="2"/>
      </rPr>
      <t>n-1</t>
    </r>
  </si>
  <si>
    <r>
      <t>d</t>
    </r>
    <r>
      <rPr>
        <sz val="10"/>
        <rFont val="Arial"/>
        <family val="2"/>
      </rPr>
      <t>efl</t>
    </r>
    <r>
      <rPr>
        <vertAlign val="subscript"/>
        <sz val="10"/>
        <rFont val="Arial"/>
        <family val="2"/>
      </rPr>
      <t>n</t>
    </r>
  </si>
  <si>
    <r>
      <t>P</t>
    </r>
    <r>
      <rPr>
        <vertAlign val="subscript"/>
        <sz val="10"/>
        <rFont val="Arial"/>
        <family val="2"/>
      </rPr>
      <t>3</t>
    </r>
    <r>
      <rPr>
        <sz val="11"/>
        <color theme="1"/>
        <rFont val="Calibri"/>
        <family val="2"/>
        <scheme val="minor"/>
      </rPr>
      <t/>
    </r>
  </si>
  <si>
    <r>
      <t>-c</t>
    </r>
    <r>
      <rPr>
        <vertAlign val="subscript"/>
        <sz val="10"/>
        <rFont val="Arial"/>
        <family val="2"/>
      </rPr>
      <t>hn-3</t>
    </r>
  </si>
  <si>
    <r>
      <t>k</t>
    </r>
    <r>
      <rPr>
        <vertAlign val="subscript"/>
        <sz val="10"/>
        <rFont val="Arial"/>
        <family val="2"/>
      </rPr>
      <t>n-2</t>
    </r>
    <r>
      <rPr>
        <sz val="10"/>
        <rFont val="Arial"/>
        <family val="2"/>
      </rPr>
      <t>+c</t>
    </r>
    <r>
      <rPr>
        <vertAlign val="subscript"/>
        <sz val="10"/>
        <rFont val="Arial"/>
        <family val="2"/>
      </rPr>
      <t>hn-3</t>
    </r>
    <r>
      <rPr>
        <sz val="10"/>
        <rFont val="Arial"/>
        <family val="2"/>
      </rPr>
      <t>+c</t>
    </r>
    <r>
      <rPr>
        <vertAlign val="subscript"/>
        <sz val="10"/>
        <rFont val="Arial"/>
        <family val="2"/>
      </rPr>
      <t>hn-2</t>
    </r>
  </si>
  <si>
    <r>
      <t>-c</t>
    </r>
    <r>
      <rPr>
        <vertAlign val="subscript"/>
        <sz val="10"/>
        <rFont val="Arial"/>
        <family val="2"/>
      </rPr>
      <t>hn-2</t>
    </r>
  </si>
  <si>
    <r>
      <t>P</t>
    </r>
    <r>
      <rPr>
        <vertAlign val="subscript"/>
        <sz val="10"/>
        <rFont val="Arial"/>
        <family val="2"/>
      </rPr>
      <t>n-2</t>
    </r>
  </si>
  <si>
    <r>
      <t>[</t>
    </r>
    <r>
      <rPr>
        <sz val="10"/>
        <rFont val="Arial"/>
        <family val="2"/>
      </rPr>
      <t>c</t>
    </r>
    <r>
      <rPr>
        <vertAlign val="subscript"/>
        <sz val="10"/>
        <rFont val="Arial"/>
        <family val="2"/>
      </rPr>
      <t>h</t>
    </r>
    <r>
      <rPr>
        <sz val="10"/>
        <rFont val="Arial"/>
        <family val="2"/>
      </rPr>
      <t>]</t>
    </r>
  </si>
  <si>
    <r>
      <t>c</t>
    </r>
    <r>
      <rPr>
        <vertAlign val="subscript"/>
        <sz val="10"/>
        <rFont val="Arial"/>
        <family val="2"/>
      </rPr>
      <t>h1</t>
    </r>
  </si>
  <si>
    <r>
      <t>c</t>
    </r>
    <r>
      <rPr>
        <vertAlign val="subscript"/>
        <sz val="10"/>
        <rFont val="Arial"/>
        <family val="2"/>
      </rPr>
      <t>h2</t>
    </r>
    <r>
      <rPr>
        <sz val="11"/>
        <color theme="1"/>
        <rFont val="Calibri"/>
        <family val="2"/>
        <scheme val="minor"/>
      </rPr>
      <t/>
    </r>
  </si>
  <si>
    <r>
      <t>c</t>
    </r>
    <r>
      <rPr>
        <vertAlign val="subscript"/>
        <sz val="10"/>
        <rFont val="Arial"/>
        <family val="2"/>
      </rPr>
      <t>hn-1</t>
    </r>
  </si>
  <si>
    <r>
      <t>[</t>
    </r>
    <r>
      <rPr>
        <sz val="10"/>
        <rFont val="Arial"/>
        <family val="2"/>
      </rPr>
      <t>c</t>
    </r>
    <r>
      <rPr>
        <vertAlign val="subscript"/>
        <sz val="10"/>
        <rFont val="Arial"/>
        <family val="2"/>
      </rPr>
      <t>ha</t>
    </r>
    <r>
      <rPr>
        <sz val="10"/>
        <rFont val="Arial"/>
        <family val="2"/>
      </rPr>
      <t>]</t>
    </r>
  </si>
  <si>
    <r>
      <t>c</t>
    </r>
    <r>
      <rPr>
        <vertAlign val="subscript"/>
        <sz val="10"/>
        <rFont val="Arial"/>
        <family val="2"/>
      </rPr>
      <t>ha1</t>
    </r>
  </si>
  <si>
    <r>
      <t>c</t>
    </r>
    <r>
      <rPr>
        <vertAlign val="subscript"/>
        <sz val="10"/>
        <rFont val="Arial"/>
        <family val="2"/>
      </rPr>
      <t>ha2</t>
    </r>
    <r>
      <rPr>
        <sz val="11"/>
        <color theme="1"/>
        <rFont val="Calibri"/>
        <family val="2"/>
        <scheme val="minor"/>
      </rPr>
      <t/>
    </r>
  </si>
  <si>
    <r>
      <t>c</t>
    </r>
    <r>
      <rPr>
        <vertAlign val="subscript"/>
        <sz val="10"/>
        <rFont val="Arial"/>
        <family val="2"/>
      </rPr>
      <t>han-1</t>
    </r>
  </si>
  <si>
    <t>+</t>
  </si>
  <si>
    <r>
      <t>[</t>
    </r>
    <r>
      <rPr>
        <sz val="10"/>
        <rFont val="Arial"/>
        <family val="2"/>
      </rPr>
      <t>c</t>
    </r>
    <r>
      <rPr>
        <vertAlign val="subscript"/>
        <sz val="10"/>
        <rFont val="Arial"/>
        <family val="2"/>
      </rPr>
      <t>hb</t>
    </r>
    <r>
      <rPr>
        <sz val="10"/>
        <rFont val="Arial"/>
        <family val="2"/>
      </rPr>
      <t>]</t>
    </r>
  </si>
  <si>
    <r>
      <t>c</t>
    </r>
    <r>
      <rPr>
        <vertAlign val="subscript"/>
        <sz val="10"/>
        <rFont val="Arial"/>
        <family val="2"/>
      </rPr>
      <t>hb1</t>
    </r>
  </si>
  <si>
    <r>
      <t>c</t>
    </r>
    <r>
      <rPr>
        <vertAlign val="subscript"/>
        <sz val="10"/>
        <rFont val="Arial"/>
        <family val="2"/>
      </rPr>
      <t>hb2</t>
    </r>
    <r>
      <rPr>
        <sz val="11"/>
        <color theme="1"/>
        <rFont val="Calibri"/>
        <family val="2"/>
        <scheme val="minor"/>
      </rPr>
      <t/>
    </r>
  </si>
  <si>
    <r>
      <t>c</t>
    </r>
    <r>
      <rPr>
        <vertAlign val="subscript"/>
        <sz val="10"/>
        <rFont val="Arial"/>
        <family val="2"/>
      </rPr>
      <t>hbn-1</t>
    </r>
  </si>
  <si>
    <r>
      <t>[</t>
    </r>
    <r>
      <rPr>
        <sz val="10"/>
        <rFont val="Arial"/>
        <family val="2"/>
      </rPr>
      <t>c</t>
    </r>
    <r>
      <rPr>
        <vertAlign val="subscript"/>
        <sz val="10"/>
        <rFont val="Arial"/>
        <family val="2"/>
      </rPr>
      <t>hc</t>
    </r>
    <r>
      <rPr>
        <sz val="10"/>
        <rFont val="Arial"/>
        <family val="2"/>
      </rPr>
      <t>]</t>
    </r>
  </si>
  <si>
    <r>
      <t>c</t>
    </r>
    <r>
      <rPr>
        <vertAlign val="subscript"/>
        <sz val="10"/>
        <rFont val="Arial"/>
        <family val="2"/>
      </rPr>
      <t>hc1</t>
    </r>
  </si>
  <si>
    <r>
      <t>c</t>
    </r>
    <r>
      <rPr>
        <vertAlign val="subscript"/>
        <sz val="10"/>
        <rFont val="Arial"/>
        <family val="2"/>
      </rPr>
      <t>hc2</t>
    </r>
    <r>
      <rPr>
        <sz val="11"/>
        <color theme="1"/>
        <rFont val="Calibri"/>
        <family val="2"/>
        <scheme val="minor"/>
      </rPr>
      <t/>
    </r>
  </si>
  <si>
    <r>
      <t>c</t>
    </r>
    <r>
      <rPr>
        <vertAlign val="subscript"/>
        <sz val="10"/>
        <rFont val="Arial"/>
        <family val="2"/>
      </rPr>
      <t>hcn-1</t>
    </r>
  </si>
  <si>
    <r>
      <t>[</t>
    </r>
    <r>
      <rPr>
        <sz val="10"/>
        <rFont val="Arial"/>
        <family val="2"/>
      </rPr>
      <t>P</t>
    </r>
    <r>
      <rPr>
        <vertAlign val="subscript"/>
        <sz val="10"/>
        <rFont val="Arial"/>
        <family val="2"/>
      </rPr>
      <t>r</t>
    </r>
    <r>
      <rPr>
        <sz val="10"/>
        <rFont val="Arial"/>
        <family val="2"/>
      </rPr>
      <t>]</t>
    </r>
  </si>
  <si>
    <r>
      <t>[</t>
    </r>
    <r>
      <rPr>
        <sz val="10"/>
        <rFont val="Arial"/>
        <family val="2"/>
      </rPr>
      <t>P</t>
    </r>
    <r>
      <rPr>
        <vertAlign val="subscript"/>
        <sz val="10"/>
        <rFont val="Arial"/>
        <family val="2"/>
      </rPr>
      <t>f</t>
    </r>
    <r>
      <rPr>
        <sz val="10"/>
        <rFont val="Arial"/>
        <family val="2"/>
      </rPr>
      <t>]</t>
    </r>
  </si>
  <si>
    <t>[K]</t>
  </si>
  <si>
    <r>
      <t>k</t>
    </r>
    <r>
      <rPr>
        <vertAlign val="subscript"/>
        <sz val="10"/>
        <rFont val="Arial"/>
        <family val="2"/>
      </rPr>
      <t>1</t>
    </r>
    <r>
      <rPr>
        <sz val="10"/>
        <rFont val="Arial"/>
        <family val="2"/>
      </rPr>
      <t>defl</t>
    </r>
    <r>
      <rPr>
        <vertAlign val="subscript"/>
        <sz val="10"/>
        <rFont val="Arial"/>
        <family val="2"/>
      </rPr>
      <t>1</t>
    </r>
  </si>
  <si>
    <r>
      <t>k</t>
    </r>
    <r>
      <rPr>
        <vertAlign val="subscript"/>
        <sz val="10"/>
        <rFont val="Arial"/>
        <family val="2"/>
      </rPr>
      <t>n</t>
    </r>
    <r>
      <rPr>
        <sz val="10"/>
        <rFont val="Arial"/>
        <family val="2"/>
      </rPr>
      <t>defl</t>
    </r>
    <r>
      <rPr>
        <vertAlign val="subscript"/>
        <sz val="10"/>
        <rFont val="Arial"/>
        <family val="2"/>
      </rPr>
      <t>n</t>
    </r>
  </si>
  <si>
    <r>
      <t>k</t>
    </r>
    <r>
      <rPr>
        <vertAlign val="subscript"/>
        <sz val="10"/>
        <rFont val="Arial"/>
        <family val="2"/>
      </rPr>
      <t>n-1</t>
    </r>
    <r>
      <rPr>
        <sz val="10"/>
        <rFont val="Arial"/>
        <family val="2"/>
      </rPr>
      <t>defl</t>
    </r>
    <r>
      <rPr>
        <vertAlign val="subscript"/>
        <sz val="10"/>
        <rFont val="Arial"/>
        <family val="2"/>
      </rPr>
      <t>n-1</t>
    </r>
  </si>
  <si>
    <r>
      <t>k</t>
    </r>
    <r>
      <rPr>
        <vertAlign val="subscript"/>
        <sz val="10"/>
        <rFont val="Arial"/>
        <family val="2"/>
      </rPr>
      <t>2</t>
    </r>
    <r>
      <rPr>
        <sz val="10"/>
        <rFont val="Arial"/>
        <family val="2"/>
      </rPr>
      <t>defl</t>
    </r>
    <r>
      <rPr>
        <vertAlign val="subscript"/>
        <sz val="10"/>
        <rFont val="Arial"/>
        <family val="2"/>
      </rPr>
      <t>2</t>
    </r>
    <r>
      <rPr>
        <sz val="11"/>
        <color theme="1"/>
        <rFont val="Calibri"/>
        <family val="2"/>
        <scheme val="minor"/>
      </rPr>
      <t/>
    </r>
  </si>
  <si>
    <r>
      <t>c</t>
    </r>
    <r>
      <rPr>
        <vertAlign val="subscript"/>
        <sz val="10"/>
        <rFont val="Arial"/>
        <family val="2"/>
      </rPr>
      <t>h1</t>
    </r>
    <r>
      <rPr>
        <sz val="10"/>
        <rFont val="Arial"/>
        <family val="2"/>
      </rPr>
      <t>(defl</t>
    </r>
    <r>
      <rPr>
        <vertAlign val="subscript"/>
        <sz val="10"/>
        <rFont val="Arial"/>
        <family val="2"/>
      </rPr>
      <t>1</t>
    </r>
    <r>
      <rPr>
        <sz val="10"/>
        <rFont val="Arial"/>
        <family val="2"/>
      </rPr>
      <t>-defl</t>
    </r>
    <r>
      <rPr>
        <vertAlign val="subscript"/>
        <sz val="10"/>
        <rFont val="Arial"/>
        <family val="2"/>
      </rPr>
      <t>2</t>
    </r>
    <r>
      <rPr>
        <sz val="10"/>
        <rFont val="Arial"/>
        <family val="2"/>
      </rPr>
      <t>)</t>
    </r>
  </si>
  <si>
    <r>
      <t>c</t>
    </r>
    <r>
      <rPr>
        <vertAlign val="subscript"/>
        <sz val="10"/>
        <rFont val="Arial"/>
        <family val="2"/>
      </rPr>
      <t>h2</t>
    </r>
    <r>
      <rPr>
        <sz val="10"/>
        <rFont val="Arial"/>
        <family val="2"/>
      </rPr>
      <t>(defl</t>
    </r>
    <r>
      <rPr>
        <vertAlign val="subscript"/>
        <sz val="10"/>
        <rFont val="Arial"/>
        <family val="2"/>
      </rPr>
      <t>2</t>
    </r>
    <r>
      <rPr>
        <sz val="10"/>
        <rFont val="Arial"/>
        <family val="2"/>
      </rPr>
      <t>-defl</t>
    </r>
    <r>
      <rPr>
        <vertAlign val="subscript"/>
        <sz val="10"/>
        <rFont val="Arial"/>
        <family val="2"/>
      </rPr>
      <t>3</t>
    </r>
    <r>
      <rPr>
        <sz val="10"/>
        <rFont val="Arial"/>
        <family val="2"/>
      </rPr>
      <t>)</t>
    </r>
  </si>
  <si>
    <r>
      <t>c</t>
    </r>
    <r>
      <rPr>
        <vertAlign val="subscript"/>
        <sz val="10"/>
        <rFont val="Arial"/>
        <family val="2"/>
      </rPr>
      <t>hn-1</t>
    </r>
    <r>
      <rPr>
        <sz val="10"/>
        <rFont val="Arial"/>
        <family val="2"/>
      </rPr>
      <t>(defl</t>
    </r>
    <r>
      <rPr>
        <vertAlign val="subscript"/>
        <sz val="10"/>
        <rFont val="Arial"/>
        <family val="2"/>
      </rPr>
      <t>n-1</t>
    </r>
    <r>
      <rPr>
        <sz val="10"/>
        <rFont val="Arial"/>
        <family val="2"/>
      </rPr>
      <t>-defl</t>
    </r>
    <r>
      <rPr>
        <vertAlign val="subscript"/>
        <sz val="10"/>
        <rFont val="Arial"/>
        <family val="2"/>
      </rPr>
      <t>n</t>
    </r>
    <r>
      <rPr>
        <sz val="10"/>
        <rFont val="Arial"/>
        <family val="2"/>
      </rPr>
      <t>)</t>
    </r>
  </si>
  <si>
    <t>n-2</t>
  </si>
  <si>
    <t>lb/in</t>
  </si>
  <si>
    <t>I</t>
  </si>
  <si>
    <r>
      <t>c</t>
    </r>
    <r>
      <rPr>
        <vertAlign val="subscript"/>
        <sz val="10"/>
        <rFont val="Arial"/>
        <family val="2"/>
      </rPr>
      <t>h</t>
    </r>
  </si>
  <si>
    <r>
      <t>b</t>
    </r>
    <r>
      <rPr>
        <vertAlign val="subscript"/>
        <sz val="10"/>
        <rFont val="Arial"/>
        <family val="2"/>
      </rPr>
      <t>sp</t>
    </r>
  </si>
  <si>
    <t>PF spacing</t>
  </si>
  <si>
    <t>building width</t>
  </si>
  <si>
    <t>building length</t>
  </si>
  <si>
    <r>
      <t>c</t>
    </r>
    <r>
      <rPr>
        <vertAlign val="subscript"/>
        <sz val="10"/>
        <rFont val="Arial"/>
        <family val="2"/>
      </rPr>
      <t>p</t>
    </r>
  </si>
  <si>
    <r>
      <t>P</t>
    </r>
    <r>
      <rPr>
        <vertAlign val="subscript"/>
        <sz val="10"/>
        <rFont val="Arial"/>
        <family val="2"/>
      </rPr>
      <t>i</t>
    </r>
  </si>
  <si>
    <r>
      <t>P</t>
    </r>
    <r>
      <rPr>
        <vertAlign val="subscript"/>
        <sz val="10"/>
        <rFont val="Arial"/>
        <family val="2"/>
      </rPr>
      <t>e</t>
    </r>
  </si>
  <si>
    <r>
      <t>k</t>
    </r>
    <r>
      <rPr>
        <vertAlign val="subscript"/>
        <sz val="10"/>
        <rFont val="Arial"/>
        <family val="2"/>
      </rPr>
      <t>i</t>
    </r>
  </si>
  <si>
    <r>
      <t>=</t>
    </r>
    <r>
      <rPr>
        <sz val="10"/>
        <rFont val="Arial"/>
        <family val="2"/>
      </rPr>
      <t xml:space="preserve"> P</t>
    </r>
    <r>
      <rPr>
        <vertAlign val="subscript"/>
        <sz val="10"/>
        <rFont val="Arial"/>
        <family val="2"/>
      </rPr>
      <t>i</t>
    </r>
    <r>
      <rPr>
        <sz val="10"/>
        <rFont val="Arial"/>
        <family val="2"/>
      </rPr>
      <t>/2</t>
    </r>
  </si>
  <si>
    <r>
      <t>h</t>
    </r>
    <r>
      <rPr>
        <vertAlign val="subscript"/>
        <sz val="10"/>
        <rFont val="Arial"/>
        <family val="2"/>
      </rPr>
      <t>r</t>
    </r>
  </si>
  <si>
    <r>
      <t>h</t>
    </r>
    <r>
      <rPr>
        <vertAlign val="subscript"/>
        <sz val="10"/>
        <rFont val="Arial"/>
        <family val="2"/>
      </rPr>
      <t>w</t>
    </r>
  </si>
  <si>
    <t>roof height (truss height)</t>
  </si>
  <si>
    <t>number of bays</t>
  </si>
  <si>
    <r>
      <t>= c (a/b) (b</t>
    </r>
    <r>
      <rPr>
        <vertAlign val="subscript"/>
        <sz val="10"/>
        <rFont val="Arial"/>
        <family val="2"/>
      </rPr>
      <t>sp</t>
    </r>
    <r>
      <rPr>
        <sz val="10"/>
        <rFont val="Arial"/>
        <family val="2"/>
      </rPr>
      <t>/s)</t>
    </r>
  </si>
  <si>
    <t>number of frames</t>
  </si>
  <si>
    <r>
      <t>=</t>
    </r>
    <r>
      <rPr>
        <sz val="10"/>
        <rFont val="Arial"/>
        <family val="2"/>
      </rPr>
      <t xml:space="preserve"> 6 E I / h</t>
    </r>
    <r>
      <rPr>
        <vertAlign val="subscript"/>
        <sz val="10"/>
        <rFont val="Arial"/>
        <family val="2"/>
      </rPr>
      <t>w</t>
    </r>
    <r>
      <rPr>
        <vertAlign val="superscript"/>
        <sz val="10"/>
        <rFont val="Arial"/>
        <family val="2"/>
      </rPr>
      <t>3</t>
    </r>
    <r>
      <rPr>
        <sz val="10"/>
        <rFont val="Arial"/>
        <family val="2"/>
      </rPr>
      <t xml:space="preserve"> </t>
    </r>
  </si>
  <si>
    <t>Manbeck webinar</t>
  </si>
  <si>
    <r>
      <t>=</t>
    </r>
    <r>
      <rPr>
        <sz val="10"/>
        <rFont val="Arial"/>
        <family val="2"/>
      </rPr>
      <t xml:space="preserve"> (n</t>
    </r>
    <r>
      <rPr>
        <vertAlign val="subscript"/>
        <sz val="10"/>
        <rFont val="Arial"/>
        <family val="2"/>
      </rPr>
      <t>b</t>
    </r>
    <r>
      <rPr>
        <sz val="10"/>
        <rFont val="Arial"/>
        <family val="2"/>
      </rPr>
      <t>) s</t>
    </r>
  </si>
  <si>
    <r>
      <t>n</t>
    </r>
    <r>
      <rPr>
        <vertAlign val="subscript"/>
        <sz val="10"/>
        <rFont val="Arial"/>
        <family val="2"/>
      </rPr>
      <t>f</t>
    </r>
  </si>
  <si>
    <r>
      <t>n</t>
    </r>
    <r>
      <rPr>
        <vertAlign val="subscript"/>
        <sz val="10"/>
        <rFont val="Arial"/>
        <family val="2"/>
      </rPr>
      <t>b</t>
    </r>
  </si>
  <si>
    <r>
      <t>=</t>
    </r>
    <r>
      <rPr>
        <sz val="10"/>
        <rFont val="Arial"/>
        <family val="2"/>
      </rPr>
      <t xml:space="preserve"> n</t>
    </r>
    <r>
      <rPr>
        <vertAlign val="subscript"/>
        <sz val="10"/>
        <rFont val="Arial"/>
        <family val="2"/>
      </rPr>
      <t>f</t>
    </r>
    <r>
      <rPr>
        <sz val="10"/>
        <rFont val="Arial"/>
        <family val="2"/>
      </rPr>
      <t xml:space="preserve"> - 1</t>
    </r>
  </si>
  <si>
    <t>change to NBCC I-7, "e" surfaces</t>
  </si>
  <si>
    <t>F</t>
  </si>
  <si>
    <r>
      <rPr>
        <b/>
        <u/>
        <sz val="14"/>
        <rFont val="Arial"/>
        <family val="2"/>
      </rPr>
      <t>Instructions:</t>
    </r>
    <r>
      <rPr>
        <sz val="14"/>
        <rFont val="Arial"/>
        <family val="2"/>
      </rPr>
      <t xml:space="preserve">
1) For NBCC-listded locations make a single selection on any of rows A through D; make sure row F matches that selection in order for those loads to be carried through to subsequent load calculations.
2) For unlisted locations select up to 4 nearby NBCC-listings, and set row F to "Worst case combination".  This uses the greatest load values from rows A thorugh D in subsequent load calculations.</t>
    </r>
  </si>
  <si>
    <t>building dimensions</t>
  </si>
  <si>
    <t>design loads</t>
  </si>
  <si>
    <t>Dead load, roof (incl. ceiling)</t>
  </si>
  <si>
    <t>DL</t>
  </si>
  <si>
    <r>
      <t>S</t>
    </r>
    <r>
      <rPr>
        <sz val="10"/>
        <rFont val="Arial"/>
        <family val="2"/>
      </rPr>
      <t>L</t>
    </r>
    <r>
      <rPr>
        <vertAlign val="subscript"/>
        <sz val="10"/>
        <rFont val="Arial"/>
        <family val="2"/>
      </rPr>
      <t>b</t>
    </r>
  </si>
  <si>
    <r>
      <t>S</t>
    </r>
    <r>
      <rPr>
        <sz val="10"/>
        <rFont val="Arial"/>
        <family val="2"/>
      </rPr>
      <t>L</t>
    </r>
    <r>
      <rPr>
        <vertAlign val="subscript"/>
        <sz val="10"/>
        <rFont val="Arial"/>
        <family val="2"/>
      </rPr>
      <t>u</t>
    </r>
  </si>
  <si>
    <t>balanced</t>
  </si>
  <si>
    <t>unbalanced</t>
  </si>
  <si>
    <t>θ</t>
  </si>
  <si>
    <r>
      <t>= W/2 cos</t>
    </r>
    <r>
      <rPr>
        <sz val="10"/>
        <rFont val="Calibri"/>
        <family val="2"/>
      </rPr>
      <t>θ</t>
    </r>
  </si>
  <si>
    <t>NBCC G-1</t>
  </si>
  <si>
    <t>...from selection made on "design_loads" sheet</t>
  </si>
  <si>
    <t>windward roof</t>
  </si>
  <si>
    <t>leeward roof</t>
  </si>
  <si>
    <r>
      <t>Peak wind pressure, WL = p</t>
    </r>
    <r>
      <rPr>
        <vertAlign val="subscript"/>
        <sz val="10"/>
        <rFont val="Arial"/>
        <family val="2"/>
      </rPr>
      <t>e</t>
    </r>
    <r>
      <rPr>
        <sz val="10"/>
        <rFont val="Arial"/>
        <family val="2"/>
      </rPr>
      <t xml:space="preserve"> - p</t>
    </r>
    <r>
      <rPr>
        <vertAlign val="subscript"/>
        <sz val="10"/>
        <rFont val="Arial"/>
        <family val="2"/>
      </rPr>
      <t>i</t>
    </r>
    <r>
      <rPr>
        <sz val="10"/>
        <rFont val="Arial"/>
        <family val="2"/>
      </rPr>
      <t xml:space="preserve"> = I</t>
    </r>
    <r>
      <rPr>
        <vertAlign val="subscript"/>
        <sz val="10"/>
        <rFont val="Arial"/>
        <family val="2"/>
      </rPr>
      <t>w</t>
    </r>
    <r>
      <rPr>
        <sz val="10"/>
        <rFont val="Arial"/>
        <family val="2"/>
      </rPr>
      <t xml:space="preserve"> q C</t>
    </r>
    <r>
      <rPr>
        <vertAlign val="subscript"/>
        <sz val="10"/>
        <rFont val="Arial"/>
        <family val="2"/>
      </rPr>
      <t>e</t>
    </r>
    <r>
      <rPr>
        <sz val="10"/>
        <rFont val="Arial"/>
        <family val="2"/>
      </rPr>
      <t xml:space="preserve"> (C</t>
    </r>
    <r>
      <rPr>
        <vertAlign val="subscript"/>
        <sz val="10"/>
        <rFont val="Arial"/>
        <family val="2"/>
      </rPr>
      <t>p</t>
    </r>
    <r>
      <rPr>
        <sz val="10"/>
        <rFont val="Arial"/>
        <family val="2"/>
      </rPr>
      <t>C</t>
    </r>
    <r>
      <rPr>
        <vertAlign val="subscript"/>
        <sz val="10"/>
        <rFont val="Arial"/>
        <family val="2"/>
      </rPr>
      <t>g</t>
    </r>
    <r>
      <rPr>
        <sz val="10"/>
        <rFont val="Arial"/>
        <family val="2"/>
      </rPr>
      <t xml:space="preserve"> - C</t>
    </r>
    <r>
      <rPr>
        <vertAlign val="subscript"/>
        <sz val="10"/>
        <rFont val="Arial"/>
        <family val="2"/>
      </rPr>
      <t>pi</t>
    </r>
    <r>
      <rPr>
        <sz val="10"/>
        <rFont val="Arial"/>
        <family val="2"/>
      </rPr>
      <t>C</t>
    </r>
    <r>
      <rPr>
        <vertAlign val="subscript"/>
        <sz val="10"/>
        <rFont val="Arial"/>
        <family val="2"/>
      </rPr>
      <t>gi</t>
    </r>
    <r>
      <rPr>
        <sz val="10"/>
        <rFont val="Arial"/>
        <family val="2"/>
      </rPr>
      <t>) (kPa)</t>
    </r>
  </si>
  <si>
    <t>A1</t>
  </si>
  <si>
    <t>B1</t>
  </si>
  <si>
    <t>A2</t>
  </si>
  <si>
    <t>B2</t>
  </si>
  <si>
    <r>
      <t>Internal peak composite pressure-gust coefficients, C</t>
    </r>
    <r>
      <rPr>
        <vertAlign val="subscript"/>
        <sz val="10"/>
        <rFont val="Arial"/>
        <family val="2"/>
      </rPr>
      <t>pi</t>
    </r>
    <r>
      <rPr>
        <sz val="10"/>
        <rFont val="Arial"/>
        <family val="2"/>
      </rPr>
      <t>C</t>
    </r>
    <r>
      <rPr>
        <vertAlign val="subscript"/>
        <sz val="10"/>
        <rFont val="Arial"/>
        <family val="2"/>
      </rPr>
      <t>gi</t>
    </r>
    <r>
      <rPr>
        <sz val="10"/>
        <rFont val="Arial"/>
        <family val="2"/>
      </rPr>
      <t/>
    </r>
  </si>
  <si>
    <r>
      <t xml:space="preserve">Bldg width, </t>
    </r>
    <r>
      <rPr>
        <sz val="10"/>
        <rFont val="Arial Narrow"/>
        <family val="2"/>
      </rPr>
      <t>┴</t>
    </r>
    <r>
      <rPr>
        <sz val="10"/>
        <rFont val="Arial"/>
        <family val="2"/>
      </rPr>
      <t xml:space="preserve">  to ridge</t>
    </r>
  </si>
  <si>
    <t>Bldg length, ||  to ridge</t>
  </si>
  <si>
    <t>Ground snow load</t>
  </si>
  <si>
    <t>Associated rain load</t>
  </si>
  <si>
    <t>Hourly wind pressure</t>
  </si>
  <si>
    <t>NBCC G-1 (slope &gt; 3:12)</t>
  </si>
  <si>
    <r>
      <t xml:space="preserve">= N/A                  for </t>
    </r>
    <r>
      <rPr>
        <sz val="10"/>
        <rFont val="GreekC"/>
      </rPr>
      <t>θ</t>
    </r>
    <r>
      <rPr>
        <sz val="10"/>
        <rFont val="Arial"/>
        <family val="2"/>
      </rPr>
      <t xml:space="preserve">&lt;15°
= 0.25 + </t>
    </r>
    <r>
      <rPr>
        <sz val="10"/>
        <rFont val="GreekC"/>
      </rPr>
      <t>θ</t>
    </r>
    <r>
      <rPr>
        <sz val="10"/>
        <rFont val="Arial"/>
        <family val="2"/>
      </rPr>
      <t xml:space="preserve">/20
= 1.25                  for </t>
    </r>
    <r>
      <rPr>
        <sz val="10"/>
        <rFont val="GreekC"/>
      </rPr>
      <t>θ</t>
    </r>
    <r>
      <rPr>
        <sz val="10"/>
        <rFont val="Arial"/>
        <family val="2"/>
      </rPr>
      <t>&gt;20°</t>
    </r>
  </si>
  <si>
    <t>roof slope factor</t>
  </si>
  <si>
    <t>for snow load</t>
  </si>
  <si>
    <t>general</t>
  </si>
  <si>
    <t>for wind load</t>
  </si>
  <si>
    <t>load cases</t>
  </si>
  <si>
    <t>load combos</t>
  </si>
  <si>
    <t>I, balanced</t>
  </si>
  <si>
    <t>II, unbalanced</t>
  </si>
  <si>
    <t>I, A1</t>
  </si>
  <si>
    <t>II, A2</t>
  </si>
  <si>
    <t>III, B1</t>
  </si>
  <si>
    <t>IV, B2</t>
  </si>
  <si>
    <t>service loads &amp; specified loads</t>
  </si>
  <si>
    <t>Specified snow load</t>
  </si>
  <si>
    <t>Specified wind load</t>
  </si>
  <si>
    <t>Horizontal eave load, typical interior</t>
  </si>
  <si>
    <t>Horizontal eave load, end walls</t>
  </si>
  <si>
    <t>interior frames</t>
  </si>
  <si>
    <t>end frames</t>
  </si>
  <si>
    <t>windward wall</t>
  </si>
  <si>
    <t>leeward wall</t>
  </si>
  <si>
    <r>
      <t>WL</t>
    </r>
    <r>
      <rPr>
        <vertAlign val="subscript"/>
        <sz val="10"/>
        <rFont val="Arial"/>
        <family val="2"/>
      </rPr>
      <t>wwi</t>
    </r>
  </si>
  <si>
    <r>
      <t>WL</t>
    </r>
    <r>
      <rPr>
        <vertAlign val="subscript"/>
        <sz val="10"/>
        <rFont val="Arial"/>
        <family val="2"/>
      </rPr>
      <t>lwi</t>
    </r>
  </si>
  <si>
    <r>
      <t>WL</t>
    </r>
    <r>
      <rPr>
        <vertAlign val="subscript"/>
        <sz val="10"/>
        <rFont val="Arial"/>
        <family val="2"/>
      </rPr>
      <t>wri</t>
    </r>
  </si>
  <si>
    <r>
      <t>WL</t>
    </r>
    <r>
      <rPr>
        <vertAlign val="subscript"/>
        <sz val="10"/>
        <rFont val="Arial"/>
        <family val="2"/>
      </rPr>
      <t>lri</t>
    </r>
  </si>
  <si>
    <t>gable ends</t>
  </si>
  <si>
    <r>
      <t>WL</t>
    </r>
    <r>
      <rPr>
        <vertAlign val="subscript"/>
        <sz val="10"/>
        <rFont val="Arial"/>
        <family val="2"/>
      </rPr>
      <t>wwe</t>
    </r>
  </si>
  <si>
    <r>
      <t>WL</t>
    </r>
    <r>
      <rPr>
        <vertAlign val="subscript"/>
        <sz val="10"/>
        <rFont val="Arial"/>
        <family val="2"/>
      </rPr>
      <t>lwe</t>
    </r>
  </si>
  <si>
    <r>
      <t>WL</t>
    </r>
    <r>
      <rPr>
        <vertAlign val="subscript"/>
        <sz val="10"/>
        <rFont val="Arial"/>
        <family val="2"/>
      </rPr>
      <t>wre</t>
    </r>
  </si>
  <si>
    <r>
      <t>WL</t>
    </r>
    <r>
      <rPr>
        <vertAlign val="subscript"/>
        <sz val="10"/>
        <rFont val="Arial"/>
        <family val="2"/>
      </rPr>
      <t>lre</t>
    </r>
  </si>
  <si>
    <r>
      <t>WL</t>
    </r>
    <r>
      <rPr>
        <vertAlign val="subscript"/>
        <sz val="10"/>
        <rFont val="Arial"/>
        <family val="2"/>
      </rPr>
      <t>wg</t>
    </r>
  </si>
  <si>
    <r>
      <t>WL</t>
    </r>
    <r>
      <rPr>
        <vertAlign val="subscript"/>
        <sz val="10"/>
        <rFont val="Arial"/>
        <family val="2"/>
      </rPr>
      <t>lg</t>
    </r>
  </si>
  <si>
    <t>Case I</t>
  </si>
  <si>
    <t>Case II</t>
  </si>
  <si>
    <t>Surface 1</t>
  </si>
  <si>
    <t>Surface 2</t>
  </si>
  <si>
    <t>Surface 3</t>
  </si>
  <si>
    <t>Surface 4</t>
  </si>
  <si>
    <t>Surface 5</t>
  </si>
  <si>
    <t>Surface 6</t>
  </si>
  <si>
    <t>Surface 1E</t>
  </si>
  <si>
    <t>Surface 2E</t>
  </si>
  <si>
    <t>Surface 3E</t>
  </si>
  <si>
    <t>Surface 4E</t>
  </si>
  <si>
    <t>Surface 5E</t>
  </si>
  <si>
    <r>
      <t>WL</t>
    </r>
    <r>
      <rPr>
        <vertAlign val="subscript"/>
        <sz val="10"/>
        <rFont val="Arial"/>
        <family val="2"/>
      </rPr>
      <t>wge</t>
    </r>
  </si>
  <si>
    <r>
      <t>WL</t>
    </r>
    <r>
      <rPr>
        <vertAlign val="subscript"/>
        <sz val="10"/>
        <rFont val="Arial"/>
        <family val="2"/>
      </rPr>
      <t>lge</t>
    </r>
  </si>
  <si>
    <t>Surface 6E</t>
  </si>
  <si>
    <t>NBCC I-7 (confirm A1, A2, B1 or B2 load cases)</t>
  </si>
  <si>
    <r>
      <t>I</t>
    </r>
    <r>
      <rPr>
        <sz val="10"/>
        <rFont val="Arial"/>
        <family val="2"/>
      </rPr>
      <t/>
    </r>
  </si>
  <si>
    <t>= min(W,L)</t>
  </si>
  <si>
    <t>wall / eave height</t>
  </si>
  <si>
    <r>
      <t xml:space="preserve">= </t>
    </r>
    <r>
      <rPr>
        <sz val="10"/>
        <rFont val="Arial"/>
        <family val="2"/>
      </rPr>
      <t>h</t>
    </r>
    <r>
      <rPr>
        <vertAlign val="subscript"/>
        <sz val="10"/>
        <rFont val="Arial"/>
        <family val="2"/>
      </rPr>
      <t>w</t>
    </r>
    <r>
      <rPr>
        <sz val="10"/>
        <rFont val="Arial"/>
        <family val="2"/>
      </rPr>
      <t xml:space="preserve"> + h</t>
    </r>
    <r>
      <rPr>
        <vertAlign val="subscript"/>
        <sz val="10"/>
        <rFont val="Arial"/>
        <family val="2"/>
      </rPr>
      <t>r</t>
    </r>
  </si>
  <si>
    <r>
      <t>h</t>
    </r>
    <r>
      <rPr>
        <vertAlign val="subscript"/>
        <sz val="10"/>
        <rFont val="Arial"/>
        <family val="2"/>
      </rPr>
      <t>w</t>
    </r>
    <r>
      <rPr>
        <sz val="10"/>
        <rFont val="Arial"/>
        <family val="2"/>
      </rPr>
      <t>/D</t>
    </r>
    <r>
      <rPr>
        <vertAlign val="subscript"/>
        <sz val="10"/>
        <rFont val="Arial"/>
        <family val="2"/>
      </rPr>
      <t>s</t>
    </r>
    <r>
      <rPr>
        <sz val="10"/>
        <rFont val="Arial"/>
        <family val="2"/>
      </rPr>
      <t xml:space="preserve"> &lt; 1</t>
    </r>
  </si>
  <si>
    <r>
      <t>h</t>
    </r>
    <r>
      <rPr>
        <vertAlign val="subscript"/>
        <sz val="10"/>
        <rFont val="Arial"/>
        <family val="2"/>
      </rPr>
      <t>w</t>
    </r>
    <r>
      <rPr>
        <sz val="10"/>
        <rFont val="Arial"/>
        <family val="2"/>
      </rPr>
      <t xml:space="preserve"> ≤ 20 m</t>
    </r>
  </si>
  <si>
    <r>
      <t>= avg(h</t>
    </r>
    <r>
      <rPr>
        <vertAlign val="subscript"/>
        <sz val="10"/>
        <rFont val="Arial"/>
        <family val="2"/>
      </rPr>
      <t>w</t>
    </r>
    <r>
      <rPr>
        <sz val="10"/>
        <rFont val="Arial"/>
        <family val="2"/>
      </rPr>
      <t>, h</t>
    </r>
    <r>
      <rPr>
        <sz val="10"/>
        <rFont val="Arial"/>
        <family val="2"/>
      </rPr>
      <t>)</t>
    </r>
  </si>
  <si>
    <t>Total building height</t>
  </si>
  <si>
    <t>Roof
Slope, θ°</t>
  </si>
  <si>
    <r>
      <t>= I</t>
    </r>
    <r>
      <rPr>
        <sz val="10"/>
        <rFont val="Arial"/>
        <family val="2"/>
      </rPr>
      <t xml:space="preserve"> q C</t>
    </r>
    <r>
      <rPr>
        <vertAlign val="subscript"/>
        <sz val="10"/>
        <rFont val="Arial"/>
        <family val="2"/>
      </rPr>
      <t>e</t>
    </r>
    <r>
      <rPr>
        <sz val="10"/>
        <rFont val="Arial"/>
        <family val="2"/>
      </rPr>
      <t xml:space="preserve"> C</t>
    </r>
    <r>
      <rPr>
        <vertAlign val="subscript"/>
        <sz val="10"/>
        <rFont val="Arial"/>
        <family val="2"/>
      </rPr>
      <t>p</t>
    </r>
    <r>
      <rPr>
        <sz val="10"/>
        <rFont val="Arial"/>
        <family val="2"/>
      </rPr>
      <t xml:space="preserve"> C</t>
    </r>
    <r>
      <rPr>
        <vertAlign val="subscript"/>
        <sz val="10"/>
        <rFont val="Arial"/>
        <family val="2"/>
      </rPr>
      <t>g</t>
    </r>
  </si>
  <si>
    <r>
      <t>= I</t>
    </r>
    <r>
      <rPr>
        <sz val="10"/>
        <rFont val="Arial"/>
        <family val="2"/>
      </rPr>
      <t xml:space="preserve"> q C</t>
    </r>
    <r>
      <rPr>
        <vertAlign val="subscript"/>
        <sz val="10"/>
        <rFont val="Arial"/>
        <family val="2"/>
      </rPr>
      <t>e</t>
    </r>
    <r>
      <rPr>
        <sz val="10"/>
        <rFont val="Arial"/>
        <family val="2"/>
      </rPr>
      <t xml:space="preserve"> C</t>
    </r>
    <r>
      <rPr>
        <vertAlign val="subscript"/>
        <sz val="10"/>
        <rFont val="Arial"/>
        <family val="2"/>
      </rPr>
      <t>pi</t>
    </r>
    <r>
      <rPr>
        <sz val="10"/>
        <rFont val="Arial"/>
        <family val="2"/>
      </rPr>
      <t xml:space="preserve"> C</t>
    </r>
    <r>
      <rPr>
        <vertAlign val="subscript"/>
        <sz val="10"/>
        <rFont val="Arial"/>
        <family val="2"/>
      </rPr>
      <t>gi</t>
    </r>
  </si>
  <si>
    <t>internal pressure category</t>
  </si>
  <si>
    <t>Category</t>
  </si>
  <si>
    <t>Category 1</t>
  </si>
  <si>
    <t>Category 2</t>
  </si>
  <si>
    <t>Exposure</t>
  </si>
  <si>
    <t>Roof type</t>
  </si>
  <si>
    <t>Importance category</t>
  </si>
  <si>
    <t>Low</t>
  </si>
  <si>
    <t>Normal</t>
  </si>
  <si>
    <t>High</t>
  </si>
  <si>
    <t>Post-disaster</t>
  </si>
  <si>
    <t>Unobstructed &amp; slippery</t>
  </si>
  <si>
    <t>Sheltered</t>
  </si>
  <si>
    <t>Exposed</t>
  </si>
  <si>
    <t>Exposed, north of treeline</t>
  </si>
  <si>
    <t>= 0.7(H/12)0.3 ≥ 0.7 if sheltered
= (H/10)0.2 ≥ 0.9 if exposed</t>
  </si>
  <si>
    <t>site exposure</t>
  </si>
  <si>
    <t>exposure factor</t>
  </si>
  <si>
    <r>
      <t>C</t>
    </r>
    <r>
      <rPr>
        <vertAlign val="subscript"/>
        <sz val="10"/>
        <rFont val="Arial"/>
        <family val="2"/>
      </rPr>
      <t>pimin</t>
    </r>
  </si>
  <si>
    <r>
      <t>C</t>
    </r>
    <r>
      <rPr>
        <vertAlign val="subscript"/>
        <sz val="10"/>
        <rFont val="Arial"/>
        <family val="2"/>
      </rPr>
      <t>pimax</t>
    </r>
  </si>
  <si>
    <t>gust factor</t>
  </si>
  <si>
    <r>
      <t xml:space="preserve">W </t>
    </r>
    <r>
      <rPr>
        <sz val="10"/>
        <rFont val="Calibri"/>
        <family val="2"/>
      </rPr>
      <t>≤</t>
    </r>
    <r>
      <rPr>
        <sz val="10"/>
        <rFont val="Arial"/>
        <family val="2"/>
      </rPr>
      <t xml:space="preserve"> 12.2 m</t>
    </r>
  </si>
  <si>
    <r>
      <t xml:space="preserve">A </t>
    </r>
    <r>
      <rPr>
        <sz val="10"/>
        <rFont val="Calibri"/>
        <family val="2"/>
      </rPr>
      <t>≤</t>
    </r>
    <r>
      <rPr>
        <sz val="10"/>
        <rFont val="Arial"/>
        <family val="2"/>
      </rPr>
      <t xml:space="preserve"> 4,550 m</t>
    </r>
    <r>
      <rPr>
        <vertAlign val="superscript"/>
        <sz val="10"/>
        <rFont val="Arial"/>
        <family val="2"/>
      </rPr>
      <t>2</t>
    </r>
  </si>
  <si>
    <t>validity checks for application of Part 9 snow load</t>
  </si>
  <si>
    <r>
      <t>C</t>
    </r>
    <r>
      <rPr>
        <vertAlign val="subscript"/>
        <sz val="10"/>
        <rFont val="Arial"/>
        <family val="2"/>
      </rPr>
      <t>b4</t>
    </r>
  </si>
  <si>
    <r>
      <t>C</t>
    </r>
    <r>
      <rPr>
        <vertAlign val="subscript"/>
        <sz val="10"/>
        <rFont val="Arial"/>
        <family val="2"/>
      </rPr>
      <t>b9</t>
    </r>
  </si>
  <si>
    <r>
      <t>= max(1, C</t>
    </r>
    <r>
      <rPr>
        <vertAlign val="subscript"/>
        <sz val="10"/>
        <rFont val="Arial"/>
        <family val="2"/>
      </rPr>
      <t>b9</t>
    </r>
    <r>
      <rPr>
        <sz val="10"/>
        <rFont val="Arial"/>
        <family val="2"/>
      </rPr>
      <t xml:space="preserve"> S</t>
    </r>
    <r>
      <rPr>
        <vertAlign val="subscript"/>
        <sz val="10"/>
        <rFont val="Arial"/>
        <family val="2"/>
      </rPr>
      <t>s</t>
    </r>
    <r>
      <rPr>
        <sz val="10"/>
        <rFont val="Arial"/>
        <family val="2"/>
      </rPr>
      <t xml:space="preserve"> + S</t>
    </r>
    <r>
      <rPr>
        <vertAlign val="subscript"/>
        <sz val="10"/>
        <rFont val="Arial"/>
        <family val="2"/>
      </rPr>
      <t>r</t>
    </r>
    <r>
      <rPr>
        <sz val="10"/>
        <rFont val="Arial"/>
        <family val="2"/>
      </rPr>
      <t>)</t>
    </r>
  </si>
  <si>
    <r>
      <t>= I (S</t>
    </r>
    <r>
      <rPr>
        <vertAlign val="subscript"/>
        <sz val="10"/>
        <rFont val="Arial"/>
        <family val="2"/>
      </rPr>
      <t>s</t>
    </r>
    <r>
      <rPr>
        <sz val="10"/>
        <rFont val="Arial"/>
        <family val="2"/>
      </rPr>
      <t xml:space="preserve"> (C</t>
    </r>
    <r>
      <rPr>
        <vertAlign val="subscript"/>
        <sz val="10"/>
        <rFont val="Arial"/>
        <family val="2"/>
      </rPr>
      <t>b4</t>
    </r>
    <r>
      <rPr>
        <sz val="10"/>
        <rFont val="Arial"/>
        <family val="2"/>
      </rPr>
      <t xml:space="preserve"> C</t>
    </r>
    <r>
      <rPr>
        <vertAlign val="subscript"/>
        <sz val="10"/>
        <rFont val="Arial"/>
        <family val="2"/>
      </rPr>
      <t>w</t>
    </r>
    <r>
      <rPr>
        <sz val="10"/>
        <rFont val="Arial"/>
        <family val="2"/>
      </rPr>
      <t xml:space="preserve"> C</t>
    </r>
    <r>
      <rPr>
        <vertAlign val="subscript"/>
        <sz val="10"/>
        <rFont val="Arial"/>
        <family val="2"/>
      </rPr>
      <t>s</t>
    </r>
    <r>
      <rPr>
        <sz val="10"/>
        <rFont val="Arial"/>
        <family val="2"/>
      </rPr>
      <t xml:space="preserve"> C</t>
    </r>
    <r>
      <rPr>
        <vertAlign val="subscript"/>
        <sz val="10"/>
        <rFont val="Arial"/>
        <family val="2"/>
      </rPr>
      <t>ab</t>
    </r>
    <r>
      <rPr>
        <sz val="10"/>
        <rFont val="Arial"/>
        <family val="2"/>
      </rPr>
      <t>) + S</t>
    </r>
    <r>
      <rPr>
        <vertAlign val="subscript"/>
        <sz val="10"/>
        <rFont val="Arial"/>
        <family val="2"/>
      </rPr>
      <t>r</t>
    </r>
    <r>
      <rPr>
        <sz val="10"/>
        <rFont val="Arial"/>
        <family val="2"/>
      </rPr>
      <t>)</t>
    </r>
  </si>
  <si>
    <r>
      <t>= I (S</t>
    </r>
    <r>
      <rPr>
        <vertAlign val="subscript"/>
        <sz val="10"/>
        <rFont val="Arial"/>
        <family val="2"/>
      </rPr>
      <t>s</t>
    </r>
    <r>
      <rPr>
        <sz val="10"/>
        <rFont val="Arial"/>
        <family val="2"/>
      </rPr>
      <t xml:space="preserve"> (C</t>
    </r>
    <r>
      <rPr>
        <vertAlign val="subscript"/>
        <sz val="10"/>
        <rFont val="Arial"/>
        <family val="2"/>
      </rPr>
      <t>b4</t>
    </r>
    <r>
      <rPr>
        <sz val="10"/>
        <rFont val="Arial"/>
        <family val="2"/>
      </rPr>
      <t xml:space="preserve"> C</t>
    </r>
    <r>
      <rPr>
        <vertAlign val="subscript"/>
        <sz val="10"/>
        <rFont val="Arial"/>
        <family val="2"/>
      </rPr>
      <t>w</t>
    </r>
    <r>
      <rPr>
        <sz val="10"/>
        <rFont val="Arial"/>
        <family val="2"/>
      </rPr>
      <t xml:space="preserve"> C</t>
    </r>
    <r>
      <rPr>
        <vertAlign val="subscript"/>
        <sz val="10"/>
        <rFont val="Arial"/>
        <family val="2"/>
      </rPr>
      <t>s</t>
    </r>
    <r>
      <rPr>
        <sz val="10"/>
        <rFont val="Arial"/>
        <family val="2"/>
      </rPr>
      <t xml:space="preserve"> C</t>
    </r>
    <r>
      <rPr>
        <vertAlign val="subscript"/>
        <sz val="10"/>
        <rFont val="Arial"/>
        <family val="2"/>
      </rPr>
      <t>au</t>
    </r>
    <r>
      <rPr>
        <sz val="10"/>
        <rFont val="Arial"/>
        <family val="2"/>
      </rPr>
      <t>) + S</t>
    </r>
    <r>
      <rPr>
        <vertAlign val="subscript"/>
        <sz val="10"/>
        <rFont val="Arial"/>
        <family val="2"/>
      </rPr>
      <t>r</t>
    </r>
    <r>
      <rPr>
        <sz val="10"/>
        <rFont val="Arial"/>
        <family val="2"/>
      </rPr>
      <t>)</t>
    </r>
  </si>
  <si>
    <t>gable wall, leeward</t>
  </si>
  <si>
    <t>leading edge of 6</t>
  </si>
  <si>
    <t>leading edge of 5</t>
  </si>
  <si>
    <t>leading edge of 4</t>
  </si>
  <si>
    <t>leading edge of 3</t>
  </si>
  <si>
    <t>leading edge of 2</t>
  </si>
  <si>
    <t>leading edge of 1</t>
  </si>
  <si>
    <t>width</t>
  </si>
  <si>
    <t>depth</t>
  </si>
  <si>
    <t>d</t>
  </si>
  <si>
    <r>
      <t>n</t>
    </r>
    <r>
      <rPr>
        <vertAlign val="subscript"/>
        <sz val="10"/>
        <rFont val="Arial"/>
        <family val="2"/>
      </rPr>
      <t>ply</t>
    </r>
  </si>
  <si>
    <t>mm</t>
  </si>
  <si>
    <t>nominal</t>
  </si>
  <si>
    <t>actual</t>
  </si>
  <si>
    <r>
      <t>mm</t>
    </r>
    <r>
      <rPr>
        <vertAlign val="superscript"/>
        <sz val="10"/>
        <rFont val="Arial"/>
        <family val="2"/>
      </rPr>
      <t>4</t>
    </r>
  </si>
  <si>
    <r>
      <t>K</t>
    </r>
    <r>
      <rPr>
        <b/>
        <i/>
        <vertAlign val="subscript"/>
        <sz val="11"/>
        <color theme="1"/>
        <rFont val="Calibri"/>
        <family val="2"/>
        <scheme val="minor"/>
      </rPr>
      <t>D</t>
    </r>
    <r>
      <rPr>
        <b/>
        <i/>
        <sz val="11"/>
        <color theme="1"/>
        <rFont val="Calibri"/>
        <family val="2"/>
        <scheme val="minor"/>
      </rPr>
      <t>, Load duration factor (T 4.3.2.2 p.18)</t>
    </r>
  </si>
  <si>
    <t>KD_duration</t>
  </si>
  <si>
    <t>KD_value</t>
  </si>
  <si>
    <t>short term</t>
  </si>
  <si>
    <t>permanent</t>
  </si>
  <si>
    <r>
      <t>K</t>
    </r>
    <r>
      <rPr>
        <b/>
        <i/>
        <vertAlign val="subscript"/>
        <sz val="11"/>
        <color theme="1"/>
        <rFont val="Calibri"/>
        <family val="2"/>
        <scheme val="minor"/>
      </rPr>
      <t>S</t>
    </r>
    <r>
      <rPr>
        <b/>
        <i/>
        <sz val="11"/>
        <color theme="1"/>
        <rFont val="Calibri"/>
        <family val="2"/>
        <scheme val="minor"/>
      </rPr>
      <t>, Service condition factor (T 5.4.2 p.30)</t>
    </r>
  </si>
  <si>
    <t>KS_condition</t>
  </si>
  <si>
    <t>KS_property</t>
  </si>
  <si>
    <t>KS_dry</t>
  </si>
  <si>
    <t>KS_wet1</t>
  </si>
  <si>
    <t>KS_wet2</t>
  </si>
  <si>
    <t>KS_wet_size</t>
  </si>
  <si>
    <t>dry</t>
  </si>
  <si>
    <r>
      <t>K</t>
    </r>
    <r>
      <rPr>
        <vertAlign val="subscript"/>
        <sz val="11"/>
        <color theme="1"/>
        <rFont val="Calibri"/>
        <family val="2"/>
        <scheme val="minor"/>
      </rPr>
      <t>Sb</t>
    </r>
  </si>
  <si>
    <t>wet</t>
  </si>
  <si>
    <r>
      <t>K</t>
    </r>
    <r>
      <rPr>
        <vertAlign val="subscript"/>
        <sz val="11"/>
        <color theme="1"/>
        <rFont val="Calibri"/>
        <family val="2"/>
        <scheme val="minor"/>
      </rPr>
      <t>Sc</t>
    </r>
  </si>
  <si>
    <r>
      <t>K</t>
    </r>
    <r>
      <rPr>
        <vertAlign val="subscript"/>
        <sz val="11"/>
        <color theme="1"/>
        <rFont val="Calibri"/>
        <family val="2"/>
        <scheme val="minor"/>
      </rPr>
      <t>Scp</t>
    </r>
  </si>
  <si>
    <r>
      <t>K</t>
    </r>
    <r>
      <rPr>
        <vertAlign val="subscript"/>
        <sz val="11"/>
        <color theme="1"/>
        <rFont val="Calibri"/>
        <family val="2"/>
        <scheme val="minor"/>
      </rPr>
      <t>SE</t>
    </r>
  </si>
  <si>
    <r>
      <t>K</t>
    </r>
    <r>
      <rPr>
        <vertAlign val="subscript"/>
        <sz val="11"/>
        <color theme="1"/>
        <rFont val="Calibri"/>
        <family val="2"/>
        <scheme val="minor"/>
      </rPr>
      <t>Sf</t>
    </r>
  </si>
  <si>
    <r>
      <t>K</t>
    </r>
    <r>
      <rPr>
        <vertAlign val="subscript"/>
        <sz val="11"/>
        <color theme="1"/>
        <rFont val="Calibri"/>
        <family val="2"/>
        <scheme val="minor"/>
      </rPr>
      <t>St</t>
    </r>
  </si>
  <si>
    <r>
      <t>K</t>
    </r>
    <r>
      <rPr>
        <vertAlign val="subscript"/>
        <sz val="11"/>
        <color theme="1"/>
        <rFont val="Calibri"/>
        <family val="2"/>
        <scheme val="minor"/>
      </rPr>
      <t>Sv</t>
    </r>
  </si>
  <si>
    <r>
      <t>K</t>
    </r>
    <r>
      <rPr>
        <b/>
        <i/>
        <vertAlign val="subscript"/>
        <sz val="11"/>
        <color theme="1"/>
        <rFont val="Calibri"/>
        <family val="2"/>
        <scheme val="minor"/>
      </rPr>
      <t>T</t>
    </r>
    <r>
      <rPr>
        <b/>
        <i/>
        <sz val="11"/>
        <color theme="1"/>
        <rFont val="Calibri"/>
        <family val="2"/>
        <scheme val="minor"/>
      </rPr>
      <t>, Treatment factor (T 5.4.3 p.30)</t>
    </r>
  </si>
  <si>
    <t>KT_treatment</t>
  </si>
  <si>
    <t>KT_dry</t>
  </si>
  <si>
    <t>KT_wet</t>
  </si>
  <si>
    <t>KTE_dry</t>
  </si>
  <si>
    <t>KTE_wet</t>
  </si>
  <si>
    <t>incised treated</t>
  </si>
  <si>
    <t>unincised treated</t>
  </si>
  <si>
    <t>untreated</t>
  </si>
  <si>
    <r>
      <t>K</t>
    </r>
    <r>
      <rPr>
        <b/>
        <i/>
        <vertAlign val="subscript"/>
        <sz val="11"/>
        <color theme="1"/>
        <rFont val="Calibri"/>
        <family val="2"/>
        <scheme val="minor"/>
      </rPr>
      <t>H</t>
    </r>
    <r>
      <rPr>
        <b/>
        <i/>
        <sz val="11"/>
        <color theme="1"/>
        <rFont val="Calibri"/>
        <family val="2"/>
        <scheme val="minor"/>
      </rPr>
      <t>, System factor (T 5.4.4 p.30)</t>
    </r>
  </si>
  <si>
    <t>KH_system</t>
  </si>
  <si>
    <t>KH_property</t>
  </si>
  <si>
    <t>KH_0</t>
  </si>
  <si>
    <t>KH_1</t>
  </si>
  <si>
    <t>KH_2</t>
  </si>
  <si>
    <t>Case 1</t>
  </si>
  <si>
    <r>
      <t>K</t>
    </r>
    <r>
      <rPr>
        <vertAlign val="subscript"/>
        <sz val="11"/>
        <color theme="1"/>
        <rFont val="Calibri"/>
        <family val="2"/>
        <scheme val="minor"/>
      </rPr>
      <t>H</t>
    </r>
  </si>
  <si>
    <t>Case 2</t>
  </si>
  <si>
    <r>
      <t>K</t>
    </r>
    <r>
      <rPr>
        <vertAlign val="subscript"/>
        <sz val="11"/>
        <color theme="1"/>
        <rFont val="Calibri"/>
        <family val="2"/>
        <scheme val="minor"/>
      </rPr>
      <t>Hb</t>
    </r>
  </si>
  <si>
    <t>none</t>
  </si>
  <si>
    <r>
      <t>K</t>
    </r>
    <r>
      <rPr>
        <vertAlign val="subscript"/>
        <sz val="11"/>
        <color theme="1"/>
        <rFont val="Calibri"/>
        <family val="2"/>
        <scheme val="minor"/>
      </rPr>
      <t>Hc</t>
    </r>
  </si>
  <si>
    <r>
      <t>K</t>
    </r>
    <r>
      <rPr>
        <vertAlign val="subscript"/>
        <sz val="11"/>
        <color theme="1"/>
        <rFont val="Calibri"/>
        <family val="2"/>
        <scheme val="minor"/>
      </rPr>
      <t>Ht</t>
    </r>
  </si>
  <si>
    <r>
      <t>K</t>
    </r>
    <r>
      <rPr>
        <vertAlign val="subscript"/>
        <sz val="11"/>
        <color theme="1"/>
        <rFont val="Calibri"/>
        <family val="2"/>
        <scheme val="minor"/>
      </rPr>
      <t>Hv</t>
    </r>
  </si>
  <si>
    <r>
      <t>K</t>
    </r>
    <r>
      <rPr>
        <b/>
        <i/>
        <vertAlign val="subscript"/>
        <sz val="11"/>
        <color theme="1"/>
        <rFont val="Calibri"/>
        <family val="2"/>
        <scheme val="minor"/>
      </rPr>
      <t>Z</t>
    </r>
    <r>
      <rPr>
        <b/>
        <i/>
        <sz val="11"/>
        <color theme="1"/>
        <rFont val="Calibri"/>
        <family val="2"/>
        <scheme val="minor"/>
      </rPr>
      <t>, Size factor (T 5.4.5 p.31)</t>
    </r>
  </si>
  <si>
    <t>KZ_b</t>
  </si>
  <si>
    <t>KZ_d</t>
  </si>
  <si>
    <t>KZbv_1</t>
  </si>
  <si>
    <t>KZbv_2</t>
  </si>
  <si>
    <t>KZbv_3</t>
  </si>
  <si>
    <t>KZt</t>
  </si>
  <si>
    <r>
      <t>K</t>
    </r>
    <r>
      <rPr>
        <b/>
        <i/>
        <vertAlign val="subscript"/>
        <sz val="11"/>
        <color theme="1"/>
        <rFont val="Calibri"/>
        <family val="2"/>
        <scheme val="minor"/>
      </rPr>
      <t>Zcp</t>
    </r>
    <r>
      <rPr>
        <b/>
        <i/>
        <sz val="11"/>
        <color theme="1"/>
        <rFont val="Calibri"/>
        <family val="2"/>
        <scheme val="minor"/>
      </rPr>
      <t>, Size factor for bearing (T 5.5.7.5 p.40)</t>
    </r>
  </si>
  <si>
    <t>KZcp_ratio</t>
  </si>
  <si>
    <t>KZcp</t>
  </si>
  <si>
    <r>
      <t>K</t>
    </r>
    <r>
      <rPr>
        <b/>
        <i/>
        <vertAlign val="subscript"/>
        <sz val="11"/>
        <color theme="1"/>
        <rFont val="Calibri"/>
        <family val="2"/>
        <scheme val="minor"/>
      </rPr>
      <t>B</t>
    </r>
    <r>
      <rPr>
        <b/>
        <i/>
        <sz val="11"/>
        <color theme="1"/>
        <rFont val="Calibri"/>
        <family val="2"/>
        <scheme val="minor"/>
      </rPr>
      <t>, Length of bearing factor (T 5.5.7.6 p.40)</t>
    </r>
  </si>
  <si>
    <t>KB_length</t>
  </si>
  <si>
    <t>KB</t>
  </si>
  <si>
    <r>
      <t>K</t>
    </r>
    <r>
      <rPr>
        <b/>
        <i/>
        <vertAlign val="subscript"/>
        <sz val="11"/>
        <color theme="1"/>
        <rFont val="Calibri"/>
        <family val="2"/>
        <scheme val="minor"/>
      </rPr>
      <t>L</t>
    </r>
    <r>
      <rPr>
        <b/>
        <i/>
        <sz val="11"/>
        <color theme="1"/>
        <rFont val="Calibri"/>
        <family val="2"/>
        <scheme val="minor"/>
      </rPr>
      <t>, Lateral stability factor (C 5.5.4.2.1 p.31)</t>
    </r>
  </si>
  <si>
    <t>KL_condition</t>
  </si>
  <si>
    <t>KL_dbratio</t>
  </si>
  <si>
    <t>no intermediate lateral support</t>
  </si>
  <si>
    <t>top supported by purlins / tie rods installed</t>
  </si>
  <si>
    <t>top supported by decking / joists @ ≤24" o.c.</t>
  </si>
  <si>
    <t>top support + bridging / blocking @ ≤ 8d</t>
  </si>
  <si>
    <t>continuous lateral support, top &amp; bottom</t>
  </si>
  <si>
    <r>
      <t>L</t>
    </r>
    <r>
      <rPr>
        <b/>
        <i/>
        <vertAlign val="subscript"/>
        <sz val="11"/>
        <color theme="1"/>
        <rFont val="Calibri"/>
        <family val="2"/>
        <scheme val="minor"/>
      </rPr>
      <t>e</t>
    </r>
    <r>
      <rPr>
        <b/>
        <i/>
        <sz val="11"/>
        <color theme="1"/>
        <rFont val="Calibri"/>
        <family val="2"/>
        <scheme val="minor"/>
      </rPr>
      <t>, Effective length for bending members (T 6.5.6.4.3 p.49)</t>
    </r>
  </si>
  <si>
    <t>Le_condition</t>
  </si>
  <si>
    <t>Le_unsup</t>
  </si>
  <si>
    <t>Le_supp</t>
  </si>
  <si>
    <t>Beam: Any loading</t>
  </si>
  <si>
    <t>Beam: UDL</t>
  </si>
  <si>
    <t>Beam: P @ center</t>
  </si>
  <si>
    <t>Beam: P @ 1/3 points</t>
  </si>
  <si>
    <t>Beam: P @ 1/4 points</t>
  </si>
  <si>
    <t>Beam: P @ 1/5 points</t>
  </si>
  <si>
    <t>Beam: P @ 1/6 points</t>
  </si>
  <si>
    <t>Beam: P @ 1/7 points</t>
  </si>
  <si>
    <t>Beam: P @ 1/8 points</t>
  </si>
  <si>
    <t>Cantilever: Any loading</t>
  </si>
  <si>
    <t>Cantilever: UDL</t>
  </si>
  <si>
    <t>Cantilever: P @ free end</t>
  </si>
  <si>
    <r>
      <t>K</t>
    </r>
    <r>
      <rPr>
        <b/>
        <i/>
        <vertAlign val="subscript"/>
        <sz val="11"/>
        <color theme="1"/>
        <rFont val="Calibri"/>
        <family val="2"/>
        <scheme val="minor"/>
      </rPr>
      <t>e</t>
    </r>
    <r>
      <rPr>
        <b/>
        <i/>
        <sz val="11"/>
        <color theme="1"/>
        <rFont val="Calibri"/>
        <family val="2"/>
        <scheme val="minor"/>
      </rPr>
      <t>, Effective length factor (T A5.5.6.1 p.175)</t>
    </r>
  </si>
  <si>
    <t>Ke_condition</t>
  </si>
  <si>
    <t>Ke</t>
  </si>
  <si>
    <t>fixed : fixed</t>
  </si>
  <si>
    <t>fixed : pinned</t>
  </si>
  <si>
    <t>pinned : fixed</t>
  </si>
  <si>
    <t>pinned : pinned</t>
  </si>
  <si>
    <t>fixed : slider, rotation-locked</t>
  </si>
  <si>
    <t>fixed : free, rotation-locked</t>
  </si>
  <si>
    <t>pinned : slider, rotation-locked</t>
  </si>
  <si>
    <t>slider, rotation-locked : pinned</t>
  </si>
  <si>
    <t>fixed : free</t>
  </si>
  <si>
    <t>free : fixed</t>
  </si>
  <si>
    <t>Nominal &amp; dressed lumber &amp; timber sizes (TA5.5.2 p.174)</t>
  </si>
  <si>
    <t>_b1</t>
  </si>
  <si>
    <t>_b1_mm</t>
  </si>
  <si>
    <t>_b2</t>
  </si>
  <si>
    <t>_b2_mm</t>
  </si>
  <si>
    <t>_d1</t>
  </si>
  <si>
    <t>_d1_mm</t>
  </si>
  <si>
    <t>_d2</t>
  </si>
  <si>
    <t>_d2_mm</t>
  </si>
  <si>
    <t>Bending</t>
  </si>
  <si>
    <t>Shear</t>
  </si>
  <si>
    <t>Specified Strengths and Modulus of Elasticity (MPa)</t>
  </si>
  <si>
    <t>Density</t>
  </si>
  <si>
    <t>Species</t>
  </si>
  <si>
    <t>Grade</t>
  </si>
  <si>
    <t>Code</t>
  </si>
  <si>
    <t>Tension
|| to grain</t>
  </si>
  <si>
    <t>Compression
┴ to grain</t>
  </si>
  <si>
    <t>Compression
|| to grain</t>
  </si>
  <si>
    <t>Modulus of Elasticity</t>
  </si>
  <si>
    <r>
      <t>kN/m</t>
    </r>
    <r>
      <rPr>
        <vertAlign val="superscript"/>
        <sz val="11"/>
        <color theme="1"/>
        <rFont val="Calibri"/>
        <family val="2"/>
        <scheme val="minor"/>
      </rPr>
      <t>3</t>
    </r>
  </si>
  <si>
    <t>Index</t>
  </si>
  <si>
    <r>
      <t>f</t>
    </r>
    <r>
      <rPr>
        <vertAlign val="subscript"/>
        <sz val="10"/>
        <rFont val="Arial"/>
        <family val="2"/>
      </rPr>
      <t>b</t>
    </r>
  </si>
  <si>
    <r>
      <t>f</t>
    </r>
    <r>
      <rPr>
        <vertAlign val="subscript"/>
        <sz val="10"/>
        <rFont val="Arial"/>
        <family val="2"/>
      </rPr>
      <t>t</t>
    </r>
  </si>
  <si>
    <r>
      <t>f</t>
    </r>
    <r>
      <rPr>
        <vertAlign val="subscript"/>
        <sz val="10"/>
        <rFont val="Arial"/>
        <family val="2"/>
      </rPr>
      <t>v</t>
    </r>
  </si>
  <si>
    <r>
      <t>f</t>
    </r>
    <r>
      <rPr>
        <vertAlign val="subscript"/>
        <sz val="10"/>
        <rFont val="Arial"/>
        <family val="2"/>
      </rPr>
      <t>cp</t>
    </r>
  </si>
  <si>
    <r>
      <t>f</t>
    </r>
    <r>
      <rPr>
        <vertAlign val="subscript"/>
        <sz val="10"/>
        <rFont val="Arial"/>
        <family val="2"/>
      </rPr>
      <t>c</t>
    </r>
  </si>
  <si>
    <r>
      <t>E</t>
    </r>
    <r>
      <rPr>
        <vertAlign val="subscript"/>
        <sz val="10"/>
        <rFont val="Arial"/>
        <family val="2"/>
      </rPr>
      <t>05</t>
    </r>
  </si>
  <si>
    <t>ρ</t>
  </si>
  <si>
    <t>D Fir-L</t>
  </si>
  <si>
    <t>1</t>
  </si>
  <si>
    <t>SS</t>
  </si>
  <si>
    <t>No.1/No.2</t>
  </si>
  <si>
    <t>Hem-Fir</t>
  </si>
  <si>
    <t>No.1</t>
  </si>
  <si>
    <t>No.3/Stud</t>
  </si>
  <si>
    <t>SPF</t>
  </si>
  <si>
    <t>2</t>
  </si>
  <si>
    <t>Northern</t>
  </si>
  <si>
    <t>No.2</t>
  </si>
  <si>
    <t>3</t>
  </si>
  <si>
    <t>Part A, p.23</t>
  </si>
  <si>
    <t>Part D, p.25</t>
  </si>
  <si>
    <t>4</t>
  </si>
  <si>
    <t>Grade1</t>
  </si>
  <si>
    <t>Grade2</t>
  </si>
  <si>
    <t>C1</t>
  </si>
  <si>
    <t>C2</t>
  </si>
  <si>
    <t>Structural sawn lumber</t>
  </si>
  <si>
    <t>Posts &amp; timbers</t>
  </si>
  <si>
    <t>normal</t>
  </si>
  <si>
    <t>type</t>
  </si>
  <si>
    <t>Type</t>
  </si>
  <si>
    <t>Posts &amp; timber</t>
  </si>
  <si>
    <t>MPa</t>
  </si>
  <si>
    <t>moment of inertia</t>
  </si>
  <si>
    <t>modulus of elasticity</t>
  </si>
  <si>
    <t>_b_avail</t>
  </si>
  <si>
    <t>_d_avail</t>
  </si>
  <si>
    <t>N/mm</t>
  </si>
  <si>
    <r>
      <t>= n</t>
    </r>
    <r>
      <rPr>
        <vertAlign val="subscript"/>
        <sz val="10"/>
        <rFont val="Arial"/>
        <family val="2"/>
      </rPr>
      <t>ply</t>
    </r>
    <r>
      <rPr>
        <sz val="10"/>
        <rFont val="Arial"/>
        <family val="2"/>
      </rPr>
      <t xml:space="preserve"> bd</t>
    </r>
    <r>
      <rPr>
        <vertAlign val="superscript"/>
        <sz val="10"/>
        <rFont val="Arial"/>
        <family val="2"/>
      </rPr>
      <t>3</t>
    </r>
    <r>
      <rPr>
        <sz val="10"/>
        <rFont val="Arial"/>
        <family val="2"/>
      </rPr>
      <t>/12</t>
    </r>
  </si>
  <si>
    <t>plies (sawn lumber only)</t>
  </si>
  <si>
    <t>O86 T5.3.1</t>
  </si>
  <si>
    <t>length</t>
  </si>
  <si>
    <t>test panel</t>
  </si>
  <si>
    <t>PFBDM T6.1</t>
  </si>
  <si>
    <t>assembly #</t>
  </si>
  <si>
    <t>Test panel assembly</t>
  </si>
  <si>
    <t>width, a (ft)</t>
  </si>
  <si>
    <t>length, b (ft)</t>
  </si>
  <si>
    <t>effective in-plane shear sftiffness, c (lb/in)</t>
  </si>
  <si>
    <t>@ frame #1</t>
  </si>
  <si>
    <r>
      <t>@</t>
    </r>
    <r>
      <rPr>
        <sz val="10"/>
        <rFont val="Arial"/>
        <family val="2"/>
      </rPr>
      <t xml:space="preserve"> frame #n</t>
    </r>
    <r>
      <rPr>
        <vertAlign val="subscript"/>
        <sz val="10"/>
        <rFont val="Arial"/>
        <family val="2"/>
      </rPr>
      <t>f</t>
    </r>
  </si>
  <si>
    <t>number of end wall posts</t>
  </si>
  <si>
    <r>
      <t>n</t>
    </r>
    <r>
      <rPr>
        <vertAlign val="subscript"/>
        <sz val="10"/>
        <rFont val="Arial"/>
        <family val="2"/>
      </rPr>
      <t>p1</t>
    </r>
  </si>
  <si>
    <r>
      <t>n</t>
    </r>
    <r>
      <rPr>
        <vertAlign val="subscript"/>
        <sz val="10"/>
        <rFont val="Arial"/>
        <family val="2"/>
      </rPr>
      <t>pnf</t>
    </r>
  </si>
  <si>
    <r>
      <t>k</t>
    </r>
    <r>
      <rPr>
        <vertAlign val="subscript"/>
        <sz val="10"/>
        <rFont val="Arial"/>
        <family val="2"/>
      </rPr>
      <t>e1</t>
    </r>
  </si>
  <si>
    <r>
      <t>k</t>
    </r>
    <r>
      <rPr>
        <vertAlign val="subscript"/>
        <sz val="10"/>
        <rFont val="Arial"/>
        <family val="2"/>
      </rPr>
      <t>enf</t>
    </r>
  </si>
  <si>
    <t>N</t>
  </si>
  <si>
    <r>
      <t>= c</t>
    </r>
    <r>
      <rPr>
        <vertAlign val="subscript"/>
        <sz val="10"/>
        <rFont val="Arial"/>
        <family val="2"/>
      </rPr>
      <t>p</t>
    </r>
    <r>
      <rPr>
        <sz val="10"/>
        <rFont val="Arial"/>
        <family val="2"/>
      </rPr>
      <t xml:space="preserve"> cos</t>
    </r>
    <r>
      <rPr>
        <vertAlign val="superscript"/>
        <sz val="10"/>
        <rFont val="Arial"/>
        <family val="2"/>
      </rPr>
      <t>2</t>
    </r>
    <r>
      <rPr>
        <sz val="10"/>
        <rFont val="Arial"/>
        <family val="2"/>
      </rPr>
      <t>θ</t>
    </r>
  </si>
  <si>
    <t>= W / cosθ</t>
  </si>
  <si>
    <t>ANSI-ASAE EP486.1 (R2005) Table 1 - Presumed soil properties for post foundation design (for use in absence of codes or tests)</t>
  </si>
  <si>
    <t>Soil type &amp; consistency</t>
  </si>
  <si>
    <r>
      <t>k</t>
    </r>
    <r>
      <rPr>
        <vertAlign val="subscript"/>
        <sz val="10"/>
        <rFont val="Arial"/>
        <family val="2"/>
      </rPr>
      <t>cs</t>
    </r>
  </si>
  <si>
    <r>
      <t>S</t>
    </r>
    <r>
      <rPr>
        <vertAlign val="subscript"/>
        <sz val="10"/>
        <rFont val="Arial"/>
        <family val="2"/>
      </rPr>
      <t>Y</t>
    </r>
  </si>
  <si>
    <t>ϕ</t>
  </si>
  <si>
    <t>w</t>
  </si>
  <si>
    <r>
      <t>n</t>
    </r>
    <r>
      <rPr>
        <vertAlign val="subscript"/>
        <sz val="10"/>
        <rFont val="Arial"/>
        <family val="2"/>
      </rPr>
      <t>h</t>
    </r>
    <r>
      <rPr>
        <sz val="10"/>
        <rFont val="Arial"/>
        <family val="2"/>
      </rPr>
      <t xml:space="preserve"> S</t>
    </r>
    <r>
      <rPr>
        <vertAlign val="subscript"/>
        <sz val="10"/>
        <rFont val="Arial"/>
        <family val="2"/>
      </rPr>
      <t>v</t>
    </r>
  </si>
  <si>
    <t>kPa/m</t>
  </si>
  <si>
    <r>
      <t>lb/ft</t>
    </r>
    <r>
      <rPr>
        <vertAlign val="superscript"/>
        <sz val="10"/>
        <rFont val="Arial"/>
        <family val="2"/>
      </rPr>
      <t>2</t>
    </r>
    <r>
      <rPr>
        <sz val="10"/>
        <rFont val="Arial"/>
        <family val="2"/>
      </rPr>
      <t xml:space="preserve"> ft</t>
    </r>
  </si>
  <si>
    <r>
      <t>lb/ft</t>
    </r>
    <r>
      <rPr>
        <vertAlign val="superscript"/>
        <sz val="10"/>
        <rFont val="Arial"/>
        <family val="2"/>
      </rPr>
      <t>2</t>
    </r>
  </si>
  <si>
    <r>
      <t>kg/m</t>
    </r>
    <r>
      <rPr>
        <vertAlign val="superscript"/>
        <sz val="10"/>
        <rFont val="Arial"/>
        <family val="2"/>
      </rPr>
      <t>3</t>
    </r>
  </si>
  <si>
    <r>
      <t>lb/ft</t>
    </r>
    <r>
      <rPr>
        <vertAlign val="superscript"/>
        <sz val="10"/>
        <rFont val="Arial"/>
        <family val="2"/>
      </rPr>
      <t>3</t>
    </r>
  </si>
  <si>
    <r>
      <t>kPa/m</t>
    </r>
    <r>
      <rPr>
        <vertAlign val="superscript"/>
        <sz val="10"/>
        <rFont val="Arial"/>
        <family val="2"/>
      </rPr>
      <t>2</t>
    </r>
  </si>
  <si>
    <r>
      <t>lb/ft</t>
    </r>
    <r>
      <rPr>
        <vertAlign val="superscript"/>
        <sz val="10"/>
        <rFont val="Arial"/>
        <family val="2"/>
      </rPr>
      <t>4</t>
    </r>
  </si>
  <si>
    <t>sandy gravel or gravel - firm</t>
  </si>
  <si>
    <t>sandy gravel or gravel - loose</t>
  </si>
  <si>
    <t>sand, silty sand, clayey sand, silty gravel or clayey gravel - firm</t>
  </si>
  <si>
    <t>sand, silty sand, clayey sand, silty gravel or clayey gravel - loose</t>
  </si>
  <si>
    <t>clay, sandy clay, silty clay or clayey silt - medium</t>
  </si>
  <si>
    <t>clay, sandy clay, silty clay or clayey silt - soft</t>
  </si>
  <si>
    <t>Lateral pressure per unit depth</t>
  </si>
  <si>
    <t>Lateral sliding coefficient</t>
  </si>
  <si>
    <t>Vertical pressure</t>
  </si>
  <si>
    <t>Friction angle</t>
  </si>
  <si>
    <t>Estimated constant of lateral soil reaction</t>
  </si>
  <si>
    <t>1, bedrock</t>
  </si>
  <si>
    <t>2, sedimentary rock</t>
  </si>
  <si>
    <t>massive crystalline bedrock</t>
  </si>
  <si>
    <t>sedimentary and foliated rock</t>
  </si>
  <si>
    <t>3-firm, gravel</t>
  </si>
  <si>
    <t>3-loose, gravel</t>
  </si>
  <si>
    <t>4-firm, loam</t>
  </si>
  <si>
    <t>4-loose, loam</t>
  </si>
  <si>
    <t>5-medium, clay</t>
  </si>
  <si>
    <t>5-soft, clay</t>
  </si>
  <si>
    <t>vertical pressure</t>
  </si>
  <si>
    <t>friction angle</t>
  </si>
  <si>
    <t>φ</t>
  </si>
  <si>
    <t>density</t>
  </si>
  <si>
    <r>
      <t>S</t>
    </r>
    <r>
      <rPr>
        <vertAlign val="subscript"/>
        <sz val="10"/>
        <rFont val="Arial"/>
        <family val="2"/>
      </rPr>
      <t>y</t>
    </r>
  </si>
  <si>
    <r>
      <t>k</t>
    </r>
    <r>
      <rPr>
        <sz val="10"/>
        <rFont val="Arial"/>
        <family val="2"/>
      </rPr>
      <t>g/m</t>
    </r>
    <r>
      <rPr>
        <vertAlign val="superscript"/>
        <sz val="10"/>
        <rFont val="Arial"/>
        <family val="2"/>
      </rPr>
      <t>3</t>
    </r>
  </si>
  <si>
    <r>
      <t>k</t>
    </r>
    <r>
      <rPr>
        <sz val="10"/>
        <rFont val="Arial"/>
        <family val="2"/>
      </rPr>
      <t>Pa/m</t>
    </r>
    <r>
      <rPr>
        <vertAlign val="superscript"/>
        <sz val="10"/>
        <rFont val="Arial"/>
        <family val="2"/>
      </rPr>
      <t>2</t>
    </r>
  </si>
  <si>
    <t>est. lateral reaction constant</t>
  </si>
  <si>
    <t>lateral sliding coefficient</t>
  </si>
  <si>
    <t>lateral pressure per unit depth</t>
  </si>
  <si>
    <t>non-constrained</t>
  </si>
  <si>
    <t>constrained</t>
  </si>
  <si>
    <t>Constraint</t>
  </si>
  <si>
    <t>no collar</t>
  </si>
  <si>
    <t>collar</t>
  </si>
  <si>
    <t>Collar</t>
  </si>
  <si>
    <t>post</t>
  </si>
  <si>
    <t>constraint at ground surface</t>
  </si>
  <si>
    <t>collar at embedment depth</t>
  </si>
  <si>
    <t>basic parameters</t>
  </si>
  <si>
    <r>
      <t>d</t>
    </r>
    <r>
      <rPr>
        <vertAlign val="subscript"/>
        <sz val="10"/>
        <rFont val="Arial"/>
        <family val="2"/>
      </rPr>
      <t>max</t>
    </r>
  </si>
  <si>
    <r>
      <t>=</t>
    </r>
    <r>
      <rPr>
        <sz val="10"/>
        <rFont val="Arial"/>
        <family val="2"/>
      </rPr>
      <t xml:space="preserve"> [(6EIN (4M</t>
    </r>
    <r>
      <rPr>
        <vertAlign val="subscript"/>
        <sz val="10"/>
        <rFont val="Arial"/>
        <family val="2"/>
      </rPr>
      <t>a</t>
    </r>
    <r>
      <rPr>
        <sz val="10"/>
        <rFont val="Arial"/>
        <family val="2"/>
      </rPr>
      <t xml:space="preserve"> + 3V</t>
    </r>
    <r>
      <rPr>
        <vertAlign val="subscript"/>
        <sz val="10"/>
        <rFont val="Arial"/>
        <family val="2"/>
      </rPr>
      <t>a</t>
    </r>
    <r>
      <rPr>
        <sz val="10"/>
        <rFont val="Arial"/>
        <family val="2"/>
      </rPr>
      <t>d</t>
    </r>
    <r>
      <rPr>
        <vertAlign val="subscript"/>
        <sz val="10"/>
        <rFont val="Arial"/>
        <family val="2"/>
      </rPr>
      <t>max</t>
    </r>
    <r>
      <rPr>
        <sz val="10"/>
        <rFont val="Arial"/>
        <family val="2"/>
      </rPr>
      <t>))/(n</t>
    </r>
    <r>
      <rPr>
        <vertAlign val="subscript"/>
        <sz val="10"/>
        <rFont val="Arial"/>
        <family val="2"/>
      </rPr>
      <t>h</t>
    </r>
    <r>
      <rPr>
        <sz val="10"/>
        <rFont val="Arial"/>
        <family val="2"/>
      </rPr>
      <t>b(2M</t>
    </r>
    <r>
      <rPr>
        <vertAlign val="subscript"/>
        <sz val="10"/>
        <rFont val="Arial"/>
        <family val="2"/>
      </rPr>
      <t>a</t>
    </r>
    <r>
      <rPr>
        <sz val="10"/>
        <rFont val="Arial"/>
        <family val="2"/>
      </rPr>
      <t>/5 + V</t>
    </r>
    <r>
      <rPr>
        <vertAlign val="subscript"/>
        <sz val="10"/>
        <rFont val="Arial"/>
        <family val="2"/>
      </rPr>
      <t>a</t>
    </r>
    <r>
      <rPr>
        <sz val="10"/>
        <rFont val="Arial"/>
        <family val="2"/>
      </rPr>
      <t>d</t>
    </r>
    <r>
      <rPr>
        <vertAlign val="subscript"/>
        <sz val="10"/>
        <rFont val="Arial"/>
        <family val="2"/>
      </rPr>
      <t>max</t>
    </r>
    <r>
      <rPr>
        <sz val="10"/>
        <rFont val="Arial"/>
        <family val="2"/>
      </rPr>
      <t>/12))]</t>
    </r>
    <r>
      <rPr>
        <vertAlign val="superscript"/>
        <sz val="10"/>
        <rFont val="Arial"/>
        <family val="2"/>
      </rPr>
      <t>1/5</t>
    </r>
    <r>
      <rPr>
        <sz val="10"/>
        <rFont val="Arial"/>
        <family val="2"/>
      </rPr>
      <t xml:space="preserve"> </t>
    </r>
  </si>
  <si>
    <r>
      <t>d</t>
    </r>
    <r>
      <rPr>
        <vertAlign val="subscript"/>
        <sz val="10"/>
        <rFont val="Arial"/>
        <family val="2"/>
      </rPr>
      <t>0</t>
    </r>
  </si>
  <si>
    <t>depth of rotation axis</t>
  </si>
  <si>
    <r>
      <t>=</t>
    </r>
    <r>
      <rPr>
        <sz val="10"/>
        <rFont val="Arial"/>
        <family val="2"/>
      </rPr>
      <t xml:space="preserve"> [(6V</t>
    </r>
    <r>
      <rPr>
        <vertAlign val="subscript"/>
        <sz val="10"/>
        <rFont val="Arial"/>
        <family val="2"/>
      </rPr>
      <t>a</t>
    </r>
    <r>
      <rPr>
        <sz val="10"/>
        <rFont val="Arial"/>
        <family val="2"/>
      </rPr>
      <t xml:space="preserve"> + 8M</t>
    </r>
    <r>
      <rPr>
        <vertAlign val="subscript"/>
        <sz val="10"/>
        <rFont val="Arial"/>
        <family val="2"/>
      </rPr>
      <t>a</t>
    </r>
    <r>
      <rPr>
        <sz val="10"/>
        <rFont val="Arial"/>
        <family val="2"/>
      </rPr>
      <t>/d)/(Sb)]</t>
    </r>
    <r>
      <rPr>
        <vertAlign val="superscript"/>
        <sz val="10"/>
        <rFont val="Arial"/>
        <family val="2"/>
      </rPr>
      <t>1/2</t>
    </r>
    <r>
      <rPr>
        <sz val="10"/>
        <rFont val="Arial"/>
        <family val="2"/>
      </rPr>
      <t>, &lt; d</t>
    </r>
    <r>
      <rPr>
        <vertAlign val="subscript"/>
        <sz val="10"/>
        <rFont val="Arial"/>
        <family val="2"/>
      </rPr>
      <t>max</t>
    </r>
    <r>
      <rPr>
        <sz val="10"/>
        <rFont val="Arial"/>
        <family val="2"/>
      </rPr>
      <t xml:space="preserve"> </t>
    </r>
  </si>
  <si>
    <t>non-constrained case</t>
  </si>
  <si>
    <t>embedment depth</t>
  </si>
  <si>
    <t>maximum depth</t>
  </si>
  <si>
    <t>effective width of post in soil</t>
  </si>
  <si>
    <t>C7</t>
  </si>
  <si>
    <t>post modulus of elasticity</t>
  </si>
  <si>
    <t>post moment of inertia</t>
  </si>
  <si>
    <r>
      <t>N</t>
    </r>
    <r>
      <rPr>
        <sz val="10"/>
        <rFont val="Arial"/>
        <family val="2"/>
      </rPr>
      <t>/m</t>
    </r>
    <r>
      <rPr>
        <vertAlign val="superscript"/>
        <sz val="10"/>
        <rFont val="Arial"/>
        <family val="2"/>
      </rPr>
      <t>2</t>
    </r>
  </si>
  <si>
    <r>
      <rPr>
        <sz val="10"/>
        <rFont val="Arial"/>
        <family val="2"/>
      </rPr>
      <t>m</t>
    </r>
    <r>
      <rPr>
        <vertAlign val="superscript"/>
        <sz val="10"/>
        <rFont val="Arial"/>
        <family val="2"/>
      </rPr>
      <t>4</t>
    </r>
    <r>
      <rPr>
        <sz val="11"/>
        <color theme="1"/>
        <rFont val="Calibri"/>
        <family val="2"/>
        <scheme val="minor"/>
      </rPr>
      <t/>
    </r>
  </si>
  <si>
    <t>above</t>
  </si>
  <si>
    <r>
      <t>n</t>
    </r>
    <r>
      <rPr>
        <vertAlign val="subscript"/>
        <sz val="10"/>
        <rFont val="Arial"/>
        <family val="2"/>
      </rPr>
      <t>h</t>
    </r>
  </si>
  <si>
    <r>
      <t>M</t>
    </r>
    <r>
      <rPr>
        <vertAlign val="subscript"/>
        <sz val="10"/>
        <rFont val="Arial"/>
        <family val="2"/>
      </rPr>
      <t>a</t>
    </r>
  </si>
  <si>
    <r>
      <t>V</t>
    </r>
    <r>
      <rPr>
        <vertAlign val="subscript"/>
        <sz val="10"/>
        <rFont val="Arial"/>
        <family val="2"/>
      </rPr>
      <t>a</t>
    </r>
  </si>
  <si>
    <r>
      <t>N</t>
    </r>
    <r>
      <rPr>
        <sz val="10"/>
        <rFont val="Arial"/>
        <family val="2"/>
      </rPr>
      <t>/m</t>
    </r>
    <r>
      <rPr>
        <vertAlign val="superscript"/>
        <sz val="10"/>
        <rFont val="Arial"/>
        <family val="2"/>
      </rPr>
      <t>4</t>
    </r>
  </si>
  <si>
    <t>kN-m</t>
  </si>
  <si>
    <t>kN</t>
  </si>
  <si>
    <t>= post deformation @ d / max. post movement</t>
  </si>
  <si>
    <r>
      <t>d</t>
    </r>
    <r>
      <rPr>
        <vertAlign val="subscript"/>
        <sz val="10"/>
        <rFont val="Arial"/>
        <family val="2"/>
      </rPr>
      <t>1</t>
    </r>
    <r>
      <rPr>
        <sz val="11"/>
        <color theme="1"/>
        <rFont val="Calibri"/>
        <family val="2"/>
        <scheme val="minor"/>
      </rPr>
      <t/>
    </r>
  </si>
  <si>
    <t>depth of top of collar</t>
  </si>
  <si>
    <r>
      <t>t</t>
    </r>
    <r>
      <rPr>
        <vertAlign val="subscript"/>
        <sz val="10"/>
        <rFont val="Arial"/>
        <family val="2"/>
      </rPr>
      <t>c</t>
    </r>
  </si>
  <si>
    <t>height</t>
  </si>
  <si>
    <r>
      <t>=</t>
    </r>
    <r>
      <rPr>
        <sz val="10"/>
        <rFont val="Arial"/>
        <family val="2"/>
      </rPr>
      <t xml:space="preserve"> d - t</t>
    </r>
    <r>
      <rPr>
        <vertAlign val="subscript"/>
        <sz val="10"/>
        <rFont val="Arial"/>
        <family val="2"/>
      </rPr>
      <t>c</t>
    </r>
    <r>
      <rPr>
        <sz val="10"/>
        <rFont val="Arial"/>
        <family val="2"/>
      </rPr>
      <t xml:space="preserve"> </t>
    </r>
  </si>
  <si>
    <t>distance to constraint above ground</t>
  </si>
  <si>
    <t>shear force applied @ ground surface</t>
  </si>
  <si>
    <t>moment applied @ ground surface</t>
  </si>
  <si>
    <t>R</t>
  </si>
  <si>
    <t>reaction at constraint</t>
  </si>
  <si>
    <t>C6.5.2</t>
  </si>
  <si>
    <t>C6.6.2</t>
  </si>
  <si>
    <t>C6.5.1</t>
  </si>
  <si>
    <t>= 0.67d (moment only) to 0.75d (shear only)</t>
  </si>
  <si>
    <r>
      <t>V</t>
    </r>
    <r>
      <rPr>
        <vertAlign val="subscript"/>
        <sz val="10"/>
        <rFont val="Arial"/>
        <family val="2"/>
      </rPr>
      <t>a</t>
    </r>
    <r>
      <rPr>
        <sz val="10"/>
        <rFont val="Arial"/>
        <family val="2"/>
      </rPr>
      <t>d+M</t>
    </r>
    <r>
      <rPr>
        <vertAlign val="subscript"/>
        <sz val="10"/>
        <rFont val="Arial"/>
        <family val="2"/>
      </rPr>
      <t>a</t>
    </r>
  </si>
  <si>
    <r>
      <t>=</t>
    </r>
    <r>
      <rPr>
        <sz val="10"/>
        <rFont val="Arial"/>
        <family val="2"/>
      </rPr>
      <t xml:space="preserve"> [(4M</t>
    </r>
    <r>
      <rPr>
        <vertAlign val="subscript"/>
        <sz val="10"/>
        <rFont val="Arial"/>
        <family val="2"/>
      </rPr>
      <t>a</t>
    </r>
    <r>
      <rPr>
        <sz val="10"/>
        <rFont val="Arial"/>
        <family val="2"/>
      </rPr>
      <t>)/(Sb)]</t>
    </r>
    <r>
      <rPr>
        <vertAlign val="superscript"/>
        <sz val="10"/>
        <rFont val="Arial"/>
        <family val="2"/>
      </rPr>
      <t>1/3</t>
    </r>
    <r>
      <rPr>
        <sz val="10"/>
        <rFont val="Arial"/>
        <family val="2"/>
      </rPr>
      <t>, &lt; d</t>
    </r>
    <r>
      <rPr>
        <vertAlign val="subscript"/>
        <sz val="10"/>
        <rFont val="Arial"/>
        <family val="2"/>
      </rPr>
      <t>max</t>
    </r>
    <r>
      <rPr>
        <sz val="10"/>
        <rFont val="Arial"/>
        <family val="2"/>
      </rPr>
      <t xml:space="preserve"> </t>
    </r>
  </si>
  <si>
    <r>
      <t>=</t>
    </r>
    <r>
      <rPr>
        <sz val="10"/>
        <rFont val="Arial"/>
        <family val="2"/>
      </rPr>
      <t xml:space="preserve"> [(180EIN/(13n</t>
    </r>
    <r>
      <rPr>
        <vertAlign val="subscript"/>
        <sz val="10"/>
        <rFont val="Arial"/>
        <family val="2"/>
      </rPr>
      <t>h</t>
    </r>
    <r>
      <rPr>
        <sz val="10"/>
        <rFont val="Arial"/>
        <family val="2"/>
      </rPr>
      <t>b</t>
    </r>
    <r>
      <rPr>
        <sz val="10"/>
        <rFont val="Arial"/>
        <family val="2"/>
      </rPr>
      <t>)]</t>
    </r>
    <r>
      <rPr>
        <vertAlign val="superscript"/>
        <sz val="10"/>
        <rFont val="Arial"/>
        <family val="2"/>
      </rPr>
      <t>1/5</t>
    </r>
    <r>
      <rPr>
        <sz val="10"/>
        <rFont val="Arial"/>
        <family val="2"/>
      </rPr>
      <t xml:space="preserve"> </t>
    </r>
  </si>
  <si>
    <r>
      <t>=</t>
    </r>
    <r>
      <rPr>
        <sz val="10"/>
        <rFont val="Arial"/>
        <family val="2"/>
      </rPr>
      <t xml:space="preserve"> V</t>
    </r>
    <r>
      <rPr>
        <vertAlign val="subscript"/>
        <sz val="10"/>
        <rFont val="Arial"/>
        <family val="2"/>
      </rPr>
      <t>a</t>
    </r>
    <r>
      <rPr>
        <sz val="10"/>
        <rFont val="Arial"/>
        <family val="2"/>
      </rPr>
      <t xml:space="preserve"> + Sbd</t>
    </r>
    <r>
      <rPr>
        <vertAlign val="superscript"/>
        <sz val="10"/>
        <rFont val="Arial"/>
        <family val="2"/>
      </rPr>
      <t>2</t>
    </r>
    <r>
      <rPr>
        <sz val="10"/>
        <rFont val="Arial"/>
        <family val="2"/>
      </rPr>
      <t>/3</t>
    </r>
  </si>
  <si>
    <t>reaction @ constraint</t>
  </si>
  <si>
    <r>
      <t>M</t>
    </r>
    <r>
      <rPr>
        <vertAlign val="subscript"/>
        <sz val="10"/>
        <rFont val="Arial"/>
        <family val="2"/>
      </rPr>
      <t>r</t>
    </r>
  </si>
  <si>
    <t>C6.6.3</t>
  </si>
  <si>
    <t>with collar</t>
  </si>
  <si>
    <t>without collar</t>
  </si>
  <si>
    <t>C6.6.4</t>
  </si>
  <si>
    <t>C6.6.5</t>
  </si>
  <si>
    <t>constrained case, @ ground surface
(a = 0)</t>
  </si>
  <si>
    <t>constrained case, above ground surface
(a &gt; 0)</t>
  </si>
  <si>
    <r>
      <t>=</t>
    </r>
    <r>
      <rPr>
        <sz val="10"/>
        <rFont val="Arial"/>
        <family val="2"/>
      </rPr>
      <t xml:space="preserve"> Sbd</t>
    </r>
    <r>
      <rPr>
        <vertAlign val="superscript"/>
        <sz val="10"/>
        <rFont val="Arial"/>
        <family val="2"/>
      </rPr>
      <t>3</t>
    </r>
    <r>
      <rPr>
        <sz val="10"/>
        <rFont val="Arial"/>
        <family val="2"/>
      </rPr>
      <t>/(12(1+d))(4a+3d)+S(w-b)/(12(a+d))((4a(d</t>
    </r>
    <r>
      <rPr>
        <vertAlign val="superscript"/>
        <sz val="10"/>
        <rFont val="Arial"/>
        <family val="2"/>
      </rPr>
      <t>3</t>
    </r>
    <r>
      <rPr>
        <sz val="10"/>
        <rFont val="Arial"/>
        <family val="2"/>
      </rPr>
      <t>-d</t>
    </r>
    <r>
      <rPr>
        <vertAlign val="subscript"/>
        <sz val="10"/>
        <rFont val="Arial"/>
        <family val="2"/>
      </rPr>
      <t>1</t>
    </r>
    <r>
      <rPr>
        <vertAlign val="superscript"/>
        <sz val="10"/>
        <rFont val="Arial"/>
        <family val="2"/>
      </rPr>
      <t>3</t>
    </r>
    <r>
      <rPr>
        <sz val="10"/>
        <rFont val="Arial"/>
        <family val="2"/>
      </rPr>
      <t>)+3(d</t>
    </r>
    <r>
      <rPr>
        <vertAlign val="superscript"/>
        <sz val="10"/>
        <rFont val="Arial"/>
        <family val="2"/>
      </rPr>
      <t>4</t>
    </r>
    <r>
      <rPr>
        <sz val="10"/>
        <rFont val="Arial"/>
        <family val="2"/>
      </rPr>
      <t>-d</t>
    </r>
    <r>
      <rPr>
        <vertAlign val="subscript"/>
        <sz val="10"/>
        <rFont val="Arial"/>
        <family val="2"/>
      </rPr>
      <t>1</t>
    </r>
    <r>
      <rPr>
        <vertAlign val="superscript"/>
        <sz val="10"/>
        <rFont val="Arial"/>
        <family val="2"/>
      </rPr>
      <t>4</t>
    </r>
    <r>
      <rPr>
        <sz val="10"/>
        <rFont val="Arial"/>
        <family val="2"/>
      </rPr>
      <t>))</t>
    </r>
  </si>
  <si>
    <r>
      <t>=</t>
    </r>
    <r>
      <rPr>
        <sz val="10"/>
        <rFont val="Arial"/>
        <family val="2"/>
      </rPr>
      <t xml:space="preserve"> V</t>
    </r>
    <r>
      <rPr>
        <vertAlign val="subscript"/>
        <sz val="10"/>
        <rFont val="Arial"/>
        <family val="2"/>
      </rPr>
      <t>a</t>
    </r>
    <r>
      <rPr>
        <sz val="10"/>
        <rFont val="Arial"/>
        <family val="2"/>
      </rPr>
      <t>+Sbd</t>
    </r>
    <r>
      <rPr>
        <vertAlign val="superscript"/>
        <sz val="10"/>
        <rFont val="Arial"/>
        <family val="2"/>
      </rPr>
      <t>2</t>
    </r>
    <r>
      <rPr>
        <sz val="10"/>
        <rFont val="Arial"/>
        <family val="2"/>
      </rPr>
      <t>(3a+2d)/(6(a+d))+S(w-b)/(6(a+d)(3a(d</t>
    </r>
    <r>
      <rPr>
        <vertAlign val="superscript"/>
        <sz val="10"/>
        <rFont val="Arial"/>
        <family val="2"/>
      </rPr>
      <t>2</t>
    </r>
    <r>
      <rPr>
        <sz val="10"/>
        <rFont val="Arial"/>
        <family val="2"/>
      </rPr>
      <t>-d</t>
    </r>
    <r>
      <rPr>
        <vertAlign val="subscript"/>
        <sz val="10"/>
        <rFont val="Arial"/>
        <family val="2"/>
      </rPr>
      <t>1</t>
    </r>
    <r>
      <rPr>
        <vertAlign val="superscript"/>
        <sz val="10"/>
        <rFont val="Arial"/>
        <family val="2"/>
      </rPr>
      <t>2</t>
    </r>
    <r>
      <rPr>
        <sz val="10"/>
        <rFont val="Arial"/>
        <family val="2"/>
      </rPr>
      <t>)+2(d</t>
    </r>
    <r>
      <rPr>
        <vertAlign val="superscript"/>
        <sz val="10"/>
        <rFont val="Arial"/>
        <family val="2"/>
      </rPr>
      <t>3</t>
    </r>
    <r>
      <rPr>
        <sz val="10"/>
        <rFont val="Arial"/>
        <family val="2"/>
      </rPr>
      <t>-d</t>
    </r>
    <r>
      <rPr>
        <vertAlign val="subscript"/>
        <sz val="10"/>
        <rFont val="Arial"/>
        <family val="2"/>
      </rPr>
      <t>1</t>
    </r>
    <r>
      <rPr>
        <vertAlign val="superscript"/>
        <sz val="10"/>
        <rFont val="Arial"/>
        <family val="2"/>
      </rPr>
      <t>3</t>
    </r>
    <r>
      <rPr>
        <sz val="10"/>
        <rFont val="Arial"/>
        <family val="2"/>
      </rPr>
      <t>))</t>
    </r>
  </si>
  <si>
    <r>
      <t>=</t>
    </r>
    <r>
      <rPr>
        <sz val="10"/>
        <rFont val="Arial"/>
        <family val="2"/>
      </rPr>
      <t xml:space="preserve"> (V</t>
    </r>
    <r>
      <rPr>
        <vertAlign val="subscript"/>
        <sz val="10"/>
        <rFont val="Arial"/>
        <family val="2"/>
      </rPr>
      <t>a</t>
    </r>
    <r>
      <rPr>
        <sz val="10"/>
        <rFont val="Arial"/>
        <family val="2"/>
      </rPr>
      <t>+Sbd</t>
    </r>
    <r>
      <rPr>
        <vertAlign val="superscript"/>
        <sz val="10"/>
        <rFont val="Arial"/>
        <family val="2"/>
      </rPr>
      <t>2</t>
    </r>
    <r>
      <rPr>
        <sz val="10"/>
        <rFont val="Arial"/>
        <family val="2"/>
      </rPr>
      <t>(3a+2d</t>
    </r>
    <r>
      <rPr>
        <sz val="10"/>
        <rFont val="Arial"/>
        <family val="2"/>
      </rPr>
      <t>)/(6(a+d))</t>
    </r>
  </si>
  <si>
    <r>
      <t>=</t>
    </r>
    <r>
      <rPr>
        <sz val="10"/>
        <rFont val="Arial"/>
        <family val="2"/>
      </rPr>
      <t xml:space="preserve"> Sbd</t>
    </r>
    <r>
      <rPr>
        <vertAlign val="superscript"/>
        <sz val="10"/>
        <rFont val="Arial"/>
        <family val="2"/>
      </rPr>
      <t>2</t>
    </r>
    <r>
      <rPr>
        <sz val="10"/>
        <rFont val="Arial"/>
        <family val="2"/>
      </rPr>
      <t>/(12(1+d))(6a</t>
    </r>
    <r>
      <rPr>
        <vertAlign val="superscript"/>
        <sz val="10"/>
        <rFont val="Arial"/>
        <family val="2"/>
      </rPr>
      <t>2</t>
    </r>
    <r>
      <rPr>
        <sz val="10"/>
        <rFont val="Arial"/>
        <family val="2"/>
      </rPr>
      <t>+8ad+3d</t>
    </r>
    <r>
      <rPr>
        <vertAlign val="superscript"/>
        <sz val="10"/>
        <rFont val="Arial"/>
        <family val="2"/>
      </rPr>
      <t>2</t>
    </r>
    <r>
      <rPr>
        <sz val="10"/>
        <rFont val="Arial"/>
        <family val="2"/>
      </rPr>
      <t>)</t>
    </r>
  </si>
  <si>
    <r>
      <t>=</t>
    </r>
    <r>
      <rPr>
        <sz val="10"/>
        <rFont val="Arial"/>
        <family val="2"/>
      </rPr>
      <t xml:space="preserve"> Sbd</t>
    </r>
    <r>
      <rPr>
        <vertAlign val="superscript"/>
        <sz val="10"/>
        <rFont val="Arial"/>
        <family val="2"/>
      </rPr>
      <t>3</t>
    </r>
    <r>
      <rPr>
        <sz val="10"/>
        <rFont val="Arial"/>
        <family val="2"/>
      </rPr>
      <t>/4+S(w-b)(d</t>
    </r>
    <r>
      <rPr>
        <vertAlign val="superscript"/>
        <sz val="10"/>
        <rFont val="Arial"/>
        <family val="2"/>
      </rPr>
      <t>4</t>
    </r>
    <r>
      <rPr>
        <sz val="10"/>
        <rFont val="Arial"/>
        <family val="2"/>
      </rPr>
      <t>-d</t>
    </r>
    <r>
      <rPr>
        <vertAlign val="subscript"/>
        <sz val="10"/>
        <rFont val="Arial"/>
        <family val="2"/>
      </rPr>
      <t>1</t>
    </r>
    <r>
      <rPr>
        <vertAlign val="superscript"/>
        <sz val="10"/>
        <rFont val="Arial"/>
        <family val="2"/>
      </rPr>
      <t>4</t>
    </r>
    <r>
      <rPr>
        <sz val="10"/>
        <rFont val="Arial"/>
        <family val="2"/>
      </rPr>
      <t>)/</t>
    </r>
    <r>
      <rPr>
        <sz val="10"/>
        <rFont val="Arial"/>
        <family val="2"/>
      </rPr>
      <t>(4d)</t>
    </r>
  </si>
  <si>
    <r>
      <t>=</t>
    </r>
    <r>
      <rPr>
        <sz val="10"/>
        <rFont val="Arial"/>
        <family val="2"/>
      </rPr>
      <t xml:space="preserve"> V</t>
    </r>
    <r>
      <rPr>
        <vertAlign val="subscript"/>
        <sz val="10"/>
        <rFont val="Arial"/>
        <family val="2"/>
      </rPr>
      <t>a</t>
    </r>
    <r>
      <rPr>
        <sz val="10"/>
        <rFont val="Arial"/>
        <family val="2"/>
      </rPr>
      <t>+Sbd</t>
    </r>
    <r>
      <rPr>
        <vertAlign val="superscript"/>
        <sz val="10"/>
        <rFont val="Arial"/>
        <family val="2"/>
      </rPr>
      <t>2</t>
    </r>
    <r>
      <rPr>
        <sz val="10"/>
        <rFont val="Arial"/>
        <family val="2"/>
      </rPr>
      <t>/3+S(w-b)(d</t>
    </r>
    <r>
      <rPr>
        <vertAlign val="superscript"/>
        <sz val="10"/>
        <rFont val="Arial"/>
        <family val="2"/>
      </rPr>
      <t>3</t>
    </r>
    <r>
      <rPr>
        <sz val="10"/>
        <rFont val="Arial"/>
        <family val="2"/>
      </rPr>
      <t>-d</t>
    </r>
    <r>
      <rPr>
        <vertAlign val="subscript"/>
        <sz val="10"/>
        <rFont val="Arial"/>
        <family val="2"/>
      </rPr>
      <t>1</t>
    </r>
    <r>
      <rPr>
        <vertAlign val="superscript"/>
        <sz val="10"/>
        <rFont val="Arial"/>
        <family val="2"/>
      </rPr>
      <t>3</t>
    </r>
    <r>
      <rPr>
        <sz val="10"/>
        <rFont val="Arial"/>
        <family val="2"/>
      </rPr>
      <t>)/(3d)</t>
    </r>
  </si>
  <si>
    <t>Fixity factor</t>
  </si>
  <si>
    <r>
      <t>= s[h</t>
    </r>
    <r>
      <rPr>
        <vertAlign val="subscript"/>
        <sz val="10"/>
        <rFont val="Arial"/>
        <family val="2"/>
      </rPr>
      <t>r</t>
    </r>
    <r>
      <rPr>
        <sz val="10"/>
        <rFont val="Arial"/>
        <family val="2"/>
      </rPr>
      <t>(WL</t>
    </r>
    <r>
      <rPr>
        <vertAlign val="subscript"/>
        <sz val="10"/>
        <rFont val="Arial"/>
        <family val="2"/>
      </rPr>
      <t>wr</t>
    </r>
    <r>
      <rPr>
        <sz val="10"/>
        <rFont val="Arial"/>
        <family val="2"/>
      </rPr>
      <t>-WL</t>
    </r>
    <r>
      <rPr>
        <vertAlign val="subscript"/>
        <sz val="10"/>
        <rFont val="Arial"/>
        <family val="2"/>
      </rPr>
      <t>lr</t>
    </r>
    <r>
      <rPr>
        <sz val="10"/>
        <rFont val="Arial"/>
        <family val="2"/>
      </rPr>
      <t>)+h</t>
    </r>
    <r>
      <rPr>
        <vertAlign val="subscript"/>
        <sz val="10"/>
        <rFont val="Arial"/>
        <family val="2"/>
      </rPr>
      <t>w</t>
    </r>
    <r>
      <rPr>
        <sz val="10"/>
        <rFont val="Arial"/>
        <family val="2"/>
      </rPr>
      <t>(f</t>
    </r>
    <r>
      <rPr>
        <vertAlign val="subscript"/>
        <sz val="10"/>
        <rFont val="Arial"/>
        <family val="2"/>
      </rPr>
      <t>w</t>
    </r>
    <r>
      <rPr>
        <sz val="10"/>
        <rFont val="Arial"/>
        <family val="2"/>
      </rPr>
      <t>WL</t>
    </r>
    <r>
      <rPr>
        <vertAlign val="subscript"/>
        <sz val="10"/>
        <rFont val="Arial"/>
        <family val="2"/>
      </rPr>
      <t>ww</t>
    </r>
    <r>
      <rPr>
        <sz val="10"/>
        <rFont val="Arial"/>
        <family val="2"/>
      </rPr>
      <t>-f</t>
    </r>
    <r>
      <rPr>
        <vertAlign val="subscript"/>
        <sz val="10"/>
        <rFont val="Arial"/>
        <family val="2"/>
      </rPr>
      <t>l</t>
    </r>
    <r>
      <rPr>
        <sz val="10"/>
        <rFont val="Arial"/>
        <family val="2"/>
      </rPr>
      <t>WL</t>
    </r>
    <r>
      <rPr>
        <vertAlign val="subscript"/>
        <sz val="10"/>
        <rFont val="Arial"/>
        <family val="2"/>
      </rPr>
      <t>lw</t>
    </r>
    <r>
      <rPr>
        <sz val="10"/>
        <rFont val="Arial"/>
        <family val="2"/>
      </rPr>
      <t>)]</t>
    </r>
  </si>
  <si>
    <r>
      <t>f</t>
    </r>
    <r>
      <rPr>
        <vertAlign val="subscript"/>
        <sz val="10"/>
        <rFont val="Arial"/>
        <family val="2"/>
      </rPr>
      <t>w</t>
    </r>
  </si>
  <si>
    <r>
      <t>f</t>
    </r>
    <r>
      <rPr>
        <vertAlign val="subscript"/>
        <sz val="10"/>
        <rFont val="Arial"/>
        <family val="2"/>
      </rPr>
      <t>l</t>
    </r>
  </si>
  <si>
    <t>= 3/8 for fixity @ ground, else 1/2</t>
  </si>
  <si>
    <t>Frame stiffness</t>
  </si>
  <si>
    <t>Properties</t>
  </si>
  <si>
    <t>Size</t>
  </si>
  <si>
    <t>Characteristics</t>
  </si>
  <si>
    <t>PFBDM C5.5.3</t>
  </si>
  <si>
    <t>no groundline fixity</t>
  </si>
  <si>
    <t>windward fixity only</t>
  </si>
  <si>
    <t>full groundline fixity</t>
  </si>
  <si>
    <t>Groundline fixity</t>
  </si>
  <si>
    <t>misc load modifiers</t>
  </si>
  <si>
    <t>Roof diaphragm stiffness</t>
  </si>
  <si>
    <t>Ceiling</t>
  </si>
  <si>
    <r>
      <t>= 3 E I / h</t>
    </r>
    <r>
      <rPr>
        <vertAlign val="subscript"/>
        <sz val="10"/>
        <rFont val="Arial"/>
        <family val="2"/>
      </rPr>
      <t>w</t>
    </r>
    <r>
      <rPr>
        <vertAlign val="superscript"/>
        <sz val="10"/>
        <rFont val="Arial"/>
        <family val="2"/>
      </rPr>
      <t>3</t>
    </r>
    <r>
      <rPr>
        <sz val="10"/>
        <rFont val="Arial"/>
        <family val="2"/>
      </rPr>
      <t>n</t>
    </r>
    <r>
      <rPr>
        <vertAlign val="subscript"/>
        <sz val="10"/>
        <rFont val="Arial"/>
        <family val="2"/>
      </rPr>
      <t>p1</t>
    </r>
    <r>
      <rPr>
        <sz val="10"/>
        <rFont val="Arial"/>
        <family val="2"/>
      </rPr>
      <t xml:space="preserve"> </t>
    </r>
  </si>
  <si>
    <r>
      <t>= 3 E I / h</t>
    </r>
    <r>
      <rPr>
        <vertAlign val="subscript"/>
        <sz val="10"/>
        <rFont val="Arial"/>
        <family val="2"/>
      </rPr>
      <t>w</t>
    </r>
    <r>
      <rPr>
        <vertAlign val="superscript"/>
        <sz val="10"/>
        <rFont val="Arial"/>
        <family val="2"/>
      </rPr>
      <t>3</t>
    </r>
    <r>
      <rPr>
        <sz val="10"/>
        <rFont val="Arial"/>
        <family val="2"/>
      </rPr>
      <t>n</t>
    </r>
    <r>
      <rPr>
        <vertAlign val="subscript"/>
        <sz val="10"/>
        <rFont val="Arial"/>
        <family val="2"/>
      </rPr>
      <t>pf</t>
    </r>
    <r>
      <rPr>
        <sz val="10"/>
        <rFont val="Arial"/>
        <family val="2"/>
      </rPr>
      <t xml:space="preserve"> </t>
    </r>
  </si>
  <si>
    <t>typical interior (2-posts)</t>
  </si>
  <si>
    <t>G</t>
  </si>
  <si>
    <t>Effective in-plane shear stiffness</t>
  </si>
  <si>
    <t>Effective shear modulus</t>
  </si>
  <si>
    <t>effective shear modulus, G (lb/in)</t>
  </si>
  <si>
    <r>
      <t>allowable shear strength, v</t>
    </r>
    <r>
      <rPr>
        <vertAlign val="subscript"/>
        <sz val="10"/>
        <rFont val="Arial"/>
        <family val="2"/>
      </rPr>
      <t>a</t>
    </r>
    <r>
      <rPr>
        <sz val="10"/>
        <rFont val="Arial"/>
        <family val="2"/>
      </rPr>
      <t xml:space="preserve"> (plf)</t>
    </r>
  </si>
  <si>
    <t>Roof slope length (both surfaces)</t>
  </si>
  <si>
    <r>
      <t>=</t>
    </r>
    <r>
      <rPr>
        <sz val="10"/>
        <rFont val="Arial"/>
        <family val="2"/>
      </rPr>
      <t xml:space="preserve"> G b</t>
    </r>
    <r>
      <rPr>
        <vertAlign val="subscript"/>
        <sz val="10"/>
        <rFont val="Arial"/>
        <family val="2"/>
      </rPr>
      <t>sp</t>
    </r>
    <r>
      <rPr>
        <sz val="10"/>
        <rFont val="Arial"/>
        <family val="2"/>
      </rPr>
      <t xml:space="preserve"> / s</t>
    </r>
  </si>
  <si>
    <t>PFBDM E6.8</t>
  </si>
  <si>
    <t>PFBDM E6.10</t>
  </si>
  <si>
    <t>[ki] (N/mm)</t>
  </si>
  <si>
    <t>[P] (N)</t>
  </si>
  <si>
    <t>[defl] (mm)</t>
  </si>
  <si>
    <t>[Pf] (N)</t>
  </si>
  <si>
    <t>[Pf]/[P]</t>
  </si>
  <si>
    <t>[K] (N/mm)</t>
  </si>
  <si>
    <t>bay#, i</t>
  </si>
  <si>
    <t>[ch] (N/mm)</t>
  </si>
  <si>
    <t>[shear displ] (mm)</t>
  </si>
  <si>
    <t>[Pr] (N)</t>
  </si>
  <si>
    <t>wall posts</t>
  </si>
  <si>
    <t>roof diaphragm</t>
  </si>
  <si>
    <t>end wall shear walls</t>
  </si>
  <si>
    <t>roof truss</t>
  </si>
  <si>
    <t>post foundation, lateral</t>
  </si>
  <si>
    <t>post foundation, uplift</t>
  </si>
  <si>
    <t>wall girts</t>
  </si>
  <si>
    <t>purlins</t>
  </si>
  <si>
    <t>(E may replace W in seismic zones)</t>
  </si>
  <si>
    <t>--&gt; S</t>
  </si>
  <si>
    <t>--&gt; W</t>
  </si>
  <si>
    <t>Governing ASD LC's as per NFBA &amp; ASCE-07</t>
  </si>
  <si>
    <t>NBCC ULS LC's</t>
  </si>
  <si>
    <t>1: 1.4D</t>
  </si>
  <si>
    <t>5&amp;7: D + W &amp; 0.6D + W</t>
  </si>
  <si>
    <t>7or3: 0.6D + W or D + Lr</t>
  </si>
  <si>
    <t>7:     0.6D + W</t>
  </si>
  <si>
    <t>3:     D + Lr</t>
  </si>
  <si>
    <t>6:     D + 0.75(Lr + W)</t>
  </si>
  <si>
    <t>2: (1.25D or 0.9D) + 1.5L + (0.5S or 0.4W)</t>
  </si>
  <si>
    <t>3: (1.25D or 0.9D) + 1.5S + (0.5L or 0.4W)</t>
  </si>
  <si>
    <t>4: (1.25D or 0.9D) + 1.4W + (0.5S or 0.5S)</t>
  </si>
  <si>
    <t>5: 1.0D + 1.0E + (0.5L or 0.5S)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</si>
</sst>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
    <numFmt numFmtId="165" formatCode="0.000"/>
    <numFmt numFmtId="166" formatCode="#,##0.0"/>
    <numFmt numFmtId="167" formatCode="#,##0.000"/>
  </numFmts>
  <fonts count="40" x14ac:knownFonts="1">
    <font>
      <sz val="10"/>
      <name val="Arial"/>
      <family val="2"/>
    </font>
    <font>
      <sz val="11"/>
      <color theme="1"/>
      <name val="Calibri"/>
      <family val="2"/>
      <scheme val="minor"/>
    </font>
    <font>
      <sz val="11"/>
      <color theme="1"/>
      <name val="Calibri"/>
      <family val="2"/>
      <scheme val="minor"/>
    </font>
    <font>
      <sz val="10"/>
      <name val="Arial"/>
      <family val="2"/>
    </font>
    <font>
      <sz val="10"/>
      <color rgb="FF0070C0"/>
      <name val="Arial"/>
      <family val="2"/>
    </font>
    <font>
      <b/>
      <sz val="10"/>
      <name val="Arial"/>
      <family val="2"/>
    </font>
    <font>
      <vertAlign val="subscript"/>
      <sz val="10"/>
      <name val="Arial"/>
      <family val="2"/>
    </font>
    <font>
      <sz val="10"/>
      <name val="Arial Narrow"/>
      <family val="2"/>
    </font>
    <font>
      <sz val="10"/>
      <name val="GreekC"/>
    </font>
    <font>
      <sz val="10"/>
      <color indexed="12"/>
      <name val="Arial"/>
      <family val="2"/>
    </font>
    <font>
      <sz val="10"/>
      <name val="Calibri"/>
      <family val="2"/>
    </font>
    <font>
      <b/>
      <sz val="10"/>
      <color rgb="FF0070C0"/>
      <name val="Arial"/>
      <family val="2"/>
    </font>
    <font>
      <b/>
      <u/>
      <sz val="12"/>
      <name val="Arial"/>
      <family val="2"/>
    </font>
    <font>
      <sz val="12"/>
      <name val="Arial"/>
      <family val="2"/>
    </font>
    <font>
      <b/>
      <sz val="12"/>
      <name val="Arial"/>
      <family val="2"/>
    </font>
    <font>
      <sz val="14"/>
      <name val="Arial"/>
      <family val="2"/>
    </font>
    <font>
      <sz val="10"/>
      <color rgb="FFFF0000"/>
      <name val="Arial"/>
      <family val="2"/>
    </font>
    <font>
      <vertAlign val="superscript"/>
      <sz val="10"/>
      <name val="Arial"/>
      <family val="2"/>
    </font>
    <font>
      <sz val="11"/>
      <name val="Arial"/>
      <family val="2"/>
    </font>
    <font>
      <b/>
      <sz val="14"/>
      <name val="Arial"/>
      <family val="2"/>
    </font>
    <font>
      <b/>
      <vertAlign val="subscript"/>
      <sz val="14"/>
      <name val="Arial"/>
      <family val="2"/>
    </font>
    <font>
      <vertAlign val="subscript"/>
      <sz val="12"/>
      <name val="Arial"/>
      <family val="2"/>
    </font>
    <font>
      <sz val="14"/>
      <color rgb="FF0070C0"/>
      <name val="Arial"/>
      <family val="2"/>
    </font>
    <font>
      <sz val="10"/>
      <color indexed="30"/>
      <name val="Arial"/>
      <family val="2"/>
    </font>
    <font>
      <sz val="10"/>
      <color indexed="8"/>
      <name val="Arial"/>
      <family val="2"/>
    </font>
    <font>
      <b/>
      <u/>
      <sz val="14"/>
      <name val="Arial"/>
      <family val="2"/>
    </font>
    <font>
      <sz val="9"/>
      <color indexed="81"/>
      <name val="Tahoma"/>
      <family val="2"/>
    </font>
    <font>
      <b/>
      <sz val="9"/>
      <color indexed="81"/>
      <name val="Tahoma"/>
      <family val="2"/>
    </font>
    <font>
      <b/>
      <sz val="10"/>
      <color rgb="FFFF0000"/>
      <name val="Arial"/>
      <family val="2"/>
    </font>
    <font>
      <b/>
      <i/>
      <sz val="11"/>
      <color theme="1"/>
      <name val="Calibri"/>
      <family val="2"/>
      <scheme val="minor"/>
    </font>
    <font>
      <b/>
      <i/>
      <vertAlign val="subscript"/>
      <sz val="11"/>
      <color theme="1"/>
      <name val="Calibri"/>
      <family val="2"/>
      <scheme val="minor"/>
    </font>
    <font>
      <vertAlign val="subscript"/>
      <sz val="11"/>
      <color theme="1"/>
      <name val="Calibri"/>
      <family val="2"/>
      <scheme val="minor"/>
    </font>
    <font>
      <b/>
      <i/>
      <sz val="11"/>
      <color rgb="FFFFC000"/>
      <name val="Calibri"/>
      <family val="2"/>
      <scheme val="minor"/>
    </font>
    <font>
      <sz val="11"/>
      <color rgb="FF0070C0"/>
      <name val="Calibri"/>
      <family val="2"/>
      <scheme val="minor"/>
    </font>
    <font>
      <b/>
      <sz val="10"/>
      <color indexed="81"/>
      <name val="Tahoma"/>
      <family val="2"/>
    </font>
    <font>
      <sz val="10"/>
      <color indexed="81"/>
      <name val="Tahoma"/>
      <family val="2"/>
    </font>
    <font>
      <vertAlign val="subscript"/>
      <sz val="10"/>
      <color indexed="81"/>
      <name val="Tahoma"/>
      <family val="2"/>
    </font>
    <font>
      <vertAlign val="superscript"/>
      <sz val="11"/>
      <color theme="1"/>
      <name val="Calibri"/>
      <family val="2"/>
      <scheme val="minor"/>
    </font>
    <font>
      <sz val="10"/>
      <color indexed="55"/>
      <name val="Arial"/>
      <family val="2"/>
    </font>
    <font>
      <sz val="10"/>
      <color rgb="FF000000"/>
      <name val="Arial"/>
      <family val="2"/>
    </font>
  </fonts>
  <fills count="20">
    <fill>
      <patternFill patternType="none"/>
    </fill>
    <fill>
      <patternFill patternType="gray125"/>
    </fill>
    <fill>
      <patternFill patternType="lightGray"/>
    </fill>
    <fill>
      <patternFill patternType="solid">
        <fgColor theme="0" tint="-0.14999847407452621"/>
        <bgColor indexed="64"/>
      </patternFill>
    </fill>
    <fill>
      <patternFill patternType="solid">
        <fgColor indexed="65" tint="-0.14996795556505021"/>
        <bgColor indexed="64"/>
      </patternFill>
    </fill>
    <fill>
      <patternFill patternType="solid">
        <fgColor rgb="FFFFFF00"/>
        <bgColor indexed="64"/>
      </patternFill>
    </fill>
    <fill>
      <patternFill patternType="solid">
        <fgColor indexed="22"/>
        <bgColor indexed="64"/>
      </patternFill>
    </fill>
    <fill>
      <patternFill patternType="solid">
        <fgColor rgb="FFFFC000"/>
        <bgColor indexed="64"/>
      </patternFill>
    </fill>
    <fill>
      <patternFill patternType="solid">
        <fgColor rgb="FFFF0000"/>
        <bgColor indexed="64"/>
      </patternFill>
    </fill>
    <fill>
      <patternFill patternType="solid">
        <fgColor theme="8" tint="0.59999389629810485"/>
        <bgColor indexed="64"/>
      </patternFill>
    </fill>
    <fill>
      <patternFill patternType="solid">
        <fgColor rgb="FF92D050"/>
        <bgColor indexed="64"/>
      </patternFill>
    </fill>
    <fill>
      <patternFill patternType="lightGray">
        <fgColor indexed="8"/>
      </patternFill>
    </fill>
    <fill>
      <patternFill patternType="solid">
        <fgColor theme="0" tint="-0.249977111117893"/>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8" tint="0.39997558519241921"/>
        <bgColor indexed="64"/>
      </patternFill>
    </fill>
    <fill>
      <patternFill patternType="solid">
        <fgColor rgb="FFC8C8C8"/>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medium">
        <color indexed="64"/>
      </bottom>
      <diagonal/>
    </border>
    <border>
      <left/>
      <right/>
      <top style="medium">
        <color indexed="64"/>
      </top>
      <bottom/>
      <diagonal/>
    </border>
    <border>
      <left/>
      <right/>
      <top/>
      <bottom style="medium">
        <color indexed="64"/>
      </bottom>
      <diagonal/>
    </border>
  </borders>
  <cellStyleXfs count="11">
    <xf numFmtId="0" fontId="0" fillId="0" borderId="0">
      <alignment horizontal="center" vertical="center"/>
    </xf>
    <xf numFmtId="0" fontId="3" fillId="0" borderId="0" applyNumberFormat="0" applyFont="0" applyFill="0" applyBorder="0" applyAlignment="0">
      <alignment horizontal="center" vertical="center"/>
      <protection locked="0"/>
    </xf>
    <xf numFmtId="0" fontId="3" fillId="2" borderId="0">
      <alignment horizontal="center" vertical="center"/>
    </xf>
    <xf numFmtId="4" fontId="4" fillId="0" borderId="0">
      <alignment horizontal="center" vertical="center"/>
    </xf>
    <xf numFmtId="0" fontId="3" fillId="3" borderId="1" applyNumberFormat="0" applyFont="0">
      <alignment horizontal="center" vertical="center"/>
    </xf>
    <xf numFmtId="0" fontId="3" fillId="0" borderId="0"/>
    <xf numFmtId="0" fontId="3" fillId="0" borderId="0"/>
    <xf numFmtId="0" fontId="3" fillId="0" borderId="0"/>
    <xf numFmtId="0" fontId="2" fillId="0" borderId="0"/>
    <xf numFmtId="0" fontId="3" fillId="2" borderId="0" applyFont="0">
      <alignment horizontal="center" vertical="center"/>
    </xf>
    <xf numFmtId="0" fontId="3" fillId="0" borderId="0">
      <alignment horizontal="center" vertical="center"/>
    </xf>
  </cellStyleXfs>
  <cellXfs count="537">
    <xf numFmtId="0" fontId="0" fillId="0" borderId="0" xfId="0">
      <alignment horizontal="center" vertical="center"/>
    </xf>
    <xf numFmtId="0" fontId="0" fillId="0" borderId="0" xfId="5" applyFont="1" applyAlignment="1" applyProtection="1">
      <alignment horizontal="center" vertical="center"/>
    </xf>
    <xf numFmtId="164" fontId="4" fillId="0" borderId="0" xfId="5" applyNumberFormat="1" applyFont="1" applyAlignment="1" applyProtection="1">
      <alignment horizontal="center" vertical="center"/>
    </xf>
    <xf numFmtId="0" fontId="0" fillId="0" borderId="0" xfId="5" applyFont="1" applyProtection="1"/>
    <xf numFmtId="0" fontId="0" fillId="0" borderId="0" xfId="5" applyFont="1" applyFill="1" applyBorder="1" applyAlignment="1" applyProtection="1">
      <alignment vertical="center"/>
    </xf>
    <xf numFmtId="0" fontId="4" fillId="0" borderId="0" xfId="5" applyFont="1" applyAlignment="1" applyProtection="1">
      <alignment horizontal="center" vertical="center"/>
    </xf>
    <xf numFmtId="0" fontId="0" fillId="0" borderId="1" xfId="5" applyFont="1" applyBorder="1" applyAlignment="1" applyProtection="1">
      <alignment horizontal="center" vertical="center"/>
    </xf>
    <xf numFmtId="2" fontId="0" fillId="0" borderId="0" xfId="5" applyNumberFormat="1" applyFont="1" applyAlignment="1" applyProtection="1">
      <alignment horizontal="center" vertical="center"/>
    </xf>
    <xf numFmtId="164" fontId="4" fillId="0" borderId="0" xfId="5" applyNumberFormat="1" applyFont="1" applyBorder="1" applyAlignment="1" applyProtection="1">
      <alignment horizontal="left" vertical="center"/>
    </xf>
    <xf numFmtId="2" fontId="4" fillId="0" borderId="0" xfId="5" applyNumberFormat="1" applyFont="1" applyBorder="1" applyAlignment="1" applyProtection="1">
      <alignment horizontal="center" vertical="center"/>
    </xf>
    <xf numFmtId="2" fontId="4" fillId="0" borderId="6" xfId="5" applyNumberFormat="1" applyFont="1" applyBorder="1" applyAlignment="1" applyProtection="1">
      <alignment horizontal="center" vertical="center"/>
    </xf>
    <xf numFmtId="2" fontId="4" fillId="0" borderId="9" xfId="5" applyNumberFormat="1" applyFont="1" applyBorder="1" applyAlignment="1" applyProtection="1">
      <alignment horizontal="center" vertical="center"/>
    </xf>
    <xf numFmtId="0" fontId="0" fillId="0" borderId="0" xfId="5" applyFont="1" applyAlignment="1">
      <alignment vertical="center" textRotation="90"/>
    </xf>
    <xf numFmtId="0" fontId="0" fillId="6" borderId="1" xfId="5" applyFont="1" applyFill="1" applyBorder="1" applyAlignment="1">
      <alignment vertical="center"/>
    </xf>
    <xf numFmtId="0" fontId="0" fillId="0" borderId="0" xfId="5" applyFont="1" applyAlignment="1">
      <alignment vertical="center"/>
    </xf>
    <xf numFmtId="0" fontId="0" fillId="6" borderId="11" xfId="5" applyFont="1" applyFill="1" applyBorder="1" applyAlignment="1">
      <alignment horizontal="center" vertical="center"/>
    </xf>
    <xf numFmtId="0" fontId="8" fillId="0" borderId="0" xfId="5" applyFont="1" applyFill="1" applyAlignment="1">
      <alignment vertical="center"/>
    </xf>
    <xf numFmtId="0" fontId="0" fillId="0" borderId="0" xfId="5" applyFont="1" applyFill="1" applyAlignment="1">
      <alignment vertical="center"/>
    </xf>
    <xf numFmtId="0" fontId="0" fillId="0" borderId="14" xfId="5" applyFont="1" applyFill="1" applyBorder="1" applyAlignment="1">
      <alignment horizontal="center" vertical="center"/>
    </xf>
    <xf numFmtId="0" fontId="0" fillId="0" borderId="0" xfId="5" quotePrefix="1" applyFont="1" applyFill="1" applyAlignment="1">
      <alignment vertical="center"/>
    </xf>
    <xf numFmtId="0" fontId="0" fillId="0" borderId="15" xfId="5" applyFont="1" applyFill="1" applyBorder="1" applyAlignment="1">
      <alignment horizontal="center" vertical="center"/>
    </xf>
    <xf numFmtId="164" fontId="0" fillId="0" borderId="16" xfId="5" applyNumberFormat="1" applyFont="1" applyFill="1" applyBorder="1" applyAlignment="1">
      <alignment horizontal="center" vertical="center"/>
    </xf>
    <xf numFmtId="0" fontId="0" fillId="0" borderId="0" xfId="5" applyFont="1" applyFill="1" applyAlignment="1">
      <alignment horizontal="center" vertical="center"/>
    </xf>
    <xf numFmtId="0" fontId="15" fillId="0" borderId="0" xfId="5" applyFont="1" applyFill="1" applyBorder="1" applyAlignment="1">
      <alignment vertical="center"/>
    </xf>
    <xf numFmtId="0" fontId="0" fillId="0" borderId="16" xfId="5" applyFont="1" applyFill="1" applyBorder="1" applyAlignment="1">
      <alignment horizontal="center" vertical="center"/>
    </xf>
    <xf numFmtId="164" fontId="4" fillId="0" borderId="0" xfId="5" applyNumberFormat="1" applyFont="1" applyFill="1" applyAlignment="1">
      <alignment horizontal="center" vertical="center"/>
    </xf>
    <xf numFmtId="0" fontId="0" fillId="0" borderId="18" xfId="5" applyFont="1" applyFill="1" applyBorder="1" applyAlignment="1">
      <alignment horizontal="center" vertical="center"/>
    </xf>
    <xf numFmtId="0" fontId="0" fillId="0" borderId="13" xfId="5" applyFont="1" applyBorder="1" applyAlignment="1">
      <alignment horizontal="center" vertical="center"/>
    </xf>
    <xf numFmtId="2" fontId="0" fillId="0" borderId="14" xfId="5" applyNumberFormat="1" applyFont="1" applyFill="1" applyBorder="1" applyAlignment="1">
      <alignment horizontal="center" vertical="center"/>
    </xf>
    <xf numFmtId="0" fontId="0" fillId="0" borderId="15" xfId="5" applyFont="1" applyBorder="1" applyAlignment="1">
      <alignment horizontal="center" vertical="center"/>
    </xf>
    <xf numFmtId="2" fontId="4" fillId="0" borderId="16" xfId="5" applyNumberFormat="1" applyFont="1" applyBorder="1" applyAlignment="1">
      <alignment horizontal="center" vertical="center"/>
    </xf>
    <xf numFmtId="0" fontId="0" fillId="0" borderId="17" xfId="5" applyFont="1" applyBorder="1" applyAlignment="1">
      <alignment horizontal="center" vertical="center"/>
    </xf>
    <xf numFmtId="2" fontId="4" fillId="0" borderId="18" xfId="5" applyNumberFormat="1" applyFont="1" applyBorder="1" applyAlignment="1">
      <alignment horizontal="center" vertical="center"/>
    </xf>
    <xf numFmtId="0" fontId="3" fillId="0" borderId="0" xfId="5" applyFont="1" applyFill="1" applyAlignment="1">
      <alignment vertical="center"/>
    </xf>
    <xf numFmtId="0" fontId="0" fillId="0" borderId="0" xfId="5" applyFont="1" applyBorder="1" applyAlignment="1">
      <alignment horizontal="center" vertical="center"/>
    </xf>
    <xf numFmtId="2" fontId="9" fillId="0" borderId="0" xfId="5" applyNumberFormat="1" applyFont="1" applyBorder="1" applyAlignment="1">
      <alignment horizontal="center" vertical="center"/>
    </xf>
    <xf numFmtId="0" fontId="15" fillId="0" borderId="0" xfId="5" applyFont="1" applyFill="1" applyAlignment="1">
      <alignment vertical="center"/>
    </xf>
    <xf numFmtId="0" fontId="0" fillId="0" borderId="0" xfId="5" applyFont="1" applyAlignment="1">
      <alignment horizontal="center" vertical="center"/>
    </xf>
    <xf numFmtId="0" fontId="3" fillId="0" borderId="0" xfId="5" quotePrefix="1" applyFont="1" applyFill="1" applyAlignment="1">
      <alignment vertical="center"/>
    </xf>
    <xf numFmtId="2" fontId="4" fillId="0" borderId="0" xfId="5" applyNumberFormat="1" applyFont="1" applyFill="1" applyAlignment="1">
      <alignment horizontal="center" vertical="center"/>
    </xf>
    <xf numFmtId="0" fontId="15" fillId="0" borderId="0" xfId="5" applyFont="1" applyAlignment="1">
      <alignment horizontal="center" vertical="center"/>
    </xf>
    <xf numFmtId="0" fontId="15" fillId="0" borderId="0" xfId="5" applyFont="1" applyAlignment="1">
      <alignment vertical="center"/>
    </xf>
    <xf numFmtId="0" fontId="15" fillId="0" borderId="0" xfId="5" applyFont="1" applyAlignment="1">
      <alignment horizontal="center"/>
    </xf>
    <xf numFmtId="0" fontId="15" fillId="0" borderId="0" xfId="5" applyFont="1" applyAlignment="1"/>
    <xf numFmtId="0" fontId="18" fillId="9" borderId="1" xfId="5" applyFont="1" applyFill="1" applyBorder="1" applyAlignment="1">
      <alignment horizontal="center" wrapText="1"/>
    </xf>
    <xf numFmtId="0" fontId="19" fillId="9" borderId="1" xfId="5" applyFont="1" applyFill="1" applyBorder="1" applyAlignment="1">
      <alignment horizontal="center" wrapText="1"/>
    </xf>
    <xf numFmtId="16" fontId="19" fillId="9" borderId="1" xfId="5" applyNumberFormat="1" applyFont="1" applyFill="1" applyBorder="1" applyAlignment="1">
      <alignment horizontal="center" wrapText="1"/>
    </xf>
    <xf numFmtId="0" fontId="13" fillId="9" borderId="1" xfId="5" applyFont="1" applyFill="1" applyBorder="1" applyAlignment="1">
      <alignment horizontal="center" wrapText="1"/>
    </xf>
    <xf numFmtId="0" fontId="15" fillId="9" borderId="1" xfId="5" applyFont="1" applyFill="1" applyBorder="1" applyAlignment="1">
      <alignment horizontal="center" wrapText="1"/>
    </xf>
    <xf numFmtId="0" fontId="15" fillId="0" borderId="0" xfId="5" applyFont="1" applyAlignment="1" applyProtection="1">
      <alignment vertical="center"/>
      <protection locked="0"/>
    </xf>
    <xf numFmtId="3" fontId="22" fillId="9" borderId="0" xfId="5" applyNumberFormat="1" applyFont="1" applyFill="1" applyAlignment="1">
      <alignment vertical="center"/>
    </xf>
    <xf numFmtId="2" fontId="22" fillId="9" borderId="0" xfId="5" applyNumberFormat="1" applyFont="1" applyFill="1" applyAlignment="1">
      <alignment vertical="center"/>
    </xf>
    <xf numFmtId="164" fontId="22" fillId="9" borderId="0" xfId="5" applyNumberFormat="1" applyFont="1" applyFill="1" applyAlignment="1">
      <alignment vertical="center"/>
    </xf>
    <xf numFmtId="165" fontId="22" fillId="9" borderId="0" xfId="5" applyNumberFormat="1" applyFont="1" applyFill="1" applyAlignment="1">
      <alignment vertical="center"/>
    </xf>
    <xf numFmtId="3" fontId="22" fillId="9" borderId="4" xfId="5" applyNumberFormat="1" applyFont="1" applyFill="1" applyBorder="1" applyAlignment="1">
      <alignment vertical="center"/>
    </xf>
    <xf numFmtId="2" fontId="22" fillId="9" borderId="4" xfId="5" applyNumberFormat="1" applyFont="1" applyFill="1" applyBorder="1" applyAlignment="1">
      <alignment vertical="center"/>
    </xf>
    <xf numFmtId="164" fontId="22" fillId="9" borderId="4" xfId="5" applyNumberFormat="1" applyFont="1" applyFill="1" applyBorder="1" applyAlignment="1">
      <alignment vertical="center"/>
    </xf>
    <xf numFmtId="165" fontId="22" fillId="9" borderId="4" xfId="5" applyNumberFormat="1" applyFont="1" applyFill="1" applyBorder="1" applyAlignment="1">
      <alignment vertical="center"/>
    </xf>
    <xf numFmtId="0" fontId="3" fillId="0" borderId="0" xfId="6" applyFont="1" applyFill="1" applyAlignment="1"/>
    <xf numFmtId="0" fontId="3" fillId="0" borderId="0" xfId="6" applyFont="1" applyAlignment="1">
      <alignment vertical="center"/>
    </xf>
    <xf numFmtId="0" fontId="3" fillId="0" borderId="0" xfId="6" applyFont="1" applyAlignment="1"/>
    <xf numFmtId="0" fontId="3" fillId="9" borderId="1" xfId="6" applyFont="1" applyFill="1" applyBorder="1" applyAlignment="1">
      <alignment horizontal="center" vertical="center" wrapText="1"/>
    </xf>
    <xf numFmtId="0" fontId="3" fillId="0" borderId="0" xfId="6" applyFont="1" applyAlignment="1">
      <alignment horizontal="center" vertical="center"/>
    </xf>
    <xf numFmtId="0" fontId="23" fillId="3" borderId="1" xfId="6" applyFont="1" applyFill="1" applyBorder="1" applyAlignment="1">
      <alignment vertical="center"/>
    </xf>
    <xf numFmtId="0" fontId="3" fillId="9" borderId="1" xfId="5" applyFont="1" applyFill="1" applyBorder="1" applyAlignment="1">
      <alignment horizontal="center" wrapText="1"/>
    </xf>
    <xf numFmtId="16" fontId="3" fillId="9" borderId="1" xfId="5" applyNumberFormat="1" applyFont="1" applyFill="1" applyBorder="1" applyAlignment="1">
      <alignment horizontal="center" wrapText="1"/>
    </xf>
    <xf numFmtId="0" fontId="3" fillId="0" borderId="0" xfId="6" applyFont="1" applyAlignment="1">
      <alignment horizontal="left" vertical="top" wrapText="1"/>
    </xf>
    <xf numFmtId="0" fontId="3" fillId="0" borderId="0" xfId="6" applyFont="1" applyAlignment="1">
      <alignment horizontal="center" vertical="center" wrapText="1"/>
    </xf>
    <xf numFmtId="0" fontId="3" fillId="0" borderId="0" xfId="6" applyFont="1" applyAlignment="1">
      <alignment horizontal="center" vertical="top"/>
    </xf>
    <xf numFmtId="0" fontId="3" fillId="0" borderId="0" xfId="6" applyFont="1" applyAlignment="1">
      <alignment vertical="top"/>
    </xf>
    <xf numFmtId="0" fontId="24" fillId="0" borderId="0" xfId="5" applyFont="1" applyAlignment="1">
      <alignment horizontal="right" vertical="top" wrapText="1"/>
    </xf>
    <xf numFmtId="0" fontId="24" fillId="0" borderId="0" xfId="5" applyFont="1" applyAlignment="1">
      <alignment vertical="top" wrapText="1"/>
    </xf>
    <xf numFmtId="2" fontId="24" fillId="0" borderId="0" xfId="5" applyNumberFormat="1" applyFont="1" applyAlignment="1">
      <alignment vertical="top" wrapText="1"/>
    </xf>
    <xf numFmtId="164" fontId="24" fillId="0" borderId="0" xfId="5" applyNumberFormat="1" applyFont="1" applyAlignment="1">
      <alignment vertical="top" wrapText="1"/>
    </xf>
    <xf numFmtId="165" fontId="24" fillId="0" borderId="0" xfId="5" applyNumberFormat="1" applyFont="1" applyAlignment="1">
      <alignment vertical="top" wrapText="1"/>
    </xf>
    <xf numFmtId="0" fontId="4" fillId="0" borderId="0" xfId="6" applyFont="1" applyAlignment="1">
      <alignment horizontal="center" vertical="center"/>
    </xf>
    <xf numFmtId="3" fontId="24" fillId="0" borderId="0" xfId="5" applyNumberFormat="1" applyFont="1" applyAlignment="1">
      <alignment horizontal="right" vertical="top" wrapText="1"/>
    </xf>
    <xf numFmtId="3" fontId="24" fillId="0" borderId="0" xfId="5" applyNumberFormat="1" applyFont="1" applyAlignment="1">
      <alignment vertical="top" wrapText="1"/>
    </xf>
    <xf numFmtId="0" fontId="0" fillId="0" borderId="0" xfId="0" quotePrefix="1">
      <alignment horizontal="center" vertical="center"/>
    </xf>
    <xf numFmtId="0" fontId="0" fillId="0" borderId="9" xfId="0" applyBorder="1">
      <alignment horizontal="center" vertical="center"/>
    </xf>
    <xf numFmtId="0" fontId="0" fillId="0" borderId="6" xfId="0" applyBorder="1">
      <alignment horizontal="center" vertical="center"/>
    </xf>
    <xf numFmtId="0" fontId="0" fillId="0" borderId="19" xfId="0" applyBorder="1">
      <alignment horizontal="center" vertical="center"/>
    </xf>
    <xf numFmtId="0" fontId="0" fillId="0" borderId="20" xfId="0" applyBorder="1">
      <alignment horizontal="center" vertical="center"/>
    </xf>
    <xf numFmtId="0" fontId="0" fillId="0" borderId="21" xfId="0" applyBorder="1" applyAlignment="1">
      <alignment horizontal="center" vertical="center"/>
    </xf>
    <xf numFmtId="0" fontId="0" fillId="0" borderId="0" xfId="0" applyFont="1">
      <alignment horizontal="center" vertical="center"/>
    </xf>
    <xf numFmtId="0" fontId="0" fillId="0" borderId="21" xfId="0" quotePrefix="1" applyBorder="1" applyAlignment="1">
      <alignment horizontal="center" vertical="center"/>
    </xf>
    <xf numFmtId="0" fontId="0" fillId="0" borderId="21" xfId="0" applyBorder="1" applyAlignment="1">
      <alignment vertical="center"/>
    </xf>
    <xf numFmtId="0" fontId="0" fillId="0" borderId="19" xfId="0" applyBorder="1" applyAlignment="1">
      <alignment vertical="center"/>
    </xf>
    <xf numFmtId="0" fontId="0" fillId="0" borderId="0" xfId="0" quotePrefix="1" applyFont="1">
      <alignment horizontal="center" vertical="center"/>
    </xf>
    <xf numFmtId="0" fontId="0" fillId="0" borderId="0" xfId="0" applyFont="1" applyBorder="1">
      <alignment horizontal="center" vertical="center"/>
    </xf>
    <xf numFmtId="0" fontId="0" fillId="0" borderId="0" xfId="0" applyBorder="1">
      <alignment horizontal="center" vertical="center"/>
    </xf>
    <xf numFmtId="0" fontId="0" fillId="0" borderId="9" xfId="0" applyFont="1" applyBorder="1">
      <alignment horizontal="center" vertical="center"/>
    </xf>
    <xf numFmtId="0" fontId="3" fillId="0" borderId="0" xfId="0" applyFont="1" applyAlignment="1">
      <alignment horizontal="center" vertical="center"/>
    </xf>
    <xf numFmtId="4" fontId="4" fillId="0" borderId="0" xfId="3" applyAlignment="1">
      <alignment horizontal="center" vertical="center"/>
    </xf>
    <xf numFmtId="3" fontId="4" fillId="0" borderId="0" xfId="3" applyNumberFormat="1" applyAlignment="1">
      <alignment horizontal="center" vertical="center"/>
    </xf>
    <xf numFmtId="3" fontId="11" fillId="0" borderId="22" xfId="3" applyNumberFormat="1" applyFont="1" applyBorder="1" applyAlignment="1">
      <alignment horizontal="center" vertical="center"/>
    </xf>
    <xf numFmtId="0" fontId="4" fillId="0" borderId="0" xfId="0" applyFont="1" applyFill="1" applyAlignment="1">
      <alignment horizontal="center" vertical="center"/>
    </xf>
    <xf numFmtId="0" fontId="0" fillId="0" borderId="0" xfId="0" applyFill="1" applyBorder="1">
      <alignment horizontal="center" vertical="center"/>
    </xf>
    <xf numFmtId="0" fontId="8" fillId="0" borderId="0" xfId="5" applyFont="1" applyAlignment="1" applyProtection="1">
      <alignment horizontal="center" vertical="center"/>
    </xf>
    <xf numFmtId="0" fontId="0" fillId="0" borderId="0" xfId="5" applyFont="1" applyFill="1" applyAlignment="1">
      <alignment vertical="center"/>
    </xf>
    <xf numFmtId="0" fontId="0" fillId="0" borderId="0" xfId="5" applyFont="1" applyFill="1" applyAlignment="1">
      <alignment horizontal="center" vertical="center"/>
    </xf>
    <xf numFmtId="0" fontId="3" fillId="0" borderId="0" xfId="5" applyFont="1" applyFill="1" applyAlignment="1">
      <alignment vertical="center" wrapText="1"/>
    </xf>
    <xf numFmtId="0" fontId="3" fillId="0" borderId="0" xfId="5" applyFont="1" applyFill="1" applyAlignment="1">
      <alignment horizontal="center" vertical="center"/>
    </xf>
    <xf numFmtId="0" fontId="3" fillId="0" borderId="0" xfId="5" applyFont="1" applyFill="1" applyAlignment="1">
      <alignment vertical="center"/>
    </xf>
    <xf numFmtId="0" fontId="0" fillId="0" borderId="0" xfId="5" quotePrefix="1" applyFont="1" applyFill="1" applyAlignment="1">
      <alignment vertical="center"/>
    </xf>
    <xf numFmtId="165" fontId="4" fillId="0" borderId="0" xfId="5" applyNumberFormat="1" applyFont="1" applyFill="1" applyAlignment="1">
      <alignment horizontal="center" vertical="center"/>
    </xf>
    <xf numFmtId="0" fontId="0" fillId="5" borderId="9" xfId="0" applyFont="1" applyFill="1" applyBorder="1">
      <alignment horizontal="center" vertical="center"/>
    </xf>
    <xf numFmtId="0" fontId="0" fillId="5" borderId="9" xfId="0" applyFill="1" applyBorder="1">
      <alignment horizontal="center" vertical="center"/>
    </xf>
    <xf numFmtId="0" fontId="0" fillId="5" borderId="0" xfId="0" applyFont="1" applyFill="1" applyBorder="1">
      <alignment horizontal="center" vertical="center"/>
    </xf>
    <xf numFmtId="0" fontId="0" fillId="0" borderId="0" xfId="0" applyFill="1">
      <alignment horizontal="center" vertical="center"/>
    </xf>
    <xf numFmtId="0" fontId="0" fillId="0" borderId="0" xfId="0" applyFont="1" applyAlignment="1">
      <alignment horizontal="center" vertical="top"/>
    </xf>
    <xf numFmtId="0" fontId="0" fillId="0" borderId="0" xfId="0" applyFont="1" applyAlignment="1">
      <alignment horizontal="center" vertical="top" wrapText="1"/>
    </xf>
    <xf numFmtId="0" fontId="0" fillId="0" borderId="0" xfId="0" applyFont="1" applyAlignment="1">
      <alignment vertical="top"/>
    </xf>
    <xf numFmtId="0" fontId="0" fillId="0" borderId="0" xfId="0" applyFont="1" applyAlignment="1">
      <alignment horizontal="center" vertical="top"/>
    </xf>
    <xf numFmtId="0" fontId="0" fillId="0" borderId="0" xfId="0" quotePrefix="1" applyFont="1" applyAlignment="1">
      <alignment horizontal="center" vertical="top"/>
    </xf>
    <xf numFmtId="0" fontId="4" fillId="0" borderId="22" xfId="0" applyFont="1" applyFill="1" applyBorder="1">
      <alignment horizontal="center" vertical="center"/>
    </xf>
    <xf numFmtId="164" fontId="22" fillId="10" borderId="23" xfId="5" applyNumberFormat="1" applyFont="1" applyFill="1" applyBorder="1" applyAlignment="1">
      <alignment vertical="center"/>
    </xf>
    <xf numFmtId="2" fontId="22" fillId="10" borderId="23" xfId="5" applyNumberFormat="1" applyFont="1" applyFill="1" applyBorder="1" applyAlignment="1">
      <alignment vertical="center"/>
    </xf>
    <xf numFmtId="165" fontId="22" fillId="10" borderId="23" xfId="5" applyNumberFormat="1" applyFont="1" applyFill="1" applyBorder="1" applyAlignment="1">
      <alignment vertical="center"/>
    </xf>
    <xf numFmtId="3" fontId="22" fillId="10" borderId="23" xfId="5" applyNumberFormat="1" applyFont="1" applyFill="1" applyBorder="1" applyAlignment="1">
      <alignment vertical="center"/>
    </xf>
    <xf numFmtId="3" fontId="22" fillId="0" borderId="6" xfId="5" applyNumberFormat="1" applyFont="1" applyFill="1" applyBorder="1" applyAlignment="1">
      <alignment vertical="center"/>
    </xf>
    <xf numFmtId="0" fontId="0" fillId="5" borderId="0" xfId="0" quotePrefix="1" applyFill="1">
      <alignment horizontal="center" vertical="center"/>
    </xf>
    <xf numFmtId="0" fontId="0" fillId="5" borderId="0" xfId="0" applyFont="1" applyFill="1">
      <alignment horizontal="center" vertical="center"/>
    </xf>
    <xf numFmtId="0" fontId="0" fillId="5" borderId="21" xfId="0" quotePrefix="1" applyFill="1" applyBorder="1" applyAlignment="1">
      <alignment horizontal="center" vertical="center"/>
    </xf>
    <xf numFmtId="0" fontId="0" fillId="5" borderId="21" xfId="0" applyFill="1" applyBorder="1" applyAlignment="1">
      <alignment horizontal="center" vertical="center"/>
    </xf>
    <xf numFmtId="0" fontId="0" fillId="5" borderId="21" xfId="0" applyFill="1" applyBorder="1" applyAlignment="1">
      <alignment vertical="center"/>
    </xf>
    <xf numFmtId="0" fontId="0" fillId="5" borderId="0" xfId="0" applyFill="1">
      <alignment horizontal="center" vertical="center"/>
    </xf>
    <xf numFmtId="165" fontId="4" fillId="0" borderId="0" xfId="0" applyNumberFormat="1" applyFont="1" applyAlignment="1">
      <alignment horizontal="center" vertical="center"/>
    </xf>
    <xf numFmtId="2" fontId="4" fillId="0" borderId="0" xfId="0" applyNumberFormat="1" applyFont="1" applyAlignment="1">
      <alignment horizontal="center" vertical="center"/>
    </xf>
    <xf numFmtId="164" fontId="4" fillId="0" borderId="0" xfId="0" applyNumberFormat="1" applyFont="1" applyAlignment="1">
      <alignment horizontal="center" vertical="center"/>
    </xf>
    <xf numFmtId="0" fontId="0" fillId="0" borderId="0" xfId="5" quotePrefix="1" applyFont="1" applyFill="1" applyAlignment="1">
      <alignment horizontal="center" vertical="center"/>
    </xf>
    <xf numFmtId="0" fontId="8" fillId="0" borderId="0" xfId="5" applyFont="1" applyFill="1" applyAlignment="1">
      <alignment horizontal="center" vertical="center"/>
    </xf>
    <xf numFmtId="164" fontId="4" fillId="0" borderId="0" xfId="0" applyNumberFormat="1" applyFont="1" applyFill="1" applyAlignment="1">
      <alignment horizontal="center" vertical="center"/>
    </xf>
    <xf numFmtId="0" fontId="3" fillId="2" borderId="0" xfId="0" applyFont="1" applyFill="1" applyAlignment="1">
      <alignment horizontal="center" vertical="center"/>
    </xf>
    <xf numFmtId="0" fontId="0" fillId="0" borderId="0" xfId="5" applyFont="1" applyFill="1" applyBorder="1" applyAlignment="1">
      <alignment vertical="center"/>
    </xf>
    <xf numFmtId="0" fontId="0" fillId="0" borderId="0" xfId="5" applyFont="1" applyFill="1" applyBorder="1" applyAlignment="1">
      <alignment vertical="center" wrapText="1"/>
    </xf>
    <xf numFmtId="0" fontId="3" fillId="0" borderId="0" xfId="5" applyFont="1" applyFill="1" applyBorder="1" applyAlignment="1">
      <alignment vertical="center" wrapText="1"/>
    </xf>
    <xf numFmtId="164" fontId="4" fillId="0" borderId="0" xfId="5" applyNumberFormat="1" applyFont="1" applyBorder="1" applyAlignment="1" applyProtection="1">
      <alignment horizontal="center" vertical="center"/>
    </xf>
    <xf numFmtId="0" fontId="3" fillId="6" borderId="1" xfId="5" applyFont="1" applyFill="1" applyBorder="1" applyAlignment="1" applyProtection="1">
      <alignment horizontal="center" vertical="center"/>
    </xf>
    <xf numFmtId="0" fontId="3" fillId="0" borderId="0" xfId="5" quotePrefix="1" applyFont="1" applyAlignment="1" applyProtection="1">
      <alignment vertical="center"/>
    </xf>
    <xf numFmtId="0" fontId="3" fillId="0" borderId="0" xfId="5" applyFont="1" applyAlignment="1" applyProtection="1">
      <alignment vertical="center"/>
    </xf>
    <xf numFmtId="0" fontId="0" fillId="0" borderId="0" xfId="5" applyFont="1" applyAlignment="1" applyProtection="1">
      <alignment vertical="center"/>
    </xf>
    <xf numFmtId="0" fontId="3" fillId="0" borderId="0" xfId="5" applyFont="1" applyAlignment="1" applyProtection="1">
      <alignment horizontal="center" vertical="center"/>
    </xf>
    <xf numFmtId="2" fontId="4" fillId="0" borderId="0" xfId="5" applyNumberFormat="1" applyFont="1" applyAlignment="1" applyProtection="1">
      <alignment horizontal="center" vertical="center"/>
    </xf>
    <xf numFmtId="0" fontId="0" fillId="0" borderId="6" xfId="5" applyFont="1" applyBorder="1" applyAlignment="1" applyProtection="1">
      <alignment horizontal="center" vertical="center"/>
    </xf>
    <xf numFmtId="0" fontId="0" fillId="6" borderId="11" xfId="5" applyFont="1" applyFill="1" applyBorder="1" applyAlignment="1">
      <alignment horizontal="center" vertical="center"/>
    </xf>
    <xf numFmtId="0" fontId="0" fillId="0" borderId="0" xfId="5" applyFont="1" applyFill="1" applyAlignment="1">
      <alignment horizontal="center" vertical="center"/>
    </xf>
    <xf numFmtId="0" fontId="0" fillId="0" borderId="17" xfId="5" applyFont="1" applyFill="1" applyBorder="1" applyAlignment="1">
      <alignment horizontal="center" vertical="center"/>
    </xf>
    <xf numFmtId="0" fontId="0" fillId="0" borderId="13" xfId="5" applyFont="1" applyFill="1" applyBorder="1" applyAlignment="1">
      <alignment horizontal="center" vertical="center"/>
    </xf>
    <xf numFmtId="0" fontId="0" fillId="0" borderId="0" xfId="5" applyFont="1" applyFill="1" applyAlignment="1">
      <alignment vertical="center"/>
    </xf>
    <xf numFmtId="0" fontId="3" fillId="0" borderId="0" xfId="0" applyFont="1" applyAlignment="1">
      <alignment vertical="center"/>
    </xf>
    <xf numFmtId="0" fontId="3" fillId="0" borderId="0" xfId="0" applyFont="1" applyAlignment="1">
      <alignment horizontal="left" vertical="center"/>
    </xf>
    <xf numFmtId="0" fontId="0" fillId="0" borderId="0" xfId="0" applyAlignment="1">
      <alignment horizontal="center" vertical="center"/>
    </xf>
    <xf numFmtId="0" fontId="0" fillId="0" borderId="0" xfId="0" applyFont="1" applyAlignment="1">
      <alignment horizontal="center" vertical="center"/>
    </xf>
    <xf numFmtId="0" fontId="3" fillId="0" borderId="0" xfId="0" applyFont="1" applyAlignment="1">
      <alignment horizontal="left" vertical="center" wrapText="1"/>
    </xf>
    <xf numFmtId="0" fontId="0" fillId="0" borderId="0" xfId="0" quotePrefix="1" applyAlignment="1">
      <alignment horizontal="left" vertical="center"/>
    </xf>
    <xf numFmtId="0" fontId="0" fillId="0" borderId="0" xfId="0" applyAlignment="1">
      <alignment horizontal="left" vertical="center"/>
    </xf>
    <xf numFmtId="0" fontId="0" fillId="0" borderId="0" xfId="0" applyFill="1" applyAlignment="1">
      <alignment horizontal="center" vertical="center"/>
    </xf>
    <xf numFmtId="0" fontId="3" fillId="6" borderId="1" xfId="5" applyFont="1" applyFill="1" applyBorder="1" applyAlignment="1">
      <alignment horizontal="center" vertical="center"/>
    </xf>
    <xf numFmtId="0" fontId="3" fillId="0" borderId="0" xfId="5" applyFont="1" applyAlignment="1">
      <alignment vertical="center"/>
    </xf>
    <xf numFmtId="164" fontId="3" fillId="0" borderId="0" xfId="5" applyNumberFormat="1" applyFont="1" applyFill="1" applyAlignment="1">
      <alignment horizontal="center" vertical="center"/>
    </xf>
    <xf numFmtId="0" fontId="3" fillId="0" borderId="0" xfId="5" applyFont="1" applyAlignment="1">
      <alignment horizontal="center" vertical="center"/>
    </xf>
    <xf numFmtId="0" fontId="10" fillId="0" borderId="0" xfId="5" applyFont="1" applyFill="1" applyBorder="1" applyAlignment="1">
      <alignment horizontal="center" vertical="center" wrapText="1"/>
    </xf>
    <xf numFmtId="0" fontId="0" fillId="0" borderId="0" xfId="0" quotePrefix="1" applyFont="1" applyAlignment="1">
      <alignment vertical="top"/>
    </xf>
    <xf numFmtId="0" fontId="0" fillId="0" borderId="0" xfId="0" applyAlignment="1">
      <alignment vertical="top"/>
    </xf>
    <xf numFmtId="2" fontId="4" fillId="0" borderId="0" xfId="0" applyNumberFormat="1" applyFont="1" applyFill="1" applyAlignment="1">
      <alignment horizontal="center" vertical="center"/>
    </xf>
    <xf numFmtId="0" fontId="0" fillId="12" borderId="11" xfId="5" applyFont="1" applyFill="1" applyBorder="1" applyAlignment="1" applyProtection="1">
      <alignment horizontal="center" vertical="center"/>
    </xf>
    <xf numFmtId="0" fontId="0" fillId="0" borderId="13" xfId="5" applyFont="1" applyBorder="1" applyAlignment="1" applyProtection="1">
      <alignment horizontal="center" vertical="center"/>
    </xf>
    <xf numFmtId="2" fontId="0" fillId="0" borderId="24" xfId="5" applyNumberFormat="1" applyFont="1" applyBorder="1" applyAlignment="1" applyProtection="1">
      <alignment horizontal="center" vertical="center"/>
    </xf>
    <xf numFmtId="2" fontId="0" fillId="0" borderId="14" xfId="5" applyNumberFormat="1" applyFont="1" applyBorder="1" applyAlignment="1" applyProtection="1">
      <alignment horizontal="center" vertical="center"/>
    </xf>
    <xf numFmtId="0" fontId="0" fillId="0" borderId="15" xfId="5" applyFont="1" applyBorder="1" applyAlignment="1" applyProtection="1">
      <alignment horizontal="center" vertical="center"/>
    </xf>
    <xf numFmtId="2" fontId="0" fillId="0" borderId="0" xfId="5" applyNumberFormat="1" applyFont="1" applyBorder="1" applyAlignment="1" applyProtection="1">
      <alignment horizontal="center" vertical="center"/>
    </xf>
    <xf numFmtId="2" fontId="0" fillId="0" borderId="16" xfId="5" applyNumberFormat="1" applyFont="1" applyBorder="1" applyAlignment="1" applyProtection="1">
      <alignment horizontal="center" vertical="center"/>
    </xf>
    <xf numFmtId="0" fontId="0" fillId="0" borderId="17" xfId="5" applyFont="1" applyBorder="1" applyAlignment="1" applyProtection="1">
      <alignment horizontal="center" vertical="center"/>
    </xf>
    <xf numFmtId="2" fontId="0" fillId="0" borderId="25" xfId="5" applyNumberFormat="1" applyFont="1" applyBorder="1" applyAlignment="1" applyProtection="1">
      <alignment horizontal="center" vertical="center"/>
    </xf>
    <xf numFmtId="2" fontId="0" fillId="0" borderId="18" xfId="5" applyNumberFormat="1" applyFont="1" applyBorder="1" applyAlignment="1" applyProtection="1">
      <alignment horizontal="center" vertical="center"/>
    </xf>
    <xf numFmtId="2" fontId="4" fillId="0" borderId="0" xfId="5" quotePrefix="1" applyNumberFormat="1" applyFont="1" applyAlignment="1" applyProtection="1">
      <alignment horizontal="center" vertical="center"/>
    </xf>
    <xf numFmtId="0" fontId="0" fillId="11" borderId="0" xfId="5" applyFont="1" applyFill="1" applyAlignment="1">
      <alignment vertical="center"/>
    </xf>
    <xf numFmtId="0" fontId="0" fillId="11" borderId="0" xfId="5" applyFont="1" applyFill="1" applyBorder="1" applyAlignment="1">
      <alignment vertical="center"/>
    </xf>
    <xf numFmtId="0" fontId="3" fillId="11" borderId="0" xfId="5" applyFont="1" applyFill="1" applyBorder="1" applyAlignment="1" applyProtection="1">
      <alignment horizontal="left" vertical="center" wrapText="1"/>
    </xf>
    <xf numFmtId="0" fontId="3" fillId="11" borderId="0" xfId="5" applyFont="1" applyFill="1" applyAlignment="1" applyProtection="1">
      <alignment horizontal="center" vertical="center"/>
    </xf>
    <xf numFmtId="2" fontId="0" fillId="11" borderId="0" xfId="5" applyNumberFormat="1" applyFont="1" applyFill="1" applyAlignment="1" applyProtection="1">
      <alignment horizontal="center" vertical="center"/>
    </xf>
    <xf numFmtId="0" fontId="9" fillId="11" borderId="0" xfId="5" applyFont="1" applyFill="1" applyAlignment="1" applyProtection="1">
      <alignment vertical="center"/>
    </xf>
    <xf numFmtId="164" fontId="28" fillId="0" borderId="0" xfId="0" applyNumberFormat="1" applyFont="1" applyAlignment="1" applyProtection="1">
      <alignment horizontal="center" vertical="center"/>
      <protection locked="0"/>
    </xf>
    <xf numFmtId="0" fontId="28" fillId="0" borderId="0" xfId="0" applyFont="1" applyAlignment="1" applyProtection="1">
      <alignment horizontal="center" vertical="center"/>
      <protection locked="0"/>
    </xf>
    <xf numFmtId="0" fontId="3" fillId="0" borderId="0" xfId="0" applyFont="1" applyAlignment="1">
      <alignment horizontal="left" vertical="center"/>
    </xf>
    <xf numFmtId="0" fontId="0" fillId="0" borderId="0" xfId="0" applyFill="1" applyAlignment="1">
      <alignment horizontal="center" vertical="center"/>
    </xf>
    <xf numFmtId="0" fontId="0" fillId="0" borderId="0" xfId="0" applyAlignment="1">
      <alignment horizontal="center" vertical="center"/>
    </xf>
    <xf numFmtId="0" fontId="3" fillId="0" borderId="0" xfId="0" applyFont="1" applyAlignment="1">
      <alignment horizontal="left" vertical="center" wrapText="1"/>
    </xf>
    <xf numFmtId="0" fontId="3" fillId="0" borderId="0" xfId="0" applyFont="1" applyAlignment="1">
      <alignment vertical="center"/>
    </xf>
    <xf numFmtId="0" fontId="2" fillId="0" borderId="0" xfId="8" applyAlignment="1">
      <alignment horizontal="center" vertical="center"/>
    </xf>
    <xf numFmtId="0" fontId="2" fillId="3" borderId="12" xfId="8" applyFill="1" applyBorder="1" applyAlignment="1">
      <alignment horizontal="center" vertical="center"/>
    </xf>
    <xf numFmtId="2" fontId="2" fillId="0" borderId="0" xfId="8" applyNumberFormat="1" applyAlignment="1">
      <alignment horizontal="center" vertical="center"/>
    </xf>
    <xf numFmtId="0" fontId="2" fillId="0" borderId="0" xfId="8" applyFont="1" applyAlignment="1">
      <alignment horizontal="center" vertical="center"/>
    </xf>
    <xf numFmtId="2" fontId="32" fillId="0" borderId="0" xfId="8" applyNumberFormat="1" applyFont="1" applyAlignment="1">
      <alignment horizontal="center" vertical="center"/>
    </xf>
    <xf numFmtId="164" fontId="2" fillId="0" borderId="0" xfId="8" applyNumberFormat="1" applyAlignment="1">
      <alignment horizontal="center" vertical="center"/>
    </xf>
    <xf numFmtId="166" fontId="2" fillId="0" borderId="0" xfId="8" applyNumberFormat="1" applyAlignment="1">
      <alignment horizontal="center" vertical="center"/>
    </xf>
    <xf numFmtId="0" fontId="2" fillId="0" borderId="0" xfId="8" applyAlignment="1">
      <alignment horizontal="center" vertical="center" wrapText="1"/>
    </xf>
    <xf numFmtId="0" fontId="2" fillId="0" borderId="0" xfId="8"/>
    <xf numFmtId="0" fontId="33" fillId="0" borderId="0" xfId="8" applyFont="1" applyAlignment="1">
      <alignment horizontal="center" vertical="center"/>
    </xf>
    <xf numFmtId="0" fontId="2" fillId="0" borderId="0" xfId="8" applyNumberFormat="1" applyBorder="1" applyAlignment="1">
      <alignment horizontal="center" vertical="center"/>
    </xf>
    <xf numFmtId="12" fontId="2" fillId="0" borderId="0" xfId="8" applyNumberFormat="1" applyBorder="1" applyAlignment="1">
      <alignment horizontal="center" vertical="center"/>
    </xf>
    <xf numFmtId="0" fontId="2" fillId="0" borderId="0" xfId="8" applyBorder="1" applyAlignment="1">
      <alignment horizontal="center" vertical="center"/>
    </xf>
    <xf numFmtId="0" fontId="3" fillId="0" borderId="0" xfId="10" applyAlignment="1">
      <alignment textRotation="90"/>
    </xf>
    <xf numFmtId="0" fontId="3" fillId="0" borderId="0" xfId="10" applyAlignment="1"/>
    <xf numFmtId="49" fontId="3" fillId="0" borderId="0" xfId="10" applyNumberFormat="1" applyFont="1" applyAlignment="1">
      <alignment horizontal="center"/>
    </xf>
    <xf numFmtId="49" fontId="3" fillId="0" borderId="0" xfId="10" applyNumberFormat="1" applyAlignment="1">
      <alignment horizontal="center"/>
    </xf>
    <xf numFmtId="0" fontId="3" fillId="0" borderId="0" xfId="10" applyAlignment="1">
      <alignment horizontal="center"/>
    </xf>
    <xf numFmtId="0" fontId="3" fillId="0" borderId="0" xfId="10" applyNumberFormat="1" applyAlignment="1"/>
    <xf numFmtId="165" fontId="3" fillId="0" borderId="0" xfId="10" applyNumberFormat="1" applyAlignment="1">
      <alignment horizontal="center"/>
    </xf>
    <xf numFmtId="49" fontId="3" fillId="0" borderId="0" xfId="10" applyNumberFormat="1" applyAlignment="1">
      <alignment horizontal="center" vertical="center" wrapText="1"/>
    </xf>
    <xf numFmtId="3" fontId="3" fillId="0" borderId="0" xfId="10" applyNumberFormat="1" applyAlignment="1">
      <alignment horizontal="center" vertical="center" wrapText="1"/>
    </xf>
    <xf numFmtId="3" fontId="3" fillId="0" borderId="0" xfId="10" applyNumberFormat="1" applyFont="1" applyAlignment="1">
      <alignment horizontal="center" vertical="center"/>
    </xf>
    <xf numFmtId="3" fontId="3" fillId="0" borderId="0" xfId="10" applyNumberFormat="1" applyAlignment="1">
      <alignment horizontal="center" vertical="center"/>
    </xf>
    <xf numFmtId="49" fontId="3" fillId="0" borderId="0" xfId="10" applyNumberFormat="1" applyAlignment="1"/>
    <xf numFmtId="49" fontId="3" fillId="0" borderId="0" xfId="10" applyNumberFormat="1" applyAlignment="1">
      <alignment horizontal="center" vertical="center"/>
    </xf>
    <xf numFmtId="0" fontId="3" fillId="3" borderId="1" xfId="10" applyFill="1" applyBorder="1" applyAlignment="1">
      <alignment horizontal="center" vertical="center"/>
    </xf>
    <xf numFmtId="0" fontId="3" fillId="3" borderId="1" xfId="10" applyFill="1" applyBorder="1" applyAlignment="1">
      <alignment horizontal="center"/>
    </xf>
    <xf numFmtId="49" fontId="3" fillId="0" borderId="6" xfId="10" applyNumberFormat="1" applyFill="1" applyBorder="1" applyAlignment="1">
      <alignment horizontal="center" vertical="center" wrapText="1"/>
    </xf>
    <xf numFmtId="0" fontId="3" fillId="0" borderId="6" xfId="10" applyFill="1" applyBorder="1" applyAlignment="1">
      <alignment vertical="center"/>
    </xf>
    <xf numFmtId="164" fontId="3" fillId="0" borderId="6" xfId="10" applyNumberFormat="1" applyFill="1" applyBorder="1" applyAlignment="1">
      <alignment horizontal="center" vertical="center"/>
    </xf>
    <xf numFmtId="3" fontId="3" fillId="0" borderId="6" xfId="10" applyNumberFormat="1" applyFill="1" applyBorder="1" applyAlignment="1">
      <alignment horizontal="center" vertical="center"/>
    </xf>
    <xf numFmtId="0" fontId="3" fillId="0" borderId="6" xfId="10" applyFill="1" applyBorder="1" applyAlignment="1">
      <alignment horizontal="center" vertical="center"/>
    </xf>
    <xf numFmtId="0" fontId="3" fillId="0" borderId="0" xfId="10" applyBorder="1" applyAlignment="1">
      <alignment vertical="center" wrapText="1"/>
    </xf>
    <xf numFmtId="0" fontId="3" fillId="0" borderId="0" xfId="10" applyAlignment="1">
      <alignment vertical="center"/>
    </xf>
    <xf numFmtId="49" fontId="3" fillId="0" borderId="0" xfId="10" applyNumberFormat="1" applyFont="1" applyAlignment="1">
      <alignment horizontal="center" vertical="center"/>
    </xf>
    <xf numFmtId="49" fontId="3" fillId="0" borderId="0" xfId="10" applyNumberFormat="1" applyFill="1" applyBorder="1" applyAlignment="1">
      <alignment horizontal="center" vertical="center" wrapText="1"/>
    </xf>
    <xf numFmtId="0" fontId="3" fillId="0" borderId="0" xfId="10" applyFill="1" applyBorder="1" applyAlignment="1">
      <alignment vertical="center"/>
    </xf>
    <xf numFmtId="164" fontId="3" fillId="0" borderId="0" xfId="10" applyNumberFormat="1" applyFill="1" applyBorder="1" applyAlignment="1">
      <alignment horizontal="center" vertical="center"/>
    </xf>
    <xf numFmtId="3" fontId="3" fillId="0" borderId="0" xfId="10" applyNumberFormat="1" applyFill="1" applyBorder="1" applyAlignment="1">
      <alignment horizontal="center" vertical="center"/>
    </xf>
    <xf numFmtId="0" fontId="3" fillId="0" borderId="0" xfId="10" applyFill="1" applyBorder="1" applyAlignment="1">
      <alignment horizontal="center" vertical="center"/>
    </xf>
    <xf numFmtId="3" fontId="3" fillId="3" borderId="0" xfId="10" applyNumberFormat="1" applyFill="1" applyAlignment="1">
      <alignment horizontal="center" vertical="center" wrapText="1"/>
    </xf>
    <xf numFmtId="49" fontId="3" fillId="0" borderId="9" xfId="10" applyNumberFormat="1" applyFill="1" applyBorder="1" applyAlignment="1">
      <alignment horizontal="center" vertical="center" wrapText="1"/>
    </xf>
    <xf numFmtId="0" fontId="3" fillId="0" borderId="9" xfId="10" applyFill="1" applyBorder="1" applyAlignment="1">
      <alignment vertical="center"/>
    </xf>
    <xf numFmtId="164" fontId="3" fillId="0" borderId="9" xfId="10" applyNumberFormat="1" applyFill="1" applyBorder="1" applyAlignment="1">
      <alignment horizontal="center" vertical="center"/>
    </xf>
    <xf numFmtId="3" fontId="3" fillId="0" borderId="9" xfId="10" applyNumberFormat="1" applyFill="1" applyBorder="1" applyAlignment="1">
      <alignment horizontal="center" vertical="center"/>
    </xf>
    <xf numFmtId="0" fontId="3" fillId="0" borderId="9" xfId="10" applyFill="1" applyBorder="1" applyAlignment="1">
      <alignment horizontal="center" vertical="center"/>
    </xf>
    <xf numFmtId="0" fontId="3" fillId="3" borderId="0" xfId="10" applyFill="1" applyAlignment="1">
      <alignment wrapText="1"/>
    </xf>
    <xf numFmtId="49" fontId="3" fillId="0" borderId="0" xfId="10" applyNumberFormat="1" applyAlignment="1">
      <alignment wrapText="1"/>
    </xf>
    <xf numFmtId="0" fontId="3" fillId="0" borderId="0" xfId="10" applyAlignment="1">
      <alignment wrapText="1"/>
    </xf>
    <xf numFmtId="49" fontId="4" fillId="0" borderId="6" xfId="10" applyNumberFormat="1" applyFont="1" applyFill="1" applyBorder="1" applyAlignment="1">
      <alignment horizontal="right" vertical="center"/>
    </xf>
    <xf numFmtId="49" fontId="4" fillId="0" borderId="0" xfId="10" applyNumberFormat="1" applyFont="1" applyFill="1" applyBorder="1" applyAlignment="1">
      <alignment horizontal="right" vertical="center"/>
    </xf>
    <xf numFmtId="49" fontId="4" fillId="0" borderId="9" xfId="10" applyNumberFormat="1" applyFont="1" applyFill="1" applyBorder="1" applyAlignment="1">
      <alignment horizontal="right" vertical="center"/>
    </xf>
    <xf numFmtId="0" fontId="3" fillId="0" borderId="0" xfId="10">
      <alignment horizontal="center" vertical="center"/>
    </xf>
    <xf numFmtId="0" fontId="3" fillId="0" borderId="0" xfId="10" applyAlignment="1">
      <alignment vertical="center" textRotation="90"/>
    </xf>
    <xf numFmtId="0" fontId="3" fillId="0" borderId="0" xfId="10" applyAlignment="1">
      <alignment horizontal="center" vertical="center"/>
    </xf>
    <xf numFmtId="0" fontId="3" fillId="0" borderId="0" xfId="10" applyNumberFormat="1" applyAlignment="1">
      <alignment vertical="center"/>
    </xf>
    <xf numFmtId="49" fontId="0" fillId="0" borderId="6" xfId="10" applyNumberFormat="1" applyFont="1" applyFill="1" applyBorder="1" applyAlignment="1">
      <alignment horizontal="center" vertical="center" wrapText="1"/>
    </xf>
    <xf numFmtId="49" fontId="0" fillId="0" borderId="0" xfId="10" applyNumberFormat="1" applyFont="1" applyFill="1" applyBorder="1" applyAlignment="1">
      <alignment horizontal="center" vertical="center" wrapText="1"/>
    </xf>
    <xf numFmtId="49" fontId="0" fillId="0" borderId="9" xfId="10" applyNumberFormat="1" applyFont="1" applyFill="1" applyBorder="1" applyAlignment="1">
      <alignment horizontal="center" vertical="center" wrapText="1"/>
    </xf>
    <xf numFmtId="49" fontId="0" fillId="0" borderId="0" xfId="10" applyNumberFormat="1" applyFont="1" applyAlignment="1">
      <alignment horizontal="center" vertical="center" wrapText="1"/>
    </xf>
    <xf numFmtId="49" fontId="0" fillId="3" borderId="2" xfId="10" applyNumberFormat="1" applyFont="1" applyFill="1" applyBorder="1" applyAlignment="1">
      <alignment horizontal="center"/>
    </xf>
    <xf numFmtId="0" fontId="0" fillId="0" borderId="0" xfId="10" applyFont="1" applyAlignment="1">
      <alignment horizontal="center"/>
    </xf>
    <xf numFmtId="49" fontId="0" fillId="0" borderId="0" xfId="10" applyNumberFormat="1" applyFont="1" applyAlignment="1"/>
    <xf numFmtId="0" fontId="0" fillId="3" borderId="1" xfId="10" applyFont="1" applyFill="1" applyBorder="1" applyAlignment="1">
      <alignment horizontal="center"/>
    </xf>
    <xf numFmtId="49" fontId="3" fillId="3" borderId="1" xfId="10" applyNumberFormat="1" applyFill="1" applyBorder="1" applyAlignment="1">
      <alignment horizontal="center"/>
    </xf>
    <xf numFmtId="0" fontId="4" fillId="0" borderId="0" xfId="10" applyFont="1" applyAlignment="1">
      <alignment horizontal="center" vertical="center"/>
    </xf>
    <xf numFmtId="0" fontId="3" fillId="0" borderId="0" xfId="10" applyAlignment="1">
      <alignment horizontal="center" wrapText="1"/>
    </xf>
    <xf numFmtId="3" fontId="4" fillId="0" borderId="0" xfId="0" applyNumberFormat="1" applyFont="1" applyAlignment="1" applyProtection="1">
      <alignment horizontal="center" vertical="center"/>
      <protection locked="0"/>
    </xf>
    <xf numFmtId="0" fontId="4" fillId="0" borderId="0" xfId="0" applyFont="1">
      <alignment horizontal="center" vertical="center"/>
    </xf>
    <xf numFmtId="0" fontId="0" fillId="12" borderId="0" xfId="0" applyFill="1">
      <alignment horizontal="center" vertical="center"/>
    </xf>
    <xf numFmtId="0" fontId="2" fillId="12" borderId="0" xfId="8" applyFill="1" applyAlignment="1">
      <alignment horizontal="center" vertical="center"/>
    </xf>
    <xf numFmtId="0" fontId="4" fillId="0" borderId="0" xfId="0" applyFont="1" applyAlignment="1">
      <alignment horizontal="center" vertical="center"/>
    </xf>
    <xf numFmtId="11" fontId="4" fillId="0" borderId="0" xfId="3" applyNumberFormat="1" applyAlignment="1">
      <alignment horizontal="center" vertical="center"/>
    </xf>
    <xf numFmtId="11" fontId="11" fillId="0" borderId="22" xfId="0" applyNumberFormat="1" applyFont="1" applyFill="1" applyBorder="1" applyAlignment="1">
      <alignment horizontal="center" vertical="center"/>
    </xf>
    <xf numFmtId="0" fontId="0" fillId="0" borderId="0" xfId="0" applyAlignment="1">
      <alignment horizontal="center" wrapText="1"/>
    </xf>
    <xf numFmtId="0" fontId="0" fillId="0" borderId="0" xfId="0" applyAlignment="1">
      <alignment horizontal="center"/>
    </xf>
    <xf numFmtId="0" fontId="0" fillId="3" borderId="1" xfId="0" applyFill="1" applyBorder="1" applyAlignment="1">
      <alignment horizontal="center" wrapText="1"/>
    </xf>
    <xf numFmtId="3" fontId="4" fillId="0" borderId="0" xfId="3" applyNumberFormat="1" applyFont="1" applyAlignment="1">
      <alignment horizontal="center" vertical="center"/>
    </xf>
    <xf numFmtId="0" fontId="0" fillId="0" borderId="0" xfId="0" applyAlignment="1">
      <alignment horizontal="left"/>
    </xf>
    <xf numFmtId="0" fontId="0" fillId="0" borderId="0" xfId="0" applyAlignment="1">
      <alignment vertical="center"/>
    </xf>
    <xf numFmtId="0" fontId="0" fillId="0" borderId="0" xfId="0" applyAlignment="1">
      <alignment horizontal="center" vertical="center"/>
    </xf>
    <xf numFmtId="0" fontId="5" fillId="4" borderId="1" xfId="0" applyFont="1" applyFill="1" applyBorder="1" applyAlignment="1">
      <alignment horizontal="center" vertical="center"/>
    </xf>
    <xf numFmtId="0" fontId="10" fillId="0" borderId="0" xfId="0" applyFont="1" applyAlignment="1">
      <alignment horizontal="center" vertical="center"/>
    </xf>
    <xf numFmtId="0" fontId="0" fillId="0" borderId="0" xfId="0" applyFont="1" applyAlignment="1">
      <alignment horizontal="center" vertical="center"/>
    </xf>
    <xf numFmtId="3" fontId="11" fillId="5" borderId="22" xfId="3" applyNumberFormat="1" applyFont="1" applyFill="1" applyBorder="1" applyAlignment="1">
      <alignment horizontal="center" vertical="center"/>
    </xf>
    <xf numFmtId="0" fontId="0" fillId="0" borderId="0" xfId="0" applyAlignment="1">
      <alignment horizontal="center" vertical="center"/>
    </xf>
    <xf numFmtId="0" fontId="0" fillId="0" borderId="0" xfId="0" applyFont="1" applyAlignment="1">
      <alignment horizontal="center" vertical="center"/>
    </xf>
    <xf numFmtId="0" fontId="5" fillId="4" borderId="1" xfId="0" applyFont="1" applyFill="1" applyBorder="1" applyAlignment="1">
      <alignment horizontal="center" vertical="center"/>
    </xf>
    <xf numFmtId="0" fontId="0" fillId="0" borderId="6" xfId="0" applyBorder="1" applyAlignment="1">
      <alignment horizontal="center" vertical="center"/>
    </xf>
    <xf numFmtId="0" fontId="0" fillId="0" borderId="0" xfId="5" applyFont="1" applyAlignment="1">
      <alignment horizontal="center"/>
    </xf>
    <xf numFmtId="0" fontId="0" fillId="0" borderId="0" xfId="5" applyFont="1" applyAlignment="1">
      <alignment horizontal="left"/>
    </xf>
    <xf numFmtId="0" fontId="0" fillId="0" borderId="0" xfId="5" applyFont="1"/>
    <xf numFmtId="0" fontId="38" fillId="0" borderId="0" xfId="5" applyFont="1" applyAlignment="1">
      <alignment horizontal="center"/>
    </xf>
    <xf numFmtId="0" fontId="0" fillId="5" borderId="0" xfId="5" applyFont="1" applyFill="1" applyAlignment="1">
      <alignment horizontal="center"/>
    </xf>
    <xf numFmtId="0" fontId="8" fillId="0" borderId="0" xfId="5" applyFont="1" applyAlignment="1">
      <alignment horizontal="center"/>
    </xf>
    <xf numFmtId="0" fontId="3" fillId="0" borderId="0" xfId="5" applyFont="1" applyAlignment="1">
      <alignment horizontal="center"/>
    </xf>
    <xf numFmtId="0" fontId="0" fillId="0" borderId="0" xfId="5" applyFont="1" applyAlignment="1"/>
    <xf numFmtId="0" fontId="0" fillId="3" borderId="1" xfId="5" applyFont="1" applyFill="1" applyBorder="1" applyAlignment="1">
      <alignment horizontal="center"/>
    </xf>
    <xf numFmtId="0" fontId="8" fillId="3" borderId="1" xfId="5" applyFont="1" applyFill="1" applyBorder="1" applyAlignment="1">
      <alignment horizontal="center"/>
    </xf>
    <xf numFmtId="0" fontId="0" fillId="2" borderId="0" xfId="0" applyFill="1" applyAlignment="1">
      <alignment horizontal="center" vertical="center"/>
    </xf>
    <xf numFmtId="3" fontId="4" fillId="0" borderId="0" xfId="0" applyNumberFormat="1" applyFont="1" applyAlignment="1">
      <alignment horizontal="center" vertical="center"/>
    </xf>
    <xf numFmtId="4" fontId="4" fillId="0" borderId="0" xfId="0" applyNumberFormat="1" applyFont="1" applyAlignment="1">
      <alignment horizontal="center" vertical="center"/>
    </xf>
    <xf numFmtId="0" fontId="0" fillId="2" borderId="0" xfId="0" applyFill="1" applyAlignment="1">
      <alignment vertical="center"/>
    </xf>
    <xf numFmtId="0" fontId="0" fillId="0" borderId="0" xfId="0" applyBorder="1" applyAlignment="1">
      <alignment vertical="center"/>
    </xf>
    <xf numFmtId="0" fontId="3" fillId="0" borderId="0" xfId="0" applyFont="1" applyAlignment="1">
      <alignment horizontal="left" vertical="center" wrapText="1"/>
    </xf>
    <xf numFmtId="0" fontId="0" fillId="0" borderId="0" xfId="0" applyAlignment="1">
      <alignment vertical="center"/>
    </xf>
    <xf numFmtId="0" fontId="3" fillId="0" borderId="0" xfId="0" applyFont="1" applyBorder="1" applyAlignment="1">
      <alignment vertical="center"/>
    </xf>
    <xf numFmtId="0" fontId="0" fillId="0" borderId="0" xfId="0" applyAlignment="1">
      <alignment horizontal="center" vertical="center"/>
    </xf>
    <xf numFmtId="0" fontId="0" fillId="0" borderId="0" xfId="0" applyAlignment="1">
      <alignment vertical="center" wrapText="1"/>
    </xf>
    <xf numFmtId="0" fontId="5" fillId="4" borderId="1" xfId="0" applyFont="1" applyFill="1" applyBorder="1" applyAlignment="1">
      <alignment horizontal="center" vertical="center"/>
    </xf>
    <xf numFmtId="0" fontId="0" fillId="0" borderId="0" xfId="0" applyFill="1" applyAlignment="1">
      <alignment horizontal="center" vertical="center"/>
    </xf>
    <xf numFmtId="0" fontId="0" fillId="0" borderId="0" xfId="0" applyFont="1" applyAlignment="1">
      <alignment horizontal="center" vertical="center"/>
    </xf>
    <xf numFmtId="0" fontId="0" fillId="2" borderId="0" xfId="0" applyFill="1" applyAlignment="1">
      <alignment vertical="center"/>
    </xf>
    <xf numFmtId="12" fontId="4" fillId="0" borderId="0" xfId="0" applyNumberFormat="1" applyFont="1" applyFill="1" applyAlignment="1">
      <alignment horizontal="center" vertical="center"/>
    </xf>
    <xf numFmtId="0" fontId="3" fillId="0" borderId="0" xfId="0" applyFont="1" applyBorder="1" applyAlignment="1">
      <alignment horizontal="center" vertical="center" textRotation="90"/>
    </xf>
    <xf numFmtId="0" fontId="3" fillId="0" borderId="0" xfId="0" applyFont="1" applyBorder="1" applyAlignment="1">
      <alignment horizontal="center" vertical="center"/>
    </xf>
    <xf numFmtId="0" fontId="0" fillId="0" borderId="0" xfId="0" applyBorder="1" applyAlignment="1">
      <alignment horizontal="left" vertical="center"/>
    </xf>
    <xf numFmtId="0" fontId="3" fillId="0" borderId="0" xfId="0" applyFont="1" applyBorder="1" applyAlignment="1">
      <alignment horizontal="left" vertical="center"/>
    </xf>
    <xf numFmtId="3" fontId="0" fillId="0" borderId="0" xfId="0" applyNumberFormat="1" applyAlignment="1">
      <alignment horizontal="center"/>
    </xf>
    <xf numFmtId="0" fontId="0" fillId="7" borderId="0" xfId="0" applyFill="1" applyAlignment="1">
      <alignment horizontal="center" vertical="center"/>
    </xf>
    <xf numFmtId="3" fontId="4" fillId="7" borderId="0" xfId="3" applyNumberFormat="1" applyFill="1" applyAlignment="1">
      <alignment horizontal="center" vertical="center"/>
    </xf>
    <xf numFmtId="0" fontId="0" fillId="0" borderId="0" xfId="0" applyFont="1" applyAlignment="1">
      <alignment horizontal="center" vertical="top"/>
    </xf>
    <xf numFmtId="0" fontId="0" fillId="0" borderId="0" xfId="0" applyAlignment="1">
      <alignment horizontal="center" vertical="top"/>
    </xf>
    <xf numFmtId="0" fontId="0" fillId="0" borderId="0" xfId="0" applyFont="1" applyAlignment="1">
      <alignment vertical="top"/>
    </xf>
    <xf numFmtId="0" fontId="0" fillId="0" borderId="0" xfId="0" quotePrefix="1" applyAlignment="1">
      <alignment vertical="top"/>
    </xf>
    <xf numFmtId="0" fontId="0" fillId="19" borderId="0" xfId="0" applyFill="1">
      <alignment horizontal="center" vertical="center"/>
    </xf>
    <xf numFmtId="166" fontId="0" fillId="0" borderId="0" xfId="0" applyNumberFormat="1" applyFill="1">
      <alignment horizontal="center" vertical="center"/>
    </xf>
    <xf numFmtId="3" fontId="0" fillId="0" borderId="0" xfId="0" applyNumberFormat="1" applyFill="1">
      <alignment horizontal="center" vertical="center"/>
    </xf>
    <xf numFmtId="167" fontId="0" fillId="0" borderId="0" xfId="0" applyNumberFormat="1" applyFill="1">
      <alignment horizontal="center" vertical="center"/>
    </xf>
    <xf numFmtId="0" fontId="18" fillId="9" borderId="1" xfId="5" applyFont="1" applyFill="1" applyBorder="1" applyAlignment="1">
      <alignment horizontal="center" wrapText="1"/>
    </xf>
    <xf numFmtId="0" fontId="14" fillId="9" borderId="1" xfId="5" applyFont="1" applyFill="1" applyBorder="1" applyAlignment="1">
      <alignment horizontal="center" wrapText="1"/>
    </xf>
    <xf numFmtId="0" fontId="15" fillId="9" borderId="1" xfId="5" applyFont="1" applyFill="1" applyBorder="1" applyAlignment="1">
      <alignment horizontal="center" wrapText="1"/>
    </xf>
    <xf numFmtId="0" fontId="15" fillId="0" borderId="0" xfId="5" applyFont="1" applyAlignment="1">
      <alignment horizontal="left" vertical="top" wrapText="1"/>
    </xf>
    <xf numFmtId="0" fontId="15" fillId="0" borderId="0" xfId="5" applyFont="1" applyAlignment="1">
      <alignment horizontal="left" vertical="top"/>
    </xf>
    <xf numFmtId="0" fontId="15" fillId="9" borderId="1" xfId="6" applyFont="1" applyFill="1" applyBorder="1" applyAlignment="1">
      <alignment horizontal="center" wrapText="1"/>
    </xf>
    <xf numFmtId="0" fontId="13" fillId="9" borderId="1" xfId="5" applyFont="1" applyFill="1" applyBorder="1" applyAlignment="1">
      <alignment horizontal="center" wrapText="1"/>
    </xf>
    <xf numFmtId="0" fontId="15" fillId="0" borderId="8" xfId="5" applyFont="1" applyBorder="1" applyAlignment="1" applyProtection="1">
      <alignment vertical="center"/>
      <protection locked="0"/>
    </xf>
    <xf numFmtId="0" fontId="15" fillId="0" borderId="9" xfId="5" applyFont="1" applyBorder="1" applyAlignment="1" applyProtection="1">
      <alignment vertical="center"/>
      <protection locked="0"/>
    </xf>
    <xf numFmtId="0" fontId="15" fillId="0" borderId="5" xfId="5" applyFont="1" applyBorder="1" applyAlignment="1" applyProtection="1">
      <alignment vertical="center"/>
      <protection locked="0"/>
    </xf>
    <xf numFmtId="0" fontId="15" fillId="0" borderId="6" xfId="5" applyFont="1" applyBorder="1" applyAlignment="1" applyProtection="1">
      <alignment vertical="center"/>
      <protection locked="0"/>
    </xf>
    <xf numFmtId="0" fontId="15" fillId="0" borderId="19" xfId="5" applyFont="1" applyBorder="1" applyAlignment="1" applyProtection="1">
      <alignment vertical="center"/>
      <protection locked="0"/>
    </xf>
    <xf numFmtId="0" fontId="15" fillId="0" borderId="0" xfId="5" applyFont="1" applyBorder="1" applyAlignment="1" applyProtection="1">
      <alignment vertical="center"/>
      <protection locked="0"/>
    </xf>
    <xf numFmtId="0" fontId="15" fillId="9" borderId="3" xfId="5" applyFont="1" applyFill="1" applyBorder="1" applyAlignment="1">
      <alignment vertical="center"/>
    </xf>
    <xf numFmtId="0" fontId="15" fillId="9" borderId="4" xfId="5" applyFont="1" applyFill="1" applyBorder="1" applyAlignment="1">
      <alignment vertical="center"/>
    </xf>
    <xf numFmtId="0" fontId="15" fillId="10" borderId="23" xfId="5" applyFont="1" applyFill="1" applyBorder="1" applyAlignment="1" applyProtection="1">
      <alignment vertical="center"/>
      <protection locked="0"/>
    </xf>
    <xf numFmtId="0" fontId="3" fillId="9" borderId="1" xfId="5" applyFont="1" applyFill="1" applyBorder="1" applyAlignment="1">
      <alignment horizontal="center" wrapText="1"/>
    </xf>
    <xf numFmtId="0" fontId="3" fillId="9" borderId="1" xfId="6" applyFont="1" applyFill="1" applyBorder="1" applyAlignment="1">
      <alignment horizontal="center" vertical="center" wrapText="1"/>
    </xf>
    <xf numFmtId="0" fontId="3" fillId="9" borderId="1" xfId="6" applyFont="1" applyFill="1" applyBorder="1" applyAlignment="1">
      <alignment horizontal="center" wrapText="1"/>
    </xf>
    <xf numFmtId="0" fontId="3" fillId="9" borderId="3" xfId="6" applyFont="1" applyFill="1" applyBorder="1" applyAlignment="1"/>
    <xf numFmtId="0" fontId="3" fillId="9" borderId="4" xfId="6" applyFont="1" applyFill="1" applyBorder="1" applyAlignment="1"/>
    <xf numFmtId="0" fontId="3" fillId="9" borderId="2" xfId="6" applyFont="1" applyFill="1" applyBorder="1" applyAlignment="1"/>
    <xf numFmtId="0" fontId="3" fillId="9" borderId="8" xfId="6" applyFont="1" applyFill="1" applyBorder="1" applyAlignment="1"/>
    <xf numFmtId="0" fontId="3" fillId="9" borderId="9" xfId="6" applyFont="1" applyFill="1" applyBorder="1" applyAlignment="1"/>
    <xf numFmtId="0" fontId="3" fillId="9" borderId="11" xfId="6" applyFont="1" applyFill="1" applyBorder="1" applyAlignment="1">
      <alignment horizontal="center" vertical="center" wrapText="1"/>
    </xf>
    <xf numFmtId="0" fontId="3" fillId="9" borderId="12" xfId="6" applyFont="1" applyFill="1" applyBorder="1" applyAlignment="1">
      <alignment horizontal="center" vertical="center" wrapText="1"/>
    </xf>
    <xf numFmtId="0" fontId="13" fillId="0" borderId="0" xfId="5" applyFont="1" applyAlignment="1" applyProtection="1">
      <alignment vertical="top"/>
    </xf>
    <xf numFmtId="0" fontId="14" fillId="0" borderId="0" xfId="5" applyNumberFormat="1" applyFont="1" applyAlignment="1" applyProtection="1">
      <alignment vertical="top" wrapText="1"/>
    </xf>
    <xf numFmtId="0" fontId="13" fillId="0" borderId="0" xfId="5" applyNumberFormat="1" applyFont="1" applyAlignment="1" applyProtection="1">
      <alignment vertical="top" wrapText="1"/>
    </xf>
    <xf numFmtId="0" fontId="12" fillId="0" borderId="0" xfId="5" applyFont="1" applyAlignment="1" applyProtection="1">
      <alignment vertical="top" wrapText="1"/>
    </xf>
    <xf numFmtId="0" fontId="0" fillId="0" borderId="6" xfId="5" applyFont="1" applyBorder="1" applyAlignment="1" applyProtection="1">
      <alignment horizontal="right" vertical="center"/>
    </xf>
    <xf numFmtId="0" fontId="0" fillId="0" borderId="9" xfId="5" applyFont="1" applyBorder="1" applyAlignment="1" applyProtection="1">
      <alignment horizontal="right" vertical="center"/>
    </xf>
    <xf numFmtId="0" fontId="0" fillId="6" borderId="1" xfId="5" applyFont="1" applyFill="1" applyBorder="1" applyAlignment="1" applyProtection="1">
      <alignment horizontal="center" vertical="center"/>
    </xf>
    <xf numFmtId="0" fontId="0" fillId="0" borderId="6" xfId="5" applyFont="1" applyBorder="1" applyAlignment="1" applyProtection="1">
      <alignment horizontal="center" vertical="center"/>
    </xf>
    <xf numFmtId="0" fontId="0" fillId="0" borderId="0" xfId="5" applyFont="1" applyBorder="1" applyAlignment="1" applyProtection="1">
      <alignment horizontal="center" vertical="center"/>
    </xf>
    <xf numFmtId="0" fontId="0" fillId="0" borderId="6" xfId="5" applyFont="1" applyBorder="1" applyAlignment="1" applyProtection="1">
      <alignment vertical="center"/>
    </xf>
    <xf numFmtId="0" fontId="0" fillId="0" borderId="0" xfId="5" applyFont="1" applyAlignment="1" applyProtection="1">
      <alignment vertical="center"/>
    </xf>
    <xf numFmtId="0" fontId="3" fillId="6" borderId="3" xfId="5" applyFont="1" applyFill="1" applyBorder="1" applyAlignment="1" applyProtection="1">
      <alignment horizontal="center" vertical="center"/>
    </xf>
    <xf numFmtId="0" fontId="0" fillId="6" borderId="4" xfId="5" applyFont="1" applyFill="1" applyBorder="1" applyAlignment="1" applyProtection="1">
      <alignment horizontal="center" vertical="center"/>
    </xf>
    <xf numFmtId="0" fontId="0" fillId="6" borderId="2" xfId="5" applyFont="1" applyFill="1" applyBorder="1" applyAlignment="1" applyProtection="1">
      <alignment horizontal="center" vertical="center"/>
    </xf>
    <xf numFmtId="0" fontId="0" fillId="6" borderId="11" xfId="5" applyFont="1" applyFill="1" applyBorder="1" applyAlignment="1" applyProtection="1">
      <alignment horizontal="center"/>
    </xf>
    <xf numFmtId="0" fontId="0" fillId="6" borderId="12" xfId="5" applyFont="1" applyFill="1" applyBorder="1" applyAlignment="1" applyProtection="1">
      <alignment horizontal="center"/>
    </xf>
    <xf numFmtId="0" fontId="0" fillId="6" borderId="11" xfId="5" applyFont="1" applyFill="1" applyBorder="1" applyAlignment="1" applyProtection="1">
      <alignment horizontal="center" wrapText="1"/>
    </xf>
    <xf numFmtId="0" fontId="0" fillId="6" borderId="12" xfId="5" applyFont="1" applyFill="1" applyBorder="1" applyAlignment="1" applyProtection="1">
      <alignment horizontal="center" wrapText="1"/>
    </xf>
    <xf numFmtId="0" fontId="0" fillId="6" borderId="3" xfId="5" applyFont="1" applyFill="1" applyBorder="1" applyAlignment="1" applyProtection="1">
      <alignment horizontal="center" vertical="center"/>
    </xf>
    <xf numFmtId="164" fontId="4" fillId="0" borderId="6" xfId="5" applyNumberFormat="1" applyFont="1" applyBorder="1" applyAlignment="1" applyProtection="1">
      <alignment horizontal="left" vertical="center"/>
    </xf>
    <xf numFmtId="164" fontId="4" fillId="0" borderId="0" xfId="5" applyNumberFormat="1" applyFont="1" applyAlignment="1" applyProtection="1">
      <alignment horizontal="left" vertical="center"/>
    </xf>
    <xf numFmtId="0" fontId="0" fillId="0" borderId="9" xfId="5" applyFont="1" applyBorder="1" applyAlignment="1" applyProtection="1">
      <alignment vertical="center"/>
    </xf>
    <xf numFmtId="0" fontId="0" fillId="6" borderId="1" xfId="5" applyFont="1" applyFill="1" applyBorder="1" applyAlignment="1" applyProtection="1">
      <alignment horizontal="center"/>
    </xf>
    <xf numFmtId="0" fontId="0" fillId="6" borderId="1" xfId="5" applyFont="1" applyFill="1" applyBorder="1" applyAlignment="1" applyProtection="1">
      <alignment horizontal="center" wrapText="1"/>
    </xf>
    <xf numFmtId="0" fontId="0" fillId="6" borderId="5" xfId="5" applyFont="1" applyFill="1" applyBorder="1" applyAlignment="1" applyProtection="1">
      <alignment horizontal="center" vertical="center"/>
    </xf>
    <xf numFmtId="0" fontId="0" fillId="6" borderId="6" xfId="5" applyFont="1" applyFill="1" applyBorder="1" applyAlignment="1" applyProtection="1">
      <alignment horizontal="center" vertical="center"/>
    </xf>
    <xf numFmtId="0" fontId="0" fillId="6" borderId="7" xfId="5" applyFont="1" applyFill="1" applyBorder="1" applyAlignment="1" applyProtection="1">
      <alignment horizontal="center" vertical="center"/>
    </xf>
    <xf numFmtId="0" fontId="0" fillId="6" borderId="8" xfId="5" applyFont="1" applyFill="1" applyBorder="1" applyAlignment="1" applyProtection="1">
      <alignment horizontal="center" vertical="center"/>
    </xf>
    <xf numFmtId="0" fontId="0" fillId="6" borderId="9" xfId="5" applyFont="1" applyFill="1" applyBorder="1" applyAlignment="1" applyProtection="1">
      <alignment horizontal="center" vertical="center"/>
    </xf>
    <xf numFmtId="0" fontId="0" fillId="6" borderId="10" xfId="5" applyFont="1" applyFill="1" applyBorder="1" applyAlignment="1" applyProtection="1">
      <alignment horizontal="center" vertical="center"/>
    </xf>
    <xf numFmtId="0" fontId="4" fillId="0" borderId="6" xfId="5" applyFont="1" applyBorder="1" applyAlignment="1" applyProtection="1">
      <alignment horizontal="center" vertical="center"/>
    </xf>
    <xf numFmtId="0" fontId="4" fillId="0" borderId="0" xfId="5" applyFont="1" applyBorder="1" applyAlignment="1" applyProtection="1">
      <alignment horizontal="center" vertical="center"/>
    </xf>
    <xf numFmtId="0" fontId="3" fillId="0" borderId="0" xfId="5" applyFont="1" applyAlignment="1" applyProtection="1">
      <alignment vertical="center"/>
    </xf>
    <xf numFmtId="0" fontId="0" fillId="0" borderId="0" xfId="5" quotePrefix="1" applyFont="1" applyAlignment="1" applyProtection="1">
      <alignment vertical="center"/>
    </xf>
    <xf numFmtId="0" fontId="3" fillId="0" borderId="0" xfId="5" quotePrefix="1" applyFont="1" applyAlignment="1" applyProtection="1">
      <alignment vertical="center"/>
    </xf>
    <xf numFmtId="0" fontId="0" fillId="0" borderId="0" xfId="5" quotePrefix="1" applyFont="1" applyAlignment="1" applyProtection="1">
      <alignment vertical="center" wrapText="1"/>
    </xf>
    <xf numFmtId="0" fontId="3" fillId="0" borderId="0" xfId="5" quotePrefix="1" applyFont="1" applyAlignment="1" applyProtection="1">
      <alignment vertical="center" wrapText="1"/>
    </xf>
    <xf numFmtId="0" fontId="3" fillId="11" borderId="0" xfId="5" applyFont="1" applyFill="1" applyAlignment="1" applyProtection="1">
      <alignment vertical="center"/>
    </xf>
    <xf numFmtId="0" fontId="3" fillId="0" borderId="0" xfId="5" applyFont="1" applyAlignment="1" applyProtection="1">
      <alignment horizontal="center" vertical="center"/>
    </xf>
    <xf numFmtId="0" fontId="13" fillId="0" borderId="0" xfId="0" applyFont="1" applyAlignment="1">
      <alignment horizontal="center" vertical="center"/>
    </xf>
    <xf numFmtId="2" fontId="4" fillId="0" borderId="0" xfId="5" applyNumberFormat="1" applyFont="1" applyAlignment="1" applyProtection="1">
      <alignment horizontal="center" vertical="center"/>
    </xf>
    <xf numFmtId="0" fontId="3" fillId="11" borderId="0" xfId="5" applyFont="1" applyFill="1" applyAlignment="1" applyProtection="1">
      <alignment horizontal="center" vertical="center"/>
    </xf>
    <xf numFmtId="0" fontId="13" fillId="0" borderId="0" xfId="0" applyFont="1">
      <alignment horizontal="center" vertical="center"/>
    </xf>
    <xf numFmtId="0" fontId="3" fillId="0" borderId="0" xfId="5" applyFont="1" applyBorder="1" applyAlignment="1" applyProtection="1">
      <alignment vertical="center" wrapText="1"/>
    </xf>
    <xf numFmtId="0" fontId="0" fillId="0" borderId="0" xfId="5" applyFont="1" applyBorder="1" applyAlignment="1" applyProtection="1">
      <alignment vertical="center" wrapText="1"/>
    </xf>
    <xf numFmtId="0" fontId="13" fillId="0" borderId="0" xfId="0" applyFont="1" applyAlignment="1" applyProtection="1">
      <alignment horizontal="center" vertical="center"/>
      <protection locked="0"/>
    </xf>
    <xf numFmtId="164" fontId="16" fillId="0" borderId="0" xfId="5" applyNumberFormat="1" applyFont="1" applyAlignment="1" applyProtection="1">
      <alignment horizontal="center" vertical="center"/>
    </xf>
    <xf numFmtId="0" fontId="3" fillId="6" borderId="1" xfId="5" applyFont="1" applyFill="1" applyBorder="1" applyAlignment="1" applyProtection="1">
      <alignment horizontal="center" vertical="center"/>
    </xf>
    <xf numFmtId="0" fontId="3" fillId="0" borderId="0" xfId="5" applyFont="1" applyAlignment="1" applyProtection="1">
      <alignment horizontal="left" vertical="center" wrapText="1"/>
    </xf>
    <xf numFmtId="0" fontId="3" fillId="11" borderId="0" xfId="5" applyFont="1" applyFill="1" applyAlignment="1" applyProtection="1">
      <alignment horizontal="left" vertical="center" wrapText="1"/>
    </xf>
    <xf numFmtId="0" fontId="3" fillId="0" borderId="0" xfId="5" applyFont="1" applyBorder="1" applyAlignment="1" applyProtection="1">
      <alignment vertical="center"/>
    </xf>
    <xf numFmtId="0" fontId="0" fillId="0" borderId="0" xfId="5" applyFont="1" applyBorder="1" applyAlignment="1" applyProtection="1">
      <alignment vertical="center"/>
    </xf>
    <xf numFmtId="0" fontId="3" fillId="0" borderId="0" xfId="5" applyFont="1" applyBorder="1" applyAlignment="1" applyProtection="1">
      <alignment horizontal="left" vertical="center" wrapText="1"/>
    </xf>
    <xf numFmtId="0" fontId="3" fillId="0" borderId="0" xfId="5" applyFont="1" applyAlignment="1" applyProtection="1">
      <alignment horizontal="center" vertical="center" wrapText="1"/>
    </xf>
    <xf numFmtId="0" fontId="0" fillId="0" borderId="0" xfId="5" applyFont="1" applyAlignment="1" applyProtection="1">
      <alignment horizontal="center" vertical="center"/>
    </xf>
    <xf numFmtId="0" fontId="0" fillId="12" borderId="1" xfId="5" applyFont="1" applyFill="1" applyBorder="1" applyAlignment="1" applyProtection="1">
      <alignment horizontal="center"/>
    </xf>
    <xf numFmtId="0" fontId="0" fillId="12" borderId="11" xfId="5" applyFont="1" applyFill="1" applyBorder="1" applyAlignment="1" applyProtection="1">
      <alignment horizontal="center"/>
    </xf>
    <xf numFmtId="0" fontId="3" fillId="12" borderId="1" xfId="5" applyFont="1" applyFill="1" applyBorder="1" applyAlignment="1" applyProtection="1">
      <alignment horizontal="center" vertical="center"/>
    </xf>
    <xf numFmtId="0" fontId="0" fillId="8" borderId="0" xfId="5" applyFont="1" applyFill="1" applyBorder="1" applyAlignment="1">
      <alignment horizontal="center" vertical="center" textRotation="90"/>
    </xf>
    <xf numFmtId="0" fontId="0" fillId="0" borderId="0" xfId="5" quotePrefix="1" applyFont="1" applyFill="1" applyAlignment="1">
      <alignment vertical="center" wrapText="1"/>
    </xf>
    <xf numFmtId="165" fontId="4" fillId="0" borderId="0" xfId="5" applyNumberFormat="1" applyFont="1" applyFill="1" applyAlignment="1">
      <alignment horizontal="center" vertical="center"/>
    </xf>
    <xf numFmtId="0" fontId="0" fillId="11" borderId="0" xfId="5" applyFont="1" applyFill="1" applyAlignment="1">
      <alignment vertical="center"/>
    </xf>
    <xf numFmtId="0" fontId="0" fillId="0" borderId="0" xfId="5" applyFont="1" applyFill="1" applyAlignment="1">
      <alignment vertical="center"/>
    </xf>
    <xf numFmtId="0" fontId="0" fillId="0" borderId="0" xfId="5" applyFont="1" applyFill="1" applyAlignment="1">
      <alignment horizontal="center" vertical="center"/>
    </xf>
    <xf numFmtId="0" fontId="0" fillId="0" borderId="0" xfId="5" applyFont="1" applyAlignment="1">
      <alignment vertical="center" wrapText="1"/>
    </xf>
    <xf numFmtId="0" fontId="16" fillId="0" borderId="0" xfId="5" applyFont="1" applyFill="1" applyAlignment="1">
      <alignment horizontal="center" vertical="center"/>
    </xf>
    <xf numFmtId="0" fontId="0" fillId="0" borderId="0" xfId="5" applyFont="1" applyAlignment="1">
      <alignment horizontal="center" vertical="center"/>
    </xf>
    <xf numFmtId="0" fontId="3" fillId="0" borderId="0" xfId="5" applyFont="1" applyAlignment="1">
      <alignment horizontal="center" vertical="center"/>
    </xf>
    <xf numFmtId="0" fontId="0" fillId="6" borderId="1" xfId="5" applyFont="1" applyFill="1" applyBorder="1" applyAlignment="1">
      <alignment vertical="center"/>
    </xf>
    <xf numFmtId="0" fontId="0" fillId="10" borderId="0" xfId="5" applyFont="1" applyFill="1" applyBorder="1" applyAlignment="1">
      <alignment horizontal="center" vertical="center" textRotation="90"/>
    </xf>
    <xf numFmtId="0" fontId="0" fillId="6" borderId="11" xfId="5" applyFont="1" applyFill="1" applyBorder="1" applyAlignment="1">
      <alignment horizontal="center" vertical="center"/>
    </xf>
    <xf numFmtId="0" fontId="0" fillId="7" borderId="0" xfId="5" applyFont="1" applyFill="1" applyBorder="1" applyAlignment="1">
      <alignment horizontal="center" vertical="center" textRotation="90"/>
    </xf>
    <xf numFmtId="0" fontId="0" fillId="0" borderId="0" xfId="5" applyFont="1" applyFill="1" applyAlignment="1">
      <alignment vertical="center" wrapText="1"/>
    </xf>
    <xf numFmtId="0" fontId="0" fillId="0" borderId="17" xfId="5" applyFont="1" applyFill="1" applyBorder="1" applyAlignment="1">
      <alignment horizontal="center" vertical="center"/>
    </xf>
    <xf numFmtId="0" fontId="0" fillId="0" borderId="18" xfId="5" applyFont="1" applyFill="1" applyBorder="1" applyAlignment="1">
      <alignment horizontal="center" vertical="center"/>
    </xf>
    <xf numFmtId="0" fontId="0" fillId="0" borderId="13" xfId="5" applyFont="1" applyFill="1" applyBorder="1" applyAlignment="1">
      <alignment horizontal="center" vertical="center"/>
    </xf>
    <xf numFmtId="0" fontId="0" fillId="0" borderId="14" xfId="5" applyFont="1" applyFill="1" applyBorder="1" applyAlignment="1">
      <alignment horizontal="center" vertical="center"/>
    </xf>
    <xf numFmtId="0" fontId="4" fillId="0" borderId="0" xfId="5" quotePrefix="1" applyFont="1" applyFill="1" applyAlignment="1">
      <alignment vertical="center" wrapText="1"/>
    </xf>
    <xf numFmtId="0" fontId="0" fillId="14" borderId="0" xfId="0" applyFill="1" applyBorder="1" applyAlignment="1">
      <alignment horizontal="center" vertical="center" textRotation="90"/>
    </xf>
    <xf numFmtId="0" fontId="15" fillId="0" borderId="0" xfId="0" applyFont="1" applyAlignment="1">
      <alignment horizontal="center" vertical="center"/>
    </xf>
    <xf numFmtId="0" fontId="0" fillId="0" borderId="0" xfId="0" applyBorder="1" applyAlignment="1">
      <alignment vertical="center" wrapText="1"/>
    </xf>
    <xf numFmtId="0" fontId="0" fillId="0" borderId="0" xfId="0" quotePrefix="1" applyBorder="1" applyAlignment="1">
      <alignment vertical="center"/>
    </xf>
    <xf numFmtId="0" fontId="0" fillId="0" borderId="0" xfId="0" applyBorder="1" applyAlignment="1">
      <alignment vertical="center"/>
    </xf>
    <xf numFmtId="0" fontId="0" fillId="0" borderId="0" xfId="0" quotePrefix="1" applyFont="1" applyBorder="1" applyAlignment="1">
      <alignment horizontal="left" vertical="center"/>
    </xf>
    <xf numFmtId="0" fontId="0" fillId="0" borderId="0" xfId="0" applyFill="1" applyBorder="1" applyAlignment="1">
      <alignment vertical="center" wrapText="1"/>
    </xf>
    <xf numFmtId="0" fontId="0" fillId="0" borderId="0" xfId="0" applyAlignment="1">
      <alignment horizontal="center" vertical="center"/>
    </xf>
    <xf numFmtId="0" fontId="3" fillId="2" borderId="0" xfId="0" applyFont="1" applyFill="1" applyAlignment="1">
      <alignment horizontal="left" vertical="center"/>
    </xf>
    <xf numFmtId="0" fontId="0" fillId="0" borderId="0" xfId="0" applyBorder="1" applyAlignment="1">
      <alignment horizontal="left" vertical="center"/>
    </xf>
    <xf numFmtId="0" fontId="3" fillId="0" borderId="0" xfId="0" applyFont="1" applyBorder="1" applyAlignment="1">
      <alignment horizontal="left" vertical="center"/>
    </xf>
    <xf numFmtId="0" fontId="0" fillId="0" borderId="0" xfId="0" quotePrefix="1" applyAlignment="1">
      <alignment horizontal="left" vertical="center"/>
    </xf>
    <xf numFmtId="0" fontId="15" fillId="0" borderId="0" xfId="0" quotePrefix="1" applyFont="1" applyFill="1" applyAlignment="1">
      <alignment horizontal="left" vertical="center"/>
    </xf>
    <xf numFmtId="0" fontId="3" fillId="0" borderId="0" xfId="0" applyFont="1" applyAlignment="1">
      <alignment horizontal="left" vertical="center"/>
    </xf>
    <xf numFmtId="0" fontId="0" fillId="3" borderId="11" xfId="0" applyFill="1"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0" xfId="0" applyBorder="1" applyAlignment="1">
      <alignment horizontal="left" vertical="center" wrapText="1"/>
    </xf>
    <xf numFmtId="0" fontId="0" fillId="0" borderId="0" xfId="0" quotePrefix="1" applyBorder="1" applyAlignment="1">
      <alignment horizontal="left" vertical="center"/>
    </xf>
    <xf numFmtId="0" fontId="0" fillId="0" borderId="0" xfId="0" applyAlignment="1">
      <alignment horizontal="left" vertical="center" wrapText="1"/>
    </xf>
    <xf numFmtId="0" fontId="3" fillId="0" borderId="0" xfId="0" applyFont="1" applyAlignment="1">
      <alignment horizontal="left" vertical="center" wrapText="1"/>
    </xf>
    <xf numFmtId="0" fontId="0" fillId="5" borderId="0" xfId="0" quotePrefix="1" applyFill="1" applyAlignment="1">
      <alignment horizontal="left" vertical="center"/>
    </xf>
    <xf numFmtId="0" fontId="3" fillId="5" borderId="0" xfId="0" applyFont="1" applyFill="1" applyAlignment="1">
      <alignment horizontal="left" vertical="center"/>
    </xf>
    <xf numFmtId="0" fontId="3" fillId="0" borderId="0" xfId="0" applyFont="1" applyBorder="1" applyAlignment="1">
      <alignment vertical="center"/>
    </xf>
    <xf numFmtId="0" fontId="3" fillId="2" borderId="0" xfId="0" applyFont="1" applyFill="1" applyAlignment="1">
      <alignment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17" borderId="0" xfId="0" applyFill="1" applyBorder="1" applyAlignment="1">
      <alignment horizontal="center" vertical="center" textRotation="90"/>
    </xf>
    <xf numFmtId="0" fontId="3" fillId="17" borderId="0" xfId="0" applyFont="1" applyFill="1" applyBorder="1" applyAlignment="1">
      <alignment horizontal="center" vertical="center" textRotation="90"/>
    </xf>
    <xf numFmtId="0" fontId="0" fillId="0" borderId="0" xfId="0" applyBorder="1" applyAlignment="1">
      <alignment horizontal="center" vertical="center" wrapText="1"/>
    </xf>
    <xf numFmtId="0" fontId="0" fillId="0" borderId="0" xfId="0" applyAlignment="1">
      <alignment horizontal="left" vertical="center"/>
    </xf>
    <xf numFmtId="0" fontId="0" fillId="5" borderId="0" xfId="0" applyFill="1" applyAlignment="1">
      <alignment horizontal="left" vertical="center"/>
    </xf>
    <xf numFmtId="0" fontId="3" fillId="0" borderId="0" xfId="0" applyFont="1" applyBorder="1" applyAlignment="1">
      <alignment horizontal="center" vertical="center" wrapText="1"/>
    </xf>
    <xf numFmtId="0" fontId="5" fillId="4" borderId="1" xfId="0" applyFont="1" applyFill="1" applyBorder="1" applyAlignment="1">
      <alignment horizontal="center" vertical="center"/>
    </xf>
    <xf numFmtId="0" fontId="5" fillId="4" borderId="1" xfId="0" applyFont="1" applyFill="1" applyBorder="1" applyAlignment="1">
      <alignment horizontal="center" vertical="center" wrapText="1"/>
    </xf>
    <xf numFmtId="0" fontId="0" fillId="0" borderId="0" xfId="0" applyFill="1" applyAlignment="1">
      <alignment horizontal="center" vertical="center"/>
    </xf>
    <xf numFmtId="0" fontId="0" fillId="0" borderId="0" xfId="0" quotePrefix="1" applyFont="1" applyAlignment="1">
      <alignment horizontal="left" vertical="center"/>
    </xf>
    <xf numFmtId="0" fontId="0" fillId="5" borderId="0" xfId="0" quotePrefix="1" applyFont="1" applyFill="1" applyAlignment="1">
      <alignment horizontal="left" vertical="center"/>
    </xf>
    <xf numFmtId="0" fontId="0" fillId="0" borderId="0" xfId="0" applyFill="1" applyBorder="1" applyAlignment="1">
      <alignment horizontal="left" vertical="center"/>
    </xf>
    <xf numFmtId="0" fontId="0" fillId="0" borderId="0" xfId="0" applyFont="1" applyFill="1" applyAlignment="1">
      <alignment horizontal="center" vertical="center"/>
    </xf>
    <xf numFmtId="0" fontId="10" fillId="0" borderId="0" xfId="0" applyFont="1" applyAlignment="1">
      <alignment horizontal="center" vertical="center"/>
    </xf>
    <xf numFmtId="0" fontId="0" fillId="0" borderId="0" xfId="0" applyFont="1" applyAlignment="1">
      <alignment horizontal="center" vertical="center"/>
    </xf>
    <xf numFmtId="0" fontId="0" fillId="7" borderId="0" xfId="0" quotePrefix="1" applyFill="1" applyAlignment="1">
      <alignment horizontal="left" vertical="center"/>
    </xf>
    <xf numFmtId="0" fontId="3" fillId="7" borderId="0" xfId="0" applyFont="1" applyFill="1" applyAlignment="1">
      <alignment horizontal="left" vertical="center"/>
    </xf>
    <xf numFmtId="0" fontId="0" fillId="13" borderId="0" xfId="0" applyFill="1" applyBorder="1" applyAlignment="1">
      <alignment horizontal="center" vertical="center" textRotation="90"/>
    </xf>
    <xf numFmtId="0" fontId="3" fillId="13" borderId="0" xfId="0" applyFont="1" applyFill="1" applyBorder="1" applyAlignment="1">
      <alignment horizontal="center" vertical="center" textRotation="90"/>
    </xf>
    <xf numFmtId="0" fontId="0" fillId="15" borderId="0" xfId="0" applyFill="1" applyBorder="1" applyAlignment="1">
      <alignment horizontal="center" vertical="center" textRotation="90"/>
    </xf>
    <xf numFmtId="0" fontId="3" fillId="15" borderId="0" xfId="0" applyFont="1" applyFill="1" applyBorder="1" applyAlignment="1">
      <alignment horizontal="center" vertical="center" textRotation="90"/>
    </xf>
    <xf numFmtId="0" fontId="0" fillId="18" borderId="0" xfId="0" applyFill="1" applyBorder="1" applyAlignment="1">
      <alignment horizontal="center" vertical="center" textRotation="90"/>
    </xf>
    <xf numFmtId="0" fontId="3" fillId="18" borderId="0" xfId="0" applyFont="1" applyFill="1" applyBorder="1" applyAlignment="1">
      <alignment horizontal="center" vertical="center" textRotation="90"/>
    </xf>
    <xf numFmtId="0" fontId="0" fillId="9" borderId="0" xfId="0" applyFill="1" applyBorder="1" applyAlignment="1">
      <alignment horizontal="center" vertical="center" textRotation="90"/>
    </xf>
    <xf numFmtId="0" fontId="3" fillId="9" borderId="0" xfId="0" applyFont="1" applyFill="1" applyBorder="1" applyAlignment="1">
      <alignment horizontal="center" vertical="center" textRotation="90"/>
    </xf>
    <xf numFmtId="0" fontId="0" fillId="0" borderId="0" xfId="0" quotePrefix="1" applyFill="1" applyAlignment="1">
      <alignment horizontal="left" vertical="center"/>
    </xf>
    <xf numFmtId="0" fontId="0" fillId="7" borderId="0" xfId="0" applyFill="1" applyAlignment="1">
      <alignment horizontal="left" vertical="center" wrapText="1"/>
    </xf>
    <xf numFmtId="0" fontId="3" fillId="0" borderId="0" xfId="0" applyFont="1" applyAlignment="1">
      <alignment horizontal="center" vertical="center" wrapText="1"/>
    </xf>
    <xf numFmtId="0" fontId="0" fillId="0" borderId="0" xfId="0" applyAlignment="1">
      <alignment vertical="center" wrapText="1"/>
    </xf>
    <xf numFmtId="0" fontId="0" fillId="0" borderId="0" xfId="0" applyFill="1" applyBorder="1" applyAlignment="1">
      <alignment horizontal="center" vertical="center"/>
    </xf>
    <xf numFmtId="0" fontId="0" fillId="0" borderId="0" xfId="0" applyFill="1">
      <alignment horizontal="center" vertical="center"/>
    </xf>
    <xf numFmtId="0" fontId="0" fillId="19" borderId="0" xfId="0" applyFill="1">
      <alignment horizontal="center" vertical="center"/>
    </xf>
    <xf numFmtId="0" fontId="29" fillId="0" borderId="25" xfId="8" applyFont="1" applyBorder="1" applyAlignment="1">
      <alignment vertical="center"/>
    </xf>
    <xf numFmtId="0" fontId="3" fillId="0" borderId="6" xfId="10" applyFill="1" applyBorder="1" applyAlignment="1">
      <alignment horizontal="center" vertical="center" textRotation="90"/>
    </xf>
    <xf numFmtId="0" fontId="3" fillId="0" borderId="0" xfId="10" applyFill="1" applyBorder="1" applyAlignment="1">
      <alignment horizontal="center" vertical="center" textRotation="90"/>
    </xf>
    <xf numFmtId="0" fontId="3" fillId="0" borderId="9" xfId="10" applyFill="1" applyBorder="1" applyAlignment="1">
      <alignment horizontal="center" vertical="center" textRotation="90"/>
    </xf>
    <xf numFmtId="0" fontId="3" fillId="0" borderId="6" xfId="10" applyFill="1" applyBorder="1" applyAlignment="1">
      <alignment horizontal="center" vertical="center" wrapText="1"/>
    </xf>
    <xf numFmtId="0" fontId="3" fillId="0" borderId="0" xfId="10" applyFill="1" applyBorder="1" applyAlignment="1">
      <alignment horizontal="center" vertical="center" wrapText="1"/>
    </xf>
    <xf numFmtId="0" fontId="3" fillId="0" borderId="9" xfId="10" applyFill="1" applyBorder="1" applyAlignment="1">
      <alignment horizontal="center" vertical="center" wrapText="1"/>
    </xf>
    <xf numFmtId="0" fontId="0" fillId="0" borderId="6" xfId="10" applyFont="1" applyFill="1" applyBorder="1" applyAlignment="1">
      <alignment horizontal="center" vertical="center" wrapText="1"/>
    </xf>
    <xf numFmtId="0" fontId="3" fillId="0" borderId="4" xfId="10" applyFill="1" applyBorder="1" applyAlignment="1">
      <alignment horizontal="center" vertical="center" wrapText="1"/>
    </xf>
    <xf numFmtId="0" fontId="3" fillId="3" borderId="1" xfId="10" applyFill="1" applyBorder="1" applyAlignment="1">
      <alignment horizontal="center" wrapText="1"/>
    </xf>
    <xf numFmtId="0" fontId="3" fillId="3" borderId="1" xfId="10" applyFill="1" applyBorder="1" applyAlignment="1">
      <alignment horizontal="center"/>
    </xf>
    <xf numFmtId="0" fontId="0" fillId="3" borderId="1" xfId="4" applyFont="1">
      <alignment horizontal="center" vertical="center"/>
    </xf>
    <xf numFmtId="0" fontId="0" fillId="3" borderId="1" xfId="10" applyFont="1" applyFill="1" applyBorder="1" applyAlignment="1">
      <alignment horizontal="center" wrapText="1"/>
    </xf>
    <xf numFmtId="0" fontId="3" fillId="3" borderId="1" xfId="10" applyNumberFormat="1" applyFill="1" applyBorder="1" applyAlignment="1">
      <alignment horizontal="center"/>
    </xf>
    <xf numFmtId="0" fontId="0" fillId="0" borderId="9" xfId="0" applyBorder="1" applyAlignment="1">
      <alignment horizontal="center" vertical="center"/>
    </xf>
    <xf numFmtId="0" fontId="0" fillId="0" borderId="6" xfId="0" applyBorder="1" applyAlignment="1">
      <alignment horizontal="center" vertical="center"/>
    </xf>
    <xf numFmtId="0" fontId="0" fillId="5" borderId="9" xfId="0" applyFont="1" applyFill="1" applyBorder="1">
      <alignment horizontal="center" vertical="center"/>
    </xf>
    <xf numFmtId="0" fontId="0" fillId="5" borderId="19" xfId="0" applyFont="1" applyFill="1" applyBorder="1">
      <alignment horizontal="center" vertical="center"/>
    </xf>
    <xf numFmtId="0" fontId="0" fillId="5" borderId="20" xfId="0" applyFill="1" applyBorder="1">
      <alignment horizontal="center" vertical="center"/>
    </xf>
    <xf numFmtId="0" fontId="0" fillId="5" borderId="19" xfId="0" applyFill="1" applyBorder="1">
      <alignment horizontal="center" vertical="center"/>
    </xf>
    <xf numFmtId="0" fontId="0" fillId="0" borderId="0" xfId="0" applyFont="1" applyAlignment="1">
      <alignment horizontal="center" vertical="top" wrapText="1"/>
    </xf>
    <xf numFmtId="0" fontId="0" fillId="0" borderId="0" xfId="0" applyFont="1" applyAlignment="1">
      <alignment horizontal="center" vertical="top"/>
    </xf>
    <xf numFmtId="0" fontId="0" fillId="0" borderId="0" xfId="0" quotePrefix="1" applyFont="1" applyAlignment="1">
      <alignment horizontal="center" vertical="top"/>
    </xf>
    <xf numFmtId="0" fontId="0" fillId="0" borderId="0" xfId="0" applyAlignment="1">
      <alignment horizontal="center" vertical="top" wrapText="1"/>
    </xf>
    <xf numFmtId="0" fontId="0" fillId="0" borderId="0" xfId="0" applyAlignment="1">
      <alignment horizontal="center" vertical="top"/>
    </xf>
    <xf numFmtId="0" fontId="0" fillId="3" borderId="0" xfId="0" applyFill="1" applyAlignment="1">
      <alignment horizontal="center" vertical="top"/>
    </xf>
    <xf numFmtId="0" fontId="0" fillId="0" borderId="0" xfId="0" applyFont="1" applyAlignment="1">
      <alignment vertical="top"/>
    </xf>
    <xf numFmtId="0" fontId="0" fillId="0" borderId="0" xfId="0" applyAlignment="1">
      <alignment vertical="top"/>
    </xf>
    <xf numFmtId="0" fontId="0" fillId="0" borderId="0" xfId="0" quotePrefix="1" applyFont="1" applyAlignment="1">
      <alignment vertical="top"/>
    </xf>
    <xf numFmtId="0" fontId="0" fillId="0" borderId="0" xfId="0" applyAlignment="1">
      <alignment horizontal="center" vertical="center" textRotation="90" wrapText="1"/>
    </xf>
    <xf numFmtId="0" fontId="0" fillId="0" borderId="0" xfId="0" applyAlignment="1">
      <alignment horizontal="center" vertical="center" wrapText="1"/>
    </xf>
    <xf numFmtId="0" fontId="0" fillId="0" borderId="0" xfId="0" quotePrefix="1" applyFont="1" applyFill="1" applyAlignment="1">
      <alignment vertical="center"/>
    </xf>
    <xf numFmtId="0" fontId="0" fillId="0" borderId="0" xfId="0" quotePrefix="1" applyFill="1" applyAlignment="1">
      <alignment vertical="center"/>
    </xf>
    <xf numFmtId="0" fontId="0" fillId="0" borderId="0" xfId="0" applyFill="1" applyAlignment="1">
      <alignment vertical="center"/>
    </xf>
    <xf numFmtId="0" fontId="0" fillId="0" borderId="0" xfId="0" quotePrefix="1" applyAlignment="1">
      <alignment vertical="center"/>
    </xf>
    <xf numFmtId="0" fontId="0" fillId="0" borderId="0" xfId="0" quotePrefix="1" applyFont="1" applyAlignment="1">
      <alignment vertical="center"/>
    </xf>
    <xf numFmtId="0" fontId="0" fillId="0" borderId="0" xfId="0" applyAlignment="1">
      <alignment vertical="center"/>
    </xf>
    <xf numFmtId="0" fontId="0" fillId="16" borderId="0" xfId="0" applyFill="1" applyAlignment="1">
      <alignment horizontal="center" vertical="center" textRotation="90"/>
    </xf>
    <xf numFmtId="0" fontId="0" fillId="5" borderId="0" xfId="0" quotePrefix="1" applyFill="1" applyAlignment="1">
      <alignment vertical="center"/>
    </xf>
    <xf numFmtId="0" fontId="0" fillId="5" borderId="0" xfId="0" applyFill="1" applyAlignment="1">
      <alignment vertical="center"/>
    </xf>
    <xf numFmtId="0" fontId="0" fillId="2" borderId="0" xfId="0" applyFill="1" applyAlignment="1">
      <alignment vertical="center"/>
    </xf>
    <xf numFmtId="0" fontId="5" fillId="4" borderId="3" xfId="0" applyFont="1" applyFill="1" applyBorder="1" applyAlignment="1">
      <alignment horizontal="center" vertical="center" wrapText="1"/>
    </xf>
    <xf numFmtId="0" fontId="5" fillId="4" borderId="4" xfId="0" applyFont="1" applyFill="1" applyBorder="1" applyAlignment="1">
      <alignment horizontal="center" vertical="center" wrapText="1"/>
    </xf>
    <xf numFmtId="0" fontId="5" fillId="4" borderId="2" xfId="0" applyFont="1" applyFill="1" applyBorder="1" applyAlignment="1">
      <alignment horizontal="center" vertical="center" wrapText="1"/>
    </xf>
    <xf numFmtId="0" fontId="15" fillId="0" borderId="0" xfId="0" applyFont="1" applyAlignment="1">
      <alignment vertical="center"/>
    </xf>
    <xf numFmtId="0" fontId="15" fillId="0" borderId="0" xfId="5" applyFont="1" applyBorder="1" applyAlignment="1" applyProtection="1">
      <alignment vertical="center" wrapText="1"/>
      <protection locked="0"/>
    </xf>
    <xf numFmtId="0" fontId="15" fillId="10" borderId="0" xfId="5" applyFont="1" applyFill="1" applyBorder="1" applyAlignment="1" applyProtection="1">
      <alignment vertical="center" wrapText="1"/>
      <protection locked="0"/>
    </xf>
    <xf numFmtId="0" fontId="4" fillId="0" borderId="0" xfId="0" applyFont="1" applyAlignment="1">
      <alignment vertical="center"/>
    </xf>
    <xf numFmtId="0" fontId="0" fillId="0" borderId="0" xfId="5" applyFont="1" applyAlignment="1"/>
    <xf numFmtId="0" fontId="3" fillId="3" borderId="1" xfId="5" applyFont="1" applyFill="1" applyBorder="1" applyAlignment="1">
      <alignment horizontal="center"/>
    </xf>
    <xf numFmtId="0" fontId="0" fillId="3" borderId="1" xfId="5" applyFont="1" applyFill="1" applyBorder="1" applyAlignment="1">
      <alignment horizontal="center"/>
    </xf>
    <xf numFmtId="0" fontId="0" fillId="3" borderId="1" xfId="5" applyFont="1" applyFill="1" applyBorder="1"/>
  </cellXfs>
  <cellStyles count="11">
    <cellStyle name="Entry" xfId="1"/>
    <cellStyle name="Filled" xfId="2"/>
    <cellStyle name="filled 2" xfId="9"/>
    <cellStyle name="Formula" xfId="3"/>
    <cellStyle name="Header" xfId="4"/>
    <cellStyle name="Normal" xfId="0" builtinId="0" customBuiltin="1"/>
    <cellStyle name="Normal 2" xfId="5"/>
    <cellStyle name="Normal 2 2" xfId="7"/>
    <cellStyle name="Normal 2 3" xfId="10"/>
    <cellStyle name="Normal 3" xfId="8"/>
    <cellStyle name="Normal_RISA Load Combination factors" xfId="6"/>
  </cellStyles>
  <dxfs count="1">
    <dxf>
      <font>
        <b/>
        <i val="0"/>
        <color rgb="FFFF0000"/>
      </font>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Drop" dropLines="4" dropStyle="combo" dx="16" fmlaLink="'NBCC_G-1'!$D$5" fmlaRange="'NBCC_G-1'!$J$3:$J$6" noThreeD="1" sel="1" val="0"/>
</file>

<file path=xl/ctrlProps/ctrlProp2.xml><?xml version="1.0" encoding="utf-8"?>
<formControlPr xmlns="http://schemas.microsoft.com/office/spreadsheetml/2009/9/main" objectType="Drop" dropLines="3" dropStyle="combo" dx="16" fmlaLink="'NBCC_I-7'!$F$13" fmlaRange="'NBCC_I-7'!$R$15:$R$17" noThreeD="1" sel="3" val="0"/>
</file>

<file path=xl/ctrlProps/ctrlProp3.xml><?xml version="1.0" encoding="utf-8"?>
<formControlPr xmlns="http://schemas.microsoft.com/office/spreadsheetml/2009/9/main" objectType="Drop" dropStyle="combo" dx="16" fmlaLink="'NBCC_G-1'!D12" fmlaRange="'NBCC_G-1'!$J$13:$J$15" noThreeD="1" sel="2" val="0"/>
</file>

<file path=xl/ctrlProps/ctrlProp4.xml><?xml version="1.0" encoding="utf-8"?>
<formControlPr xmlns="http://schemas.microsoft.com/office/spreadsheetml/2009/9/main" objectType="Drop" dropLines="4" dropStyle="combo" dx="16" fmlaLink="'NBCC_G-1'!$D$5" fmlaRange="'NBCC_G-1'!$J$3:$J$6" noThreeD="1" sel="1" val="0"/>
</file>

<file path=xl/ctrlProps/ctrlProp5.xml><?xml version="1.0" encoding="utf-8"?>
<formControlPr xmlns="http://schemas.microsoft.com/office/spreadsheetml/2009/9/main" objectType="Drop" dropLines="2" dropStyle="combo" dx="16" fmlaLink="'NBCC_G-1'!$D$13" fmlaRange="'NBCC_G-1'!$J$9:$J$10" noThreeD="1" sel="2" val="0"/>
</file>

<file path=xl/ctrlProps/ctrlProp6.xml><?xml version="1.0" encoding="utf-8"?>
<formControlPr xmlns="http://schemas.microsoft.com/office/spreadsheetml/2009/9/main" objectType="Drop" dropStyle="combo" dx="16" fmlaLink="'NBCC_G-1'!D12" fmlaRange="'NBCC_G-1'!$J$13:$J$15" noThreeD="1" sel="2" val="0"/>
</file>

<file path=xl/ctrlProps/ctrlProp7.xml><?xml version="1.0" encoding="utf-8"?>
<formControlPr xmlns="http://schemas.microsoft.com/office/spreadsheetml/2009/9/main" objectType="Scroll" dx="16" fmlaLink="$K$16" horiz="1" max="24" noThreeD="1" page="2" val="4"/>
</file>

<file path=xl/ctrlProps/ctrlProp8.xml><?xml version="1.0" encoding="utf-8"?>
<formControlPr xmlns="http://schemas.microsoft.com/office/spreadsheetml/2009/9/main" objectType="Scroll" dx="16" fmlaLink="$K$13" horiz="1" max="480" min="96" noThreeD="1" page="6" val="96"/>
</file>

<file path=xl/ctrlProps/ctrlProp9.xml><?xml version="1.0" encoding="utf-8"?>
<formControlPr xmlns="http://schemas.microsoft.com/office/spreadsheetml/2009/9/main" objectType="Scroll" dx="16" fmlaLink="$K$6" horiz="1" max="480" min="24" noThreeD="1" page="6" val="120"/>
</file>

<file path=xl/ctrlProps/ctrlProp10.xml><?xml version="1.0" encoding="utf-8"?>
<formControlPr xmlns="http://schemas.microsoft.com/office/spreadsheetml/2009/9/main" objectType="Scroll" dx="16" fmlaLink="$K$11" horiz="1" max="200" min="8" noThreeD="1" page="5" val="36"/>
</file>

<file path=xl/ctrlProps/ctrlProp11.xml><?xml version="1.0" encoding="utf-8"?>
<formControlPr xmlns="http://schemas.microsoft.com/office/spreadsheetml/2009/9/main" objectType="Scroll" dx="16" fmlaLink="$K$4" horiz="1" max="30000" min="2" noThreeD="1" page="0" val="10"/>
</file>

<file path=xl/ctrlProps/ctrlProp12.xml><?xml version="1.0" encoding="utf-8"?>
<formControlPr xmlns="http://schemas.microsoft.com/office/spreadsheetml/2009/9/main" objectType="Scroll" dx="16" fmlaLink="$K$64" horiz="1" max="30000" min="10" noThreeD="1" page="0" val="12"/>
</file>

<file path=xl/ctrlProps/ctrlProp13.xml><?xml version="1.0" encoding="utf-8"?>
<formControlPr xmlns="http://schemas.microsoft.com/office/spreadsheetml/2009/9/main" objectType="Drop" dropLines="2" dropStyle="combo" dx="16" fmlaLink="'NBCC_G-1'!$D$13" fmlaRange="'NBCC_G-1'!$J$9:$J$10" noThreeD="1" sel="2" val="0"/>
</file>

<file path=xl/ctrlProps/ctrlProp14.xml><?xml version="1.0" encoding="utf-8"?>
<formControlPr xmlns="http://schemas.microsoft.com/office/spreadsheetml/2009/9/main" objectType="Drop" dropLines="4" dropStyle="combo" dx="16" fmlaLink="'NBCC_G-1'!$D$5" fmlaRange="'NBCC_G-1'!$J$3:$J$6" noThreeD="1" sel="1" val="0"/>
</file>

<file path=xl/ctrlProps/ctrlProp15.xml><?xml version="1.0" encoding="utf-8"?>
<formControlPr xmlns="http://schemas.microsoft.com/office/spreadsheetml/2009/9/main" objectType="Drop" dropStyle="combo" dx="16" fmlaLink="'NBCC_G-1'!D12" fmlaRange="'NBCC_G-1'!$J$13:$J$15" noThreeD="1" sel="2" val="0"/>
</file>

<file path=xl/ctrlProps/ctrlProp16.xml><?xml version="1.0" encoding="utf-8"?>
<formControlPr xmlns="http://schemas.microsoft.com/office/spreadsheetml/2009/9/main" objectType="Drop" dropLines="3" dropStyle="combo" dx="16" fmlaLink="'NBCC_I-7'!$F$13" fmlaRange="'NBCC_I-7'!$R$15:$R$17" noThreeD="1" sel="3" val="0"/>
</file>

<file path=xl/ctrlProps/ctrlProp17.xml><?xml version="1.0" encoding="utf-8"?>
<formControlPr xmlns="http://schemas.microsoft.com/office/spreadsheetml/2009/9/main" objectType="Scroll" dx="16" fmlaLink="_post_nply" horiz="1" max="5" min="1" noThreeD="1" page="0"/>
</file>

<file path=xl/ctrlProps/ctrlProp18.xml><?xml version="1.0" encoding="utf-8"?>
<formControlPr xmlns="http://schemas.microsoft.com/office/spreadsheetml/2009/9/main" objectType="Drop" dropStyle="combo" dx="16" fmlaLink="_post_species_index" fmlaRange="_post_species_O86_T5.3.1" noThreeD="1" sel="1" val="0"/>
</file>

<file path=xl/ctrlProps/ctrlProp19.xml><?xml version="1.0" encoding="utf-8"?>
<formControlPr xmlns="http://schemas.microsoft.com/office/spreadsheetml/2009/9/main" objectType="Drop" dropStyle="combo" dx="16" fmlaLink="_post_type_index" fmlaRange="_post_type_O86_T5.3.1" noThreeD="1" sel="2" val="0"/>
</file>

<file path=xl/ctrlProps/ctrlProp20.xml><?xml version="1.0" encoding="utf-8"?>
<formControlPr xmlns="http://schemas.microsoft.com/office/spreadsheetml/2009/9/main" objectType="Drop" dropStyle="combo" dx="16" fmlaLink="_post_grade_index" fmlaRange="_post_grade_O86_T5.3.1" noThreeD="1" sel="1" val="0"/>
</file>

<file path=xl/ctrlProps/ctrlProp21.xml><?xml version="1.0" encoding="utf-8"?>
<formControlPr xmlns="http://schemas.microsoft.com/office/spreadsheetml/2009/9/main" objectType="Drop" dropLines="12" dropStyle="combo" dx="16" fmlaLink="_post_b_index" fmlaRange="_post_b_avail" noThreeD="1" sel="2" val="0"/>
</file>

<file path=xl/ctrlProps/ctrlProp22.xml><?xml version="1.0" encoding="utf-8"?>
<formControlPr xmlns="http://schemas.microsoft.com/office/spreadsheetml/2009/9/main" objectType="Drop" dropLines="12" dropStyle="combo" dx="16" fmlaLink="_post_d_index" fmlaRange="_post_d_avail" noThreeD="1" sel="2" val="0"/>
</file>

<file path=xl/ctrlProps/ctrlProp23.xml><?xml version="1.0" encoding="utf-8"?>
<formControlPr xmlns="http://schemas.microsoft.com/office/spreadsheetml/2009/9/main" objectType="Drop" dropLines="16" dropStyle="combo" dx="16" fmlaLink="_diaph_test_panel_index" fmlaRange="_diaph_PFBDM_T6.1" noThreeD="1" sel="11" val="0"/>
</file>

<file path=xl/ctrlProps/ctrlProp24.xml><?xml version="1.0" encoding="utf-8"?>
<formControlPr xmlns="http://schemas.microsoft.com/office/spreadsheetml/2009/9/main" objectType="Drop" dropStyle="combo" dx="16" fmlaLink="_post_fixity_index" fmlaRange="_post_condition_fixity" noThreeD="1" sel="1" val="0"/>
</file>

<file path=xl/ctrlProps/ctrlProp25.xml><?xml version="1.0" encoding="utf-8"?>
<formControlPr xmlns="http://schemas.microsoft.com/office/spreadsheetml/2009/9/main" objectType="Spin" dx="16" fmlaLink="inputs!$K$4" max="30000" min="2" page="10" val="10"/>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Drop" dropStyle="combo" dx="16" fmlaLink="_soil_type_index" fmlaRange="_soil_type" noThreeD="1" sel="6" val="0"/>
</file>

<file path=xl/ctrlProps/ctrlProp29.xml><?xml version="1.0" encoding="utf-8"?>
<formControlPr xmlns="http://schemas.microsoft.com/office/spreadsheetml/2009/9/main" objectType="Drop" dropStyle="combo" dx="16" fmlaLink="_post_constraint_index" fmlaRange="_post_condition_constraint" noThreeD="1" sel="1" val="0"/>
</file>

<file path=xl/ctrlProps/ctrlProp30.xml><?xml version="1.0" encoding="utf-8"?>
<formControlPr xmlns="http://schemas.microsoft.com/office/spreadsheetml/2009/9/main" objectType="Drop" dropStyle="combo" dx="16" fmlaLink="_post_collar_index" fmlaRange="_post_condition_collar"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11.emf"/><Relationship Id="rId5" Type="http://schemas.openxmlformats.org/officeDocument/2006/relationships/image" Target="../media/image10.emf"/><Relationship Id="rId4" Type="http://schemas.openxmlformats.org/officeDocument/2006/relationships/image" Target="../media/image9.emf"/></Relationships>
</file>

<file path=xl/drawings/_rels/drawing2.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0</xdr:rowOff>
        </xdr:from>
        <xdr:to>
          <xdr:col>4</xdr:col>
          <xdr:colOff>0</xdr:colOff>
          <xdr:row>7</xdr:row>
          <xdr:rowOff>0</xdr:rowOff>
        </xdr:to>
        <xdr:sp macro="" textlink="">
          <xdr:nvSpPr>
            <xdr:cNvPr id="3073" name="ComboBox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6</xdr:row>
          <xdr:rowOff>0</xdr:rowOff>
        </xdr:from>
        <xdr:to>
          <xdr:col>5</xdr:col>
          <xdr:colOff>0</xdr:colOff>
          <xdr:row>7</xdr:row>
          <xdr:rowOff>0</xdr:rowOff>
        </xdr:to>
        <xdr:sp macro="" textlink="">
          <xdr:nvSpPr>
            <xdr:cNvPr id="3074" name="ComboBox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5</xdr:row>
          <xdr:rowOff>0</xdr:rowOff>
        </xdr:from>
        <xdr:to>
          <xdr:col>5</xdr:col>
          <xdr:colOff>0</xdr:colOff>
          <xdr:row>6</xdr:row>
          <xdr:rowOff>0</xdr:rowOff>
        </xdr:to>
        <xdr:sp macro="" textlink="">
          <xdr:nvSpPr>
            <xdr:cNvPr id="3075" name="ComboBox3"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0</xdr:rowOff>
        </xdr:from>
        <xdr:to>
          <xdr:col>5</xdr:col>
          <xdr:colOff>0</xdr:colOff>
          <xdr:row>5</xdr:row>
          <xdr:rowOff>0</xdr:rowOff>
        </xdr:to>
        <xdr:sp macro="" textlink="">
          <xdr:nvSpPr>
            <xdr:cNvPr id="3076" name="ComboBox4"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7</xdr:row>
          <xdr:rowOff>0</xdr:rowOff>
        </xdr:from>
        <xdr:to>
          <xdr:col>5</xdr:col>
          <xdr:colOff>0</xdr:colOff>
          <xdr:row>8</xdr:row>
          <xdr:rowOff>0</xdr:rowOff>
        </xdr:to>
        <xdr:sp macro="" textlink="">
          <xdr:nvSpPr>
            <xdr:cNvPr id="3077" name="ComboBox5" hidden="1">
              <a:extLst>
                <a:ext uri="{63B3BB69-23CF-44E3-9099-C40C66FF867C}">
                  <a14:compatExt spid="_x0000_s3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7</xdr:row>
          <xdr:rowOff>0</xdr:rowOff>
        </xdr:from>
        <xdr:to>
          <xdr:col>4</xdr:col>
          <xdr:colOff>0</xdr:colOff>
          <xdr:row>8</xdr:row>
          <xdr:rowOff>0</xdr:rowOff>
        </xdr:to>
        <xdr:sp macro="" textlink="">
          <xdr:nvSpPr>
            <xdr:cNvPr id="3078" name="ComboBox6" hidden="1">
              <a:extLst>
                <a:ext uri="{63B3BB69-23CF-44E3-9099-C40C66FF867C}">
                  <a14:compatExt spid="_x0000_s3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xdr:row>
          <xdr:rowOff>0</xdr:rowOff>
        </xdr:from>
        <xdr:to>
          <xdr:col>4</xdr:col>
          <xdr:colOff>0</xdr:colOff>
          <xdr:row>6</xdr:row>
          <xdr:rowOff>0</xdr:rowOff>
        </xdr:to>
        <xdr:sp macro="" textlink="">
          <xdr:nvSpPr>
            <xdr:cNvPr id="3079" name="ComboBox7" hidden="1">
              <a:extLst>
                <a:ext uri="{63B3BB69-23CF-44E3-9099-C40C66FF867C}">
                  <a14:compatExt spid="_x0000_s3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xdr:row>
          <xdr:rowOff>0</xdr:rowOff>
        </xdr:from>
        <xdr:to>
          <xdr:col>4</xdr:col>
          <xdr:colOff>0</xdr:colOff>
          <xdr:row>5</xdr:row>
          <xdr:rowOff>0</xdr:rowOff>
        </xdr:to>
        <xdr:sp macro="" textlink="">
          <xdr:nvSpPr>
            <xdr:cNvPr id="3080" name="ComboBox8" hidden="1">
              <a:extLst>
                <a:ext uri="{63B3BB69-23CF-44E3-9099-C40C66FF867C}">
                  <a14:compatExt spid="_x0000_s3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0</xdr:colOff>
      <xdr:row>10</xdr:row>
      <xdr:rowOff>0</xdr:rowOff>
    </xdr:from>
    <xdr:to>
      <xdr:col>5</xdr:col>
      <xdr:colOff>0</xdr:colOff>
      <xdr:row>10</xdr:row>
      <xdr:rowOff>0</xdr:rowOff>
    </xdr:to>
    <xdr:pic>
      <xdr:nvPicPr>
        <xdr:cNvPr id="3081" name="ComboBox9"/>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86050" y="2333625"/>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5</xdr:col>
      <xdr:colOff>0</xdr:colOff>
      <xdr:row>10</xdr:row>
      <xdr:rowOff>0</xdr:rowOff>
    </xdr:from>
    <xdr:to>
      <xdr:col>5</xdr:col>
      <xdr:colOff>0</xdr:colOff>
      <xdr:row>10</xdr:row>
      <xdr:rowOff>0</xdr:rowOff>
    </xdr:to>
    <xdr:pic>
      <xdr:nvPicPr>
        <xdr:cNvPr id="3082" name="ComboBox10"/>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86050" y="2333625"/>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5</xdr:col>
      <xdr:colOff>0</xdr:colOff>
      <xdr:row>10</xdr:row>
      <xdr:rowOff>0</xdr:rowOff>
    </xdr:from>
    <xdr:to>
      <xdr:col>5</xdr:col>
      <xdr:colOff>0</xdr:colOff>
      <xdr:row>10</xdr:row>
      <xdr:rowOff>0</xdr:rowOff>
    </xdr:to>
    <xdr:pic>
      <xdr:nvPicPr>
        <xdr:cNvPr id="3083" name="ComboBox11"/>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686050" y="2333625"/>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5</xdr:col>
      <xdr:colOff>0</xdr:colOff>
      <xdr:row>10</xdr:row>
      <xdr:rowOff>0</xdr:rowOff>
    </xdr:from>
    <xdr:to>
      <xdr:col>5</xdr:col>
      <xdr:colOff>0</xdr:colOff>
      <xdr:row>10</xdr:row>
      <xdr:rowOff>0</xdr:rowOff>
    </xdr:to>
    <xdr:pic>
      <xdr:nvPicPr>
        <xdr:cNvPr id="3084" name="ComboBox12"/>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686050" y="2333625"/>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0</xdr:colOff>
          <xdr:row>9</xdr:row>
          <xdr:rowOff>0</xdr:rowOff>
        </xdr:from>
        <xdr:to>
          <xdr:col>5</xdr:col>
          <xdr:colOff>0</xdr:colOff>
          <xdr:row>10</xdr:row>
          <xdr:rowOff>0</xdr:rowOff>
        </xdr:to>
        <xdr:sp macro="" textlink="">
          <xdr:nvSpPr>
            <xdr:cNvPr id="3085" name="ComboBox14" hidden="1">
              <a:extLst>
                <a:ext uri="{63B3BB69-23CF-44E3-9099-C40C66FF867C}">
                  <a14:compatExt spid="_x0000_s3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0</xdr:colOff>
      <xdr:row>10</xdr:row>
      <xdr:rowOff>0</xdr:rowOff>
    </xdr:from>
    <xdr:to>
      <xdr:col>5</xdr:col>
      <xdr:colOff>0</xdr:colOff>
      <xdr:row>10</xdr:row>
      <xdr:rowOff>0</xdr:rowOff>
    </xdr:to>
    <xdr:pic>
      <xdr:nvPicPr>
        <xdr:cNvPr id="3086" name="ComboBox13"/>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686050" y="2333625"/>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5</xdr:col>
      <xdr:colOff>0</xdr:colOff>
      <xdr:row>10</xdr:row>
      <xdr:rowOff>0</xdr:rowOff>
    </xdr:from>
    <xdr:to>
      <xdr:col>5</xdr:col>
      <xdr:colOff>0</xdr:colOff>
      <xdr:row>10</xdr:row>
      <xdr:rowOff>0</xdr:rowOff>
    </xdr:to>
    <xdr:pic>
      <xdr:nvPicPr>
        <xdr:cNvPr id="3087" name="ComboBox15"/>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686050" y="2333625"/>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0</xdr:colOff>
      <xdr:row>0</xdr:row>
      <xdr:rowOff>156881</xdr:rowOff>
    </xdr:from>
    <xdr:to>
      <xdr:col>29</xdr:col>
      <xdr:colOff>274003</xdr:colOff>
      <xdr:row>50</xdr:row>
      <xdr:rowOff>56028</xdr:rowOff>
    </xdr:to>
    <xdr:pic>
      <xdr:nvPicPr>
        <xdr:cNvPr id="2" name="Picture 1" descr="NBCC-2005 Commentary I, Fig I-7.jpg"/>
        <xdr:cNvPicPr>
          <a:picLocks noChangeAspect="1"/>
        </xdr:cNvPicPr>
      </xdr:nvPicPr>
      <xdr:blipFill>
        <a:blip xmlns:r="http://schemas.openxmlformats.org/officeDocument/2006/relationships" r:embed="rId1" cstate="print"/>
        <a:stretch>
          <a:fillRect/>
        </a:stretch>
      </xdr:blipFill>
      <xdr:spPr>
        <a:xfrm>
          <a:off x="9513794" y="156881"/>
          <a:ext cx="5114944" cy="8505265"/>
        </a:xfrm>
        <a:prstGeom prst="rect">
          <a:avLst/>
        </a:prstGeom>
        <a:ln>
          <a:solidFill>
            <a:sysClr val="windowText" lastClr="000000"/>
          </a:solidFill>
        </a:ln>
      </xdr:spPr>
    </xdr:pic>
    <xdr:clientData/>
  </xdr:twoCellAnchor>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10</xdr:col>
          <xdr:colOff>0</xdr:colOff>
          <xdr:row>16</xdr:row>
          <xdr:rowOff>9525</xdr:rowOff>
        </xdr:to>
        <xdr:sp macro="" textlink="">
          <xdr:nvSpPr>
            <xdr:cNvPr id="15362" name="Drop Down 2"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xdr:row>
          <xdr:rowOff>0</xdr:rowOff>
        </xdr:from>
        <xdr:to>
          <xdr:col>10</xdr:col>
          <xdr:colOff>0</xdr:colOff>
          <xdr:row>13</xdr:row>
          <xdr:rowOff>0</xdr:rowOff>
        </xdr:to>
        <xdr:sp macro="" textlink="">
          <xdr:nvSpPr>
            <xdr:cNvPr id="15364" name="Drop Down 4"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10</xdr:col>
          <xdr:colOff>0</xdr:colOff>
          <xdr:row>18</xdr:row>
          <xdr:rowOff>9525</xdr:rowOff>
        </xdr:to>
        <xdr:sp macro="" textlink="">
          <xdr:nvSpPr>
            <xdr:cNvPr id="15366" name="Drop Down 6" hidden="1">
              <a:extLst>
                <a:ext uri="{63B3BB69-23CF-44E3-9099-C40C66FF867C}">
                  <a14:compatExt spid="_x0000_s15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0</xdr:colOff>
      <xdr:row>1</xdr:row>
      <xdr:rowOff>0</xdr:rowOff>
    </xdr:from>
    <xdr:to>
      <xdr:col>23</xdr:col>
      <xdr:colOff>14443</xdr:colOff>
      <xdr:row>22</xdr:row>
      <xdr:rowOff>0</xdr:rowOff>
    </xdr:to>
    <xdr:pic>
      <xdr:nvPicPr>
        <xdr:cNvPr id="2" name="Picture 2" descr="NBCC-2005, Commentary G, Fig G-1.jpg"/>
        <xdr:cNvPicPr>
          <a:picLocks noChangeAspect="1"/>
        </xdr:cNvPicPr>
      </xdr:nvPicPr>
      <xdr:blipFill>
        <a:blip xmlns:r="http://schemas.openxmlformats.org/officeDocument/2006/relationships" r:embed="rId1" cstate="print"/>
        <a:srcRect/>
        <a:stretch>
          <a:fillRect/>
        </a:stretch>
      </xdr:blipFill>
      <xdr:spPr bwMode="auto">
        <a:xfrm>
          <a:off x="9962029" y="156882"/>
          <a:ext cx="6670738" cy="3810000"/>
        </a:xfrm>
        <a:prstGeom prst="rect">
          <a:avLst/>
        </a:prstGeom>
        <a:noFill/>
        <a:ln w="9525">
          <a:solidFill>
            <a:schemeClr val="accent1"/>
          </a:solid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3</xdr:col>
          <xdr:colOff>0</xdr:colOff>
          <xdr:row>4</xdr:row>
          <xdr:rowOff>0</xdr:rowOff>
        </xdr:from>
        <xdr:to>
          <xdr:col>4</xdr:col>
          <xdr:colOff>0</xdr:colOff>
          <xdr:row>5</xdr:row>
          <xdr:rowOff>0</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4</xdr:col>
          <xdr:colOff>0</xdr:colOff>
          <xdr:row>13</xdr:row>
          <xdr:rowOff>0</xdr:rowOff>
        </xdr:to>
        <xdr:sp macro="" textlink="">
          <xdr:nvSpPr>
            <xdr:cNvPr id="2054" name="Drop Down 6"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4</xdr:col>
          <xdr:colOff>0</xdr:colOff>
          <xdr:row>12</xdr:row>
          <xdr:rowOff>0</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10</xdr:col>
          <xdr:colOff>0</xdr:colOff>
          <xdr:row>16</xdr:row>
          <xdr:rowOff>0</xdr:rowOff>
        </xdr:to>
        <xdr:sp macro="" textlink="">
          <xdr:nvSpPr>
            <xdr:cNvPr id="6146" name="Scroll Bar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10</xdr:col>
          <xdr:colOff>0</xdr:colOff>
          <xdr:row>13</xdr:row>
          <xdr:rowOff>0</xdr:rowOff>
        </xdr:to>
        <xdr:sp macro="" textlink="">
          <xdr:nvSpPr>
            <xdr:cNvPr id="6147" name="Scroll Bar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10</xdr:col>
          <xdr:colOff>0</xdr:colOff>
          <xdr:row>6</xdr:row>
          <xdr:rowOff>0</xdr:rowOff>
        </xdr:to>
        <xdr:sp macro="" textlink="">
          <xdr:nvSpPr>
            <xdr:cNvPr id="6148" name="Scroll Bar 4" hidden="1">
              <a:extLst>
                <a:ext uri="{63B3BB69-23CF-44E3-9099-C40C66FF867C}">
                  <a14:compatExt spid="_x0000_s61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10</xdr:col>
          <xdr:colOff>0</xdr:colOff>
          <xdr:row>11</xdr:row>
          <xdr:rowOff>0</xdr:rowOff>
        </xdr:to>
        <xdr:sp macro="" textlink="">
          <xdr:nvSpPr>
            <xdr:cNvPr id="6149" name="Scroll Bar 5" hidden="1">
              <a:extLst>
                <a:ext uri="{63B3BB69-23CF-44E3-9099-C40C66FF867C}">
                  <a14:compatExt spid="_x0000_s61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10</xdr:col>
          <xdr:colOff>0</xdr:colOff>
          <xdr:row>4</xdr:row>
          <xdr:rowOff>0</xdr:rowOff>
        </xdr:to>
        <xdr:sp macro="" textlink="">
          <xdr:nvSpPr>
            <xdr:cNvPr id="6150" name="Scroll Bar 6" hidden="1">
              <a:extLst>
                <a:ext uri="{63B3BB69-23CF-44E3-9099-C40C66FF867C}">
                  <a14:compatExt spid="_x0000_s61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63</xdr:row>
          <xdr:rowOff>0</xdr:rowOff>
        </xdr:from>
        <xdr:to>
          <xdr:col>10</xdr:col>
          <xdr:colOff>0</xdr:colOff>
          <xdr:row>64</xdr:row>
          <xdr:rowOff>0</xdr:rowOff>
        </xdr:to>
        <xdr:sp macro="" textlink="">
          <xdr:nvSpPr>
            <xdr:cNvPr id="6151" name="Scroll Bar 7" hidden="1">
              <a:extLst>
                <a:ext uri="{63B3BB69-23CF-44E3-9099-C40C66FF867C}">
                  <a14:compatExt spid="_x0000_s61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56</xdr:row>
          <xdr:rowOff>0</xdr:rowOff>
        </xdr:from>
        <xdr:to>
          <xdr:col>10</xdr:col>
          <xdr:colOff>0</xdr:colOff>
          <xdr:row>57</xdr:row>
          <xdr:rowOff>0</xdr:rowOff>
        </xdr:to>
        <xdr:sp macro="" textlink="">
          <xdr:nvSpPr>
            <xdr:cNvPr id="6152" name="Drop Down 8"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53</xdr:row>
          <xdr:rowOff>0</xdr:rowOff>
        </xdr:from>
        <xdr:to>
          <xdr:col>10</xdr:col>
          <xdr:colOff>0</xdr:colOff>
          <xdr:row>54</xdr:row>
          <xdr:rowOff>0</xdr:rowOff>
        </xdr:to>
        <xdr:sp macro="" textlink="">
          <xdr:nvSpPr>
            <xdr:cNvPr id="6153" name="Drop Down 9"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xdr:row>
          <xdr:rowOff>0</xdr:rowOff>
        </xdr:from>
        <xdr:to>
          <xdr:col>10</xdr:col>
          <xdr:colOff>0</xdr:colOff>
          <xdr:row>55</xdr:row>
          <xdr:rowOff>0</xdr:rowOff>
        </xdr:to>
        <xdr:sp macro="" textlink="">
          <xdr:nvSpPr>
            <xdr:cNvPr id="6154" name="Drop Down 10" hidden="1">
              <a:extLst>
                <a:ext uri="{63B3BB69-23CF-44E3-9099-C40C66FF867C}">
                  <a14:compatExt spid="_x0000_s61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58</xdr:row>
          <xdr:rowOff>0</xdr:rowOff>
        </xdr:from>
        <xdr:to>
          <xdr:col>10</xdr:col>
          <xdr:colOff>0</xdr:colOff>
          <xdr:row>59</xdr:row>
          <xdr:rowOff>0</xdr:rowOff>
        </xdr:to>
        <xdr:sp macro="" textlink="">
          <xdr:nvSpPr>
            <xdr:cNvPr id="6163" name="Drop Down 19" hidden="1">
              <a:extLst>
                <a:ext uri="{63B3BB69-23CF-44E3-9099-C40C66FF867C}">
                  <a14:compatExt spid="_x0000_s61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29</xdr:row>
          <xdr:rowOff>0</xdr:rowOff>
        </xdr:from>
        <xdr:to>
          <xdr:col>10</xdr:col>
          <xdr:colOff>0</xdr:colOff>
          <xdr:row>29</xdr:row>
          <xdr:rowOff>190500</xdr:rowOff>
        </xdr:to>
        <xdr:sp macro="" textlink="">
          <xdr:nvSpPr>
            <xdr:cNvPr id="6164" name="Scroll Bar 20" hidden="1">
              <a:extLst>
                <a:ext uri="{63B3BB69-23CF-44E3-9099-C40C66FF867C}">
                  <a14:compatExt spid="_x0000_s61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10</xdr:col>
          <xdr:colOff>0</xdr:colOff>
          <xdr:row>24</xdr:row>
          <xdr:rowOff>0</xdr:rowOff>
        </xdr:to>
        <xdr:sp macro="" textlink="">
          <xdr:nvSpPr>
            <xdr:cNvPr id="6165" name="Drop Down 21" hidden="1">
              <a:extLst>
                <a:ext uri="{63B3BB69-23CF-44E3-9099-C40C66FF867C}">
                  <a14:compatExt spid="_x0000_s61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22</xdr:row>
          <xdr:rowOff>0</xdr:rowOff>
        </xdr:from>
        <xdr:to>
          <xdr:col>10</xdr:col>
          <xdr:colOff>0</xdr:colOff>
          <xdr:row>23</xdr:row>
          <xdr:rowOff>0</xdr:rowOff>
        </xdr:to>
        <xdr:sp macro="" textlink="">
          <xdr:nvSpPr>
            <xdr:cNvPr id="6166" name="Drop Down 22" hidden="1">
              <a:extLst>
                <a:ext uri="{63B3BB69-23CF-44E3-9099-C40C66FF867C}">
                  <a14:compatExt spid="_x0000_s6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10</xdr:col>
          <xdr:colOff>0</xdr:colOff>
          <xdr:row>25</xdr:row>
          <xdr:rowOff>0</xdr:rowOff>
        </xdr:to>
        <xdr:sp macro="" textlink="">
          <xdr:nvSpPr>
            <xdr:cNvPr id="6167" name="Drop Down 23" hidden="1">
              <a:extLst>
                <a:ext uri="{63B3BB69-23CF-44E3-9099-C40C66FF867C}">
                  <a14:compatExt spid="_x0000_s6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10</xdr:col>
          <xdr:colOff>0</xdr:colOff>
          <xdr:row>25</xdr:row>
          <xdr:rowOff>228600</xdr:rowOff>
        </xdr:to>
        <xdr:sp macro="" textlink="">
          <xdr:nvSpPr>
            <xdr:cNvPr id="6169" name="Drop Down 25" hidden="1">
              <a:extLst>
                <a:ext uri="{63B3BB69-23CF-44E3-9099-C40C66FF867C}">
                  <a14:compatExt spid="_x0000_s6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10</xdr:col>
          <xdr:colOff>0</xdr:colOff>
          <xdr:row>28</xdr:row>
          <xdr:rowOff>0</xdr:rowOff>
        </xdr:to>
        <xdr:sp macro="" textlink="">
          <xdr:nvSpPr>
            <xdr:cNvPr id="6170" name="Drop Down 26" hidden="1">
              <a:extLst>
                <a:ext uri="{63B3BB69-23CF-44E3-9099-C40C66FF867C}">
                  <a14:compatExt spid="_x0000_s6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41</xdr:row>
          <xdr:rowOff>0</xdr:rowOff>
        </xdr:from>
        <xdr:to>
          <xdr:col>10</xdr:col>
          <xdr:colOff>0</xdr:colOff>
          <xdr:row>42</xdr:row>
          <xdr:rowOff>0</xdr:rowOff>
        </xdr:to>
        <xdr:sp macro="" textlink="">
          <xdr:nvSpPr>
            <xdr:cNvPr id="6171" name="Drop Down 27" hidden="1">
              <a:extLst>
                <a:ext uri="{63B3BB69-23CF-44E3-9099-C40C66FF867C}">
                  <a14:compatExt spid="_x0000_s6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33</xdr:row>
          <xdr:rowOff>0</xdr:rowOff>
        </xdr:from>
        <xdr:to>
          <xdr:col>10</xdr:col>
          <xdr:colOff>0</xdr:colOff>
          <xdr:row>34</xdr:row>
          <xdr:rowOff>0</xdr:rowOff>
        </xdr:to>
        <xdr:sp macro="" textlink="">
          <xdr:nvSpPr>
            <xdr:cNvPr id="6172" name="Drop Down 28" hidden="1">
              <a:extLst>
                <a:ext uri="{63B3BB69-23CF-44E3-9099-C40C66FF867C}">
                  <a14:compatExt spid="_x0000_s6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2</xdr:row>
          <xdr:rowOff>0</xdr:rowOff>
        </xdr:to>
        <xdr:sp macro="" textlink="">
          <xdr:nvSpPr>
            <xdr:cNvPr id="10241" name="Spinner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0</xdr:colOff>
          <xdr:row>1</xdr:row>
          <xdr:rowOff>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xdr:row>
          <xdr:rowOff>0</xdr:rowOff>
        </xdr:from>
        <xdr:to>
          <xdr:col>6</xdr:col>
          <xdr:colOff>0</xdr:colOff>
          <xdr:row>2</xdr:row>
          <xdr:rowOff>0</xdr:rowOff>
        </xdr:to>
        <xdr:sp macro="" textlink="">
          <xdr:nvSpPr>
            <xdr:cNvPr id="10243" name="Button 3"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10</xdr:col>
          <xdr:colOff>0</xdr:colOff>
          <xdr:row>4</xdr:row>
          <xdr:rowOff>0</xdr:rowOff>
        </xdr:to>
        <xdr:sp macro="" textlink="">
          <xdr:nvSpPr>
            <xdr:cNvPr id="24577" name="Drop Down 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xdr:row>
          <xdr:rowOff>0</xdr:rowOff>
        </xdr:from>
        <xdr:to>
          <xdr:col>10</xdr:col>
          <xdr:colOff>0</xdr:colOff>
          <xdr:row>13</xdr:row>
          <xdr:rowOff>0</xdr:rowOff>
        </xdr:to>
        <xdr:sp macro="" textlink="">
          <xdr:nvSpPr>
            <xdr:cNvPr id="24578" name="Drop Down 2" hidden="1">
              <a:extLst>
                <a:ext uri="{63B3BB69-23CF-44E3-9099-C40C66FF867C}">
                  <a14:compatExt spid="_x0000_s24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xdr:row>
          <xdr:rowOff>0</xdr:rowOff>
        </xdr:from>
        <xdr:to>
          <xdr:col>10</xdr:col>
          <xdr:colOff>0</xdr:colOff>
          <xdr:row>14</xdr:row>
          <xdr:rowOff>0</xdr:rowOff>
        </xdr:to>
        <xdr:sp macro="" textlink="">
          <xdr:nvSpPr>
            <xdr:cNvPr id="24580" name="Drop Down 4" hidden="1">
              <a:extLst>
                <a:ext uri="{63B3BB69-23CF-44E3-9099-C40C66FF867C}">
                  <a14:compatExt spid="_x0000_s24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ontrol" Target="../activeX/activeX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6.xml"/><Relationship Id="rId17" Type="http://schemas.openxmlformats.org/officeDocument/2006/relationships/image" Target="../media/image5.emf"/><Relationship Id="rId2" Type="http://schemas.openxmlformats.org/officeDocument/2006/relationships/drawing" Target="../drawings/drawing1.xml"/><Relationship Id="rId16"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5.xml"/><Relationship Id="rId5" Type="http://schemas.openxmlformats.org/officeDocument/2006/relationships/image" Target="../media/image1.emf"/><Relationship Id="rId15" Type="http://schemas.openxmlformats.org/officeDocument/2006/relationships/image" Target="../media/image4.emf"/><Relationship Id="rId10" Type="http://schemas.openxmlformats.org/officeDocument/2006/relationships/image" Target="../media/image3.emf"/><Relationship Id="rId4" Type="http://schemas.openxmlformats.org/officeDocument/2006/relationships/control" Target="../activeX/activeX1.xml"/><Relationship Id="rId9" Type="http://schemas.openxmlformats.org/officeDocument/2006/relationships/control" Target="../activeX/activeX4.xml"/><Relationship Id="rId14" Type="http://schemas.openxmlformats.org/officeDocument/2006/relationships/control" Target="../activeX/activeX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18" Type="http://schemas.openxmlformats.org/officeDocument/2006/relationships/ctrlProp" Target="../ctrlProps/ctrlProp21.xml"/><Relationship Id="rId3" Type="http://schemas.openxmlformats.org/officeDocument/2006/relationships/vmlDrawing" Target="../drawings/vmlDrawing4.vml"/><Relationship Id="rId21" Type="http://schemas.openxmlformats.org/officeDocument/2006/relationships/ctrlProp" Target="../ctrlProps/ctrlProp24.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 Type="http://schemas.openxmlformats.org/officeDocument/2006/relationships/drawing" Target="../drawings/drawing4.xml"/><Relationship Id="rId16" Type="http://schemas.openxmlformats.org/officeDocument/2006/relationships/ctrlProp" Target="../ctrlProps/ctrlProp19.xml"/><Relationship Id="rId20" Type="http://schemas.openxmlformats.org/officeDocument/2006/relationships/ctrlProp" Target="../ctrlProps/ctrlProp23.xml"/><Relationship Id="rId1" Type="http://schemas.openxmlformats.org/officeDocument/2006/relationships/printerSettings" Target="../printerSettings/printerSettings5.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5" Type="http://schemas.openxmlformats.org/officeDocument/2006/relationships/ctrlProp" Target="../ctrlProps/ctrlProp18.xml"/><Relationship Id="rId10" Type="http://schemas.openxmlformats.org/officeDocument/2006/relationships/ctrlProp" Target="../ctrlProps/ctrlProp13.xml"/><Relationship Id="rId19" Type="http://schemas.openxmlformats.org/officeDocument/2006/relationships/ctrlProp" Target="../ctrlProps/ctrlProp22.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 Id="rId22"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9.vml"/><Relationship Id="rId1" Type="http://schemas.openxmlformats.org/officeDocument/2006/relationships/drawing" Target="../drawings/drawing6.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A19"/>
  <sheetViews>
    <sheetView workbookViewId="0">
      <selection activeCell="D25" sqref="D25"/>
    </sheetView>
  </sheetViews>
  <sheetFormatPr defaultRowHeight="18" x14ac:dyDescent="0.2"/>
  <cols>
    <col min="1" max="1" width="3.28515625" style="40" customWidth="1"/>
    <col min="2" max="4" width="9.28515625" style="41" customWidth="1"/>
    <col min="5" max="14" width="9.140625" style="41"/>
    <col min="15" max="15" width="2.5703125" style="41" customWidth="1"/>
    <col min="16" max="16384" width="9.140625" style="41"/>
  </cols>
  <sheetData>
    <row r="1" spans="1:27" x14ac:dyDescent="0.2">
      <c r="F1" s="40">
        <v>16</v>
      </c>
      <c r="G1" s="40">
        <v>17</v>
      </c>
      <c r="H1" s="40">
        <v>18</v>
      </c>
      <c r="I1" s="40">
        <v>19</v>
      </c>
      <c r="J1" s="40">
        <v>20</v>
      </c>
      <c r="K1" s="40">
        <v>21</v>
      </c>
      <c r="L1" s="40">
        <v>22</v>
      </c>
      <c r="M1" s="40">
        <v>23</v>
      </c>
      <c r="N1" s="40">
        <v>24</v>
      </c>
      <c r="P1" s="40">
        <v>4</v>
      </c>
      <c r="Q1" s="40">
        <v>5</v>
      </c>
      <c r="R1" s="40">
        <v>6</v>
      </c>
      <c r="S1" s="40">
        <v>7</v>
      </c>
      <c r="T1" s="40">
        <v>8</v>
      </c>
      <c r="U1" s="40">
        <v>9</v>
      </c>
      <c r="V1" s="40">
        <v>10</v>
      </c>
      <c r="W1" s="40">
        <v>11</v>
      </c>
      <c r="X1" s="40">
        <v>12</v>
      </c>
      <c r="Y1" s="40">
        <v>13</v>
      </c>
      <c r="Z1" s="40">
        <v>14</v>
      </c>
      <c r="AA1" s="40">
        <v>15</v>
      </c>
    </row>
    <row r="2" spans="1:27" s="43" customFormat="1" x14ac:dyDescent="0.25">
      <c r="A2" s="42"/>
      <c r="B2" s="325" t="s">
        <v>195</v>
      </c>
      <c r="C2" s="325"/>
      <c r="D2" s="325"/>
      <c r="E2" s="325"/>
      <c r="F2" s="321" t="s">
        <v>205</v>
      </c>
      <c r="G2" s="321"/>
      <c r="H2" s="321" t="s">
        <v>206</v>
      </c>
      <c r="I2" s="321"/>
      <c r="J2" s="322" t="s">
        <v>207</v>
      </c>
      <c r="K2" s="322"/>
      <c r="L2" s="322"/>
      <c r="M2" s="322"/>
      <c r="N2" s="322"/>
      <c r="P2" s="326" t="s">
        <v>196</v>
      </c>
      <c r="Q2" s="322" t="s">
        <v>197</v>
      </c>
      <c r="R2" s="322"/>
      <c r="S2" s="322"/>
      <c r="T2" s="322"/>
      <c r="U2" s="320" t="s">
        <v>198</v>
      </c>
      <c r="V2" s="320" t="s">
        <v>199</v>
      </c>
      <c r="W2" s="320" t="s">
        <v>200</v>
      </c>
      <c r="X2" s="320" t="s">
        <v>201</v>
      </c>
      <c r="Y2" s="320" t="s">
        <v>202</v>
      </c>
      <c r="Z2" s="320" t="s">
        <v>203</v>
      </c>
      <c r="AA2" s="320" t="s">
        <v>204</v>
      </c>
    </row>
    <row r="3" spans="1:27" s="43" customFormat="1" x14ac:dyDescent="0.25">
      <c r="A3" s="42"/>
      <c r="B3" s="325"/>
      <c r="C3" s="325"/>
      <c r="D3" s="325"/>
      <c r="E3" s="325"/>
      <c r="F3" s="321"/>
      <c r="G3" s="321"/>
      <c r="H3" s="321"/>
      <c r="I3" s="321"/>
      <c r="J3" s="322"/>
      <c r="K3" s="322"/>
      <c r="L3" s="322"/>
      <c r="M3" s="322"/>
      <c r="N3" s="322"/>
      <c r="P3" s="326"/>
      <c r="Q3" s="322" t="s">
        <v>208</v>
      </c>
      <c r="R3" s="322"/>
      <c r="S3" s="322" t="s">
        <v>209</v>
      </c>
      <c r="T3" s="322"/>
      <c r="U3" s="320"/>
      <c r="V3" s="320"/>
      <c r="W3" s="320"/>
      <c r="X3" s="320"/>
      <c r="Y3" s="320"/>
      <c r="Z3" s="320"/>
      <c r="AA3" s="320"/>
    </row>
    <row r="4" spans="1:27" s="43" customFormat="1" ht="21" x14ac:dyDescent="0.35">
      <c r="A4" s="42"/>
      <c r="B4" s="325"/>
      <c r="C4" s="325"/>
      <c r="D4" s="325"/>
      <c r="E4" s="325"/>
      <c r="F4" s="45" t="s">
        <v>214</v>
      </c>
      <c r="G4" s="45" t="s">
        <v>215</v>
      </c>
      <c r="H4" s="46" t="s">
        <v>216</v>
      </c>
      <c r="I4" s="46" t="s">
        <v>217</v>
      </c>
      <c r="J4" s="47" t="s">
        <v>218</v>
      </c>
      <c r="K4" s="47" t="s">
        <v>219</v>
      </c>
      <c r="L4" s="47" t="s">
        <v>220</v>
      </c>
      <c r="M4" s="47" t="s">
        <v>221</v>
      </c>
      <c r="N4" s="48" t="s">
        <v>222</v>
      </c>
      <c r="P4" s="326"/>
      <c r="Q4" s="44" t="s">
        <v>210</v>
      </c>
      <c r="R4" s="44" t="s">
        <v>211</v>
      </c>
      <c r="S4" s="44" t="s">
        <v>212</v>
      </c>
      <c r="T4" s="44" t="s">
        <v>213</v>
      </c>
      <c r="U4" s="320"/>
      <c r="V4" s="320"/>
      <c r="W4" s="320"/>
      <c r="X4" s="320"/>
      <c r="Y4" s="320"/>
      <c r="Z4" s="320"/>
      <c r="AA4" s="320"/>
    </row>
    <row r="5" spans="1:27" x14ac:dyDescent="0.25">
      <c r="A5" s="42" t="s">
        <v>135</v>
      </c>
      <c r="B5" s="329" t="s">
        <v>223</v>
      </c>
      <c r="C5" s="330"/>
      <c r="D5" s="330"/>
      <c r="E5" s="49" t="s">
        <v>224</v>
      </c>
      <c r="F5" s="52">
        <f>IF($E5="","",VLOOKUP($B5,'NBCC_C-2'!$F$5:$AC$738,F$1))</f>
        <v>3</v>
      </c>
      <c r="G5" s="52">
        <f>IF($E5="","",VLOOKUP($B5,'NBCC_C-2'!$F$5:$AC$738,G$1))</f>
        <v>0.1</v>
      </c>
      <c r="H5" s="51">
        <f>IF($E5="","",VLOOKUP($B5,'NBCC_C-2'!$F$5:$AC$738,H$1))</f>
        <v>0.25</v>
      </c>
      <c r="I5" s="51">
        <f>IF($E5="","",VLOOKUP($B5,'NBCC_C-2'!$F$5:$AC$738,I$1))</f>
        <v>0.31</v>
      </c>
      <c r="J5" s="53">
        <f>IF($E5="","",VLOOKUP($B5,'NBCC_C-2'!$F$5:$AC$738,J$1))</f>
        <v>0.27</v>
      </c>
      <c r="K5" s="53">
        <f>IF($E5="","",VLOOKUP($B5,'NBCC_C-2'!$F$5:$AC$738,K$1))</f>
        <v>0.16</v>
      </c>
      <c r="L5" s="53">
        <f>IF($E5="","",VLOOKUP($B5,'NBCC_C-2'!$F$5:$AC$738,L$1))</f>
        <v>7.4999999999999997E-2</v>
      </c>
      <c r="M5" s="53">
        <f>IF($E5="","",VLOOKUP($B5,'NBCC_C-2'!$F$5:$AC$738,M$1))</f>
        <v>4.1000000000000002E-2</v>
      </c>
      <c r="N5" s="53">
        <f>IF($E5="","",VLOOKUP($B5,'NBCC_C-2'!$F$5:$AC$738,N$1))</f>
        <v>0.13</v>
      </c>
      <c r="P5" s="50">
        <f>IF($E5="","",VLOOKUP($B5,'NBCC_C-2'!$F$5:$AC$738,P$1))</f>
        <v>475</v>
      </c>
      <c r="Q5" s="50">
        <f>IF($E5="","",VLOOKUP($B5,'NBCC_C-2'!$F$5:$AC$738,Q$1))</f>
        <v>-33</v>
      </c>
      <c r="R5" s="50">
        <f>IF($E5="","",VLOOKUP($B5,'NBCC_C-2'!$F$5:$AC$738,R$1))</f>
        <v>-35</v>
      </c>
      <c r="S5" s="50">
        <f>IF($E5="","",VLOOKUP($B5,'NBCC_C-2'!$F$5:$AC$738,S$1))</f>
        <v>30</v>
      </c>
      <c r="T5" s="50">
        <f>IF($E5="","",VLOOKUP($B5,'NBCC_C-2'!$F$5:$AC$738,T$1))</f>
        <v>17</v>
      </c>
      <c r="U5" s="50">
        <f>IF($E5="","",VLOOKUP($B5,'NBCC_C-2'!$F$5:$AC$738,U$1))</f>
        <v>4850</v>
      </c>
      <c r="V5" s="50">
        <f>IF($E5="","",VLOOKUP($B5,'NBCC_C-2'!$F$5:$AC$738,V$1))</f>
        <v>10</v>
      </c>
      <c r="W5" s="50">
        <f>IF($E5="","",VLOOKUP($B5,'NBCC_C-2'!$F$5:$AC$738,W$1))</f>
        <v>54</v>
      </c>
      <c r="X5" s="50">
        <f>IF($E5="","",VLOOKUP($B5,'NBCC_C-2'!$F$5:$AC$738,X$1))</f>
        <v>380</v>
      </c>
      <c r="Y5" s="51">
        <f>IF($E5="","",VLOOKUP($B5,'NBCC_C-2'!$F$5:$AC$738,Y$1))</f>
        <v>0.51</v>
      </c>
      <c r="Z5" s="50">
        <f>IF($E5="","",VLOOKUP($B5,'NBCC_C-2'!$F$5:$AC$738,Z$1))</f>
        <v>525</v>
      </c>
      <c r="AA5" s="50">
        <f>IF($E5="","",VLOOKUP($B5,'NBCC_C-2'!$F$5:$AC$738,AA$1))</f>
        <v>80</v>
      </c>
    </row>
    <row r="6" spans="1:27" x14ac:dyDescent="0.25">
      <c r="A6" s="42" t="s">
        <v>81</v>
      </c>
      <c r="B6" s="331" t="s">
        <v>225</v>
      </c>
      <c r="C6" s="332"/>
      <c r="D6" s="332"/>
      <c r="E6" s="49" t="s">
        <v>225</v>
      </c>
      <c r="F6" s="52" t="str">
        <f>IF($E6="","",VLOOKUP($B6,'NBCC_C-2'!$F$5:$AC$738,F$1))</f>
        <v/>
      </c>
      <c r="G6" s="52" t="str">
        <f>IF($E6="","",VLOOKUP($B6,'NBCC_C-2'!$F$5:$AC$738,G$1))</f>
        <v/>
      </c>
      <c r="H6" s="51" t="str">
        <f>IF($E6="","",VLOOKUP($B6,'NBCC_C-2'!$F$5:$AC$738,H$1))</f>
        <v/>
      </c>
      <c r="I6" s="51" t="str">
        <f>IF($E6="","",VLOOKUP($B6,'NBCC_C-2'!$F$5:$AC$738,I$1))</f>
        <v/>
      </c>
      <c r="J6" s="53" t="str">
        <f>IF($E6="","",VLOOKUP($B6,'NBCC_C-2'!$F$5:$AC$738,J$1))</f>
        <v/>
      </c>
      <c r="K6" s="53" t="str">
        <f>IF($E6="","",VLOOKUP($B6,'NBCC_C-2'!$F$5:$AC$738,K$1))</f>
        <v/>
      </c>
      <c r="L6" s="53" t="str">
        <f>IF($E6="","",VLOOKUP($B6,'NBCC_C-2'!$F$5:$AC$738,L$1))</f>
        <v/>
      </c>
      <c r="M6" s="53" t="str">
        <f>IF($E6="","",VLOOKUP($B6,'NBCC_C-2'!$F$5:$AC$738,M$1))</f>
        <v/>
      </c>
      <c r="N6" s="53" t="str">
        <f>IF($E6="","",VLOOKUP($B6,'NBCC_C-2'!$F$5:$AC$738,N$1))</f>
        <v/>
      </c>
      <c r="P6" s="50" t="str">
        <f>IF($E6="","",VLOOKUP($B6,'NBCC_C-2'!$F$5:$AC$738,P$1))</f>
        <v/>
      </c>
      <c r="Q6" s="50" t="str">
        <f>IF($E6="","",VLOOKUP($B6,'NBCC_C-2'!$F$5:$AC$738,Q$1))</f>
        <v/>
      </c>
      <c r="R6" s="50" t="str">
        <f>IF($E6="","",VLOOKUP($B6,'NBCC_C-2'!$F$5:$AC$738,R$1))</f>
        <v/>
      </c>
      <c r="S6" s="50" t="str">
        <f>IF($E6="","",VLOOKUP($B6,'NBCC_C-2'!$F$5:$AC$738,S$1))</f>
        <v/>
      </c>
      <c r="T6" s="50" t="str">
        <f>IF($E6="","",VLOOKUP($B6,'NBCC_C-2'!$F$5:$AC$738,T$1))</f>
        <v/>
      </c>
      <c r="U6" s="50" t="str">
        <f>IF($E6="","",VLOOKUP($B6,'NBCC_C-2'!$F$5:$AC$738,U$1))</f>
        <v/>
      </c>
      <c r="V6" s="50" t="str">
        <f>IF($E6="","",VLOOKUP($B6,'NBCC_C-2'!$F$5:$AC$738,V$1))</f>
        <v/>
      </c>
      <c r="W6" s="50" t="str">
        <f>IF($E6="","",VLOOKUP($B6,'NBCC_C-2'!$F$5:$AC$738,W$1))</f>
        <v/>
      </c>
      <c r="X6" s="50" t="str">
        <f>IF($E6="","",VLOOKUP($B6,'NBCC_C-2'!$F$5:$AC$738,X$1))</f>
        <v/>
      </c>
      <c r="Y6" s="51" t="str">
        <f>IF($E6="","",VLOOKUP($B6,'NBCC_C-2'!$F$5:$AC$738,Y$1))</f>
        <v/>
      </c>
      <c r="Z6" s="50" t="str">
        <f>IF($E6="","",VLOOKUP($B6,'NBCC_C-2'!$F$5:$AC$738,Z$1))</f>
        <v/>
      </c>
      <c r="AA6" s="50" t="str">
        <f>IF($E6="","",VLOOKUP($B6,'NBCC_C-2'!$F$5:$AC$738,AA$1))</f>
        <v/>
      </c>
    </row>
    <row r="7" spans="1:27" x14ac:dyDescent="0.25">
      <c r="A7" s="42" t="s">
        <v>982</v>
      </c>
      <c r="B7" s="331" t="s">
        <v>225</v>
      </c>
      <c r="C7" s="332"/>
      <c r="D7" s="332"/>
      <c r="E7" s="49" t="s">
        <v>225</v>
      </c>
      <c r="F7" s="52" t="str">
        <f>IF($E7="","",VLOOKUP($B7,'NBCC_C-2'!$F$5:$AC$738,F$1))</f>
        <v/>
      </c>
      <c r="G7" s="52" t="str">
        <f>IF($E7="","",VLOOKUP($B7,'NBCC_C-2'!$F$5:$AC$738,G$1))</f>
        <v/>
      </c>
      <c r="H7" s="51" t="str">
        <f>IF($E7="","",VLOOKUP($B7,'NBCC_C-2'!$F$5:$AC$738,H$1))</f>
        <v/>
      </c>
      <c r="I7" s="51" t="str">
        <f>IF($E7="","",VLOOKUP($B7,'NBCC_C-2'!$F$5:$AC$738,I$1))</f>
        <v/>
      </c>
      <c r="J7" s="53" t="str">
        <f>IF($E7="","",VLOOKUP($B7,'NBCC_C-2'!$F$5:$AC$738,J$1))</f>
        <v/>
      </c>
      <c r="K7" s="53" t="str">
        <f>IF($E7="","",VLOOKUP($B7,'NBCC_C-2'!$F$5:$AC$738,K$1))</f>
        <v/>
      </c>
      <c r="L7" s="53" t="str">
        <f>IF($E7="","",VLOOKUP($B7,'NBCC_C-2'!$F$5:$AC$738,L$1))</f>
        <v/>
      </c>
      <c r="M7" s="53" t="str">
        <f>IF($E7="","",VLOOKUP($B7,'NBCC_C-2'!$F$5:$AC$738,M$1))</f>
        <v/>
      </c>
      <c r="N7" s="53" t="str">
        <f>IF($E7="","",VLOOKUP($B7,'NBCC_C-2'!$F$5:$AC$738,N$1))</f>
        <v/>
      </c>
      <c r="P7" s="50" t="str">
        <f>IF($E7="","",VLOOKUP($B7,'NBCC_C-2'!$F$5:$AC$738,P$1))</f>
        <v/>
      </c>
      <c r="Q7" s="50" t="str">
        <f>IF($E7="","",VLOOKUP($B7,'NBCC_C-2'!$F$5:$AC$738,Q$1))</f>
        <v/>
      </c>
      <c r="R7" s="50" t="str">
        <f>IF($E7="","",VLOOKUP($B7,'NBCC_C-2'!$F$5:$AC$738,R$1))</f>
        <v/>
      </c>
      <c r="S7" s="50" t="str">
        <f>IF($E7="","",VLOOKUP($B7,'NBCC_C-2'!$F$5:$AC$738,S$1))</f>
        <v/>
      </c>
      <c r="T7" s="50" t="str">
        <f>IF($E7="","",VLOOKUP($B7,'NBCC_C-2'!$F$5:$AC$738,T$1))</f>
        <v/>
      </c>
      <c r="U7" s="50" t="str">
        <f>IF($E7="","",VLOOKUP($B7,'NBCC_C-2'!$F$5:$AC$738,U$1))</f>
        <v/>
      </c>
      <c r="V7" s="50" t="str">
        <f>IF($E7="","",VLOOKUP($B7,'NBCC_C-2'!$F$5:$AC$738,V$1))</f>
        <v/>
      </c>
      <c r="W7" s="50" t="str">
        <f>IF($E7="","",VLOOKUP($B7,'NBCC_C-2'!$F$5:$AC$738,W$1))</f>
        <v/>
      </c>
      <c r="X7" s="50" t="str">
        <f>IF($E7="","",VLOOKUP($B7,'NBCC_C-2'!$F$5:$AC$738,X$1))</f>
        <v/>
      </c>
      <c r="Y7" s="51" t="str">
        <f>IF($E7="","",VLOOKUP($B7,'NBCC_C-2'!$F$5:$AC$738,Y$1))</f>
        <v/>
      </c>
      <c r="Z7" s="50" t="str">
        <f>IF($E7="","",VLOOKUP($B7,'NBCC_C-2'!$F$5:$AC$738,Z$1))</f>
        <v/>
      </c>
      <c r="AA7" s="50" t="str">
        <f>IF($E7="","",VLOOKUP($B7,'NBCC_C-2'!$F$5:$AC$738,AA$1))</f>
        <v/>
      </c>
    </row>
    <row r="8" spans="1:27" x14ac:dyDescent="0.25">
      <c r="A8" s="42" t="s">
        <v>13</v>
      </c>
      <c r="B8" s="327" t="s">
        <v>225</v>
      </c>
      <c r="C8" s="328"/>
      <c r="D8" s="328"/>
      <c r="E8" s="49" t="s">
        <v>225</v>
      </c>
      <c r="F8" s="52" t="str">
        <f>IF($E8="","",VLOOKUP($B8,'NBCC_C-2'!$F$5:$AC$738,F$1))</f>
        <v/>
      </c>
      <c r="G8" s="52" t="str">
        <f>IF($E8="","",VLOOKUP($B8,'NBCC_C-2'!$F$5:$AC$738,G$1))</f>
        <v/>
      </c>
      <c r="H8" s="51" t="str">
        <f>IF($E8="","",VLOOKUP($B8,'NBCC_C-2'!$F$5:$AC$738,H$1))</f>
        <v/>
      </c>
      <c r="I8" s="51" t="str">
        <f>IF($E8="","",VLOOKUP($B8,'NBCC_C-2'!$F$5:$AC$738,I$1))</f>
        <v/>
      </c>
      <c r="J8" s="53" t="str">
        <f>IF($E8="","",VLOOKUP($B8,'NBCC_C-2'!$F$5:$AC$738,J$1))</f>
        <v/>
      </c>
      <c r="K8" s="53" t="str">
        <f>IF($E8="","",VLOOKUP($B8,'NBCC_C-2'!$F$5:$AC$738,K$1))</f>
        <v/>
      </c>
      <c r="L8" s="53" t="str">
        <f>IF($E8="","",VLOOKUP($B8,'NBCC_C-2'!$F$5:$AC$738,L$1))</f>
        <v/>
      </c>
      <c r="M8" s="53" t="str">
        <f>IF($E8="","",VLOOKUP($B8,'NBCC_C-2'!$F$5:$AC$738,M$1))</f>
        <v/>
      </c>
      <c r="N8" s="53" t="str">
        <f>IF($E8="","",VLOOKUP($B8,'NBCC_C-2'!$F$5:$AC$738,N$1))</f>
        <v/>
      </c>
      <c r="P8" s="50" t="str">
        <f>IF($E8="","",VLOOKUP($B8,'NBCC_C-2'!$F$5:$AC$738,P$1))</f>
        <v/>
      </c>
      <c r="Q8" s="50" t="str">
        <f>IF($E8="","",VLOOKUP($B8,'NBCC_C-2'!$F$5:$AC$738,Q$1))</f>
        <v/>
      </c>
      <c r="R8" s="50" t="str">
        <f>IF($E8="","",VLOOKUP($B8,'NBCC_C-2'!$F$5:$AC$738,R$1))</f>
        <v/>
      </c>
      <c r="S8" s="50" t="str">
        <f>IF($E8="","",VLOOKUP($B8,'NBCC_C-2'!$F$5:$AC$738,S$1))</f>
        <v/>
      </c>
      <c r="T8" s="50" t="str">
        <f>IF($E8="","",VLOOKUP($B8,'NBCC_C-2'!$F$5:$AC$738,T$1))</f>
        <v/>
      </c>
      <c r="U8" s="50" t="str">
        <f>IF($E8="","",VLOOKUP($B8,'NBCC_C-2'!$F$5:$AC$738,U$1))</f>
        <v/>
      </c>
      <c r="V8" s="50" t="str">
        <f>IF($E8="","",VLOOKUP($B8,'NBCC_C-2'!$F$5:$AC$738,V$1))</f>
        <v/>
      </c>
      <c r="W8" s="50" t="str">
        <f>IF($E8="","",VLOOKUP($B8,'NBCC_C-2'!$F$5:$AC$738,W$1))</f>
        <v/>
      </c>
      <c r="X8" s="50" t="str">
        <f>IF($E8="","",VLOOKUP($B8,'NBCC_C-2'!$F$5:$AC$738,X$1))</f>
        <v/>
      </c>
      <c r="Y8" s="51" t="str">
        <f>IF($E8="","",VLOOKUP($B8,'NBCC_C-2'!$F$5:$AC$738,Y$1))</f>
        <v/>
      </c>
      <c r="Z8" s="50" t="str">
        <f>IF($E8="","",VLOOKUP($B8,'NBCC_C-2'!$F$5:$AC$738,Z$1))</f>
        <v/>
      </c>
      <c r="AA8" s="50" t="str">
        <f>IF($E8="","",VLOOKUP($B8,'NBCC_C-2'!$F$5:$AC$738,AA$1))</f>
        <v/>
      </c>
    </row>
    <row r="9" spans="1:27" x14ac:dyDescent="0.25">
      <c r="A9" s="42" t="s">
        <v>21</v>
      </c>
      <c r="B9" s="333" t="s">
        <v>226</v>
      </c>
      <c r="C9" s="334"/>
      <c r="D9" s="334"/>
      <c r="E9" s="334"/>
      <c r="F9" s="56">
        <f t="shared" ref="F9:N9" si="0">MAX(F5:F8)</f>
        <v>3</v>
      </c>
      <c r="G9" s="56">
        <f t="shared" si="0"/>
        <v>0.1</v>
      </c>
      <c r="H9" s="55">
        <f t="shared" si="0"/>
        <v>0.25</v>
      </c>
      <c r="I9" s="55">
        <f t="shared" si="0"/>
        <v>0.31</v>
      </c>
      <c r="J9" s="57">
        <f t="shared" si="0"/>
        <v>0.27</v>
      </c>
      <c r="K9" s="57">
        <f t="shared" si="0"/>
        <v>0.16</v>
      </c>
      <c r="L9" s="57">
        <f t="shared" si="0"/>
        <v>7.4999999999999997E-2</v>
      </c>
      <c r="M9" s="57">
        <f t="shared" si="0"/>
        <v>4.1000000000000002E-2</v>
      </c>
      <c r="N9" s="57">
        <f t="shared" si="0"/>
        <v>0.13</v>
      </c>
      <c r="P9" s="120"/>
      <c r="Q9" s="54">
        <f>MIN(Q5:Q8)</f>
        <v>-33</v>
      </c>
      <c r="R9" s="54">
        <f>MIN(R5:R8)</f>
        <v>-35</v>
      </c>
      <c r="S9" s="54">
        <f t="shared" ref="S9:AA9" si="1">MAX(S5:S8)</f>
        <v>30</v>
      </c>
      <c r="T9" s="54">
        <f t="shared" si="1"/>
        <v>17</v>
      </c>
      <c r="U9" s="54">
        <f t="shared" si="1"/>
        <v>4850</v>
      </c>
      <c r="V9" s="54">
        <f t="shared" si="1"/>
        <v>10</v>
      </c>
      <c r="W9" s="54">
        <f t="shared" si="1"/>
        <v>54</v>
      </c>
      <c r="X9" s="54">
        <f t="shared" si="1"/>
        <v>380</v>
      </c>
      <c r="Y9" s="55">
        <f t="shared" si="1"/>
        <v>0.51</v>
      </c>
      <c r="Z9" s="54">
        <f t="shared" si="1"/>
        <v>525</v>
      </c>
      <c r="AA9" s="54">
        <f t="shared" si="1"/>
        <v>80</v>
      </c>
    </row>
    <row r="10" spans="1:27" ht="18.75" thickBot="1" x14ac:dyDescent="0.3">
      <c r="A10" s="42" t="s">
        <v>1064</v>
      </c>
      <c r="B10" s="335" t="s">
        <v>223</v>
      </c>
      <c r="C10" s="335"/>
      <c r="D10" s="335"/>
      <c r="E10" s="335"/>
      <c r="F10" s="116">
        <f t="shared" ref="F10:N10" si="2">INDEX(F$5:F$9,MATCH($B$10,$B$5:$B$9,0))</f>
        <v>3</v>
      </c>
      <c r="G10" s="116">
        <f t="shared" si="2"/>
        <v>0.1</v>
      </c>
      <c r="H10" s="117">
        <f t="shared" si="2"/>
        <v>0.25</v>
      </c>
      <c r="I10" s="117">
        <f t="shared" si="2"/>
        <v>0.31</v>
      </c>
      <c r="J10" s="118">
        <f t="shared" si="2"/>
        <v>0.27</v>
      </c>
      <c r="K10" s="118">
        <f t="shared" si="2"/>
        <v>0.16</v>
      </c>
      <c r="L10" s="118">
        <f t="shared" si="2"/>
        <v>7.4999999999999997E-2</v>
      </c>
      <c r="M10" s="118">
        <f t="shared" si="2"/>
        <v>4.1000000000000002E-2</v>
      </c>
      <c r="N10" s="118">
        <f t="shared" si="2"/>
        <v>0.13</v>
      </c>
      <c r="Q10" s="119">
        <f t="shared" ref="Q10:AA10" si="3">INDEX(Q$5:Q$9,MATCH($B$10,$B$5:$B$9,0))</f>
        <v>-33</v>
      </c>
      <c r="R10" s="119">
        <f t="shared" si="3"/>
        <v>-35</v>
      </c>
      <c r="S10" s="119">
        <f t="shared" si="3"/>
        <v>30</v>
      </c>
      <c r="T10" s="119">
        <f t="shared" si="3"/>
        <v>17</v>
      </c>
      <c r="U10" s="119">
        <f t="shared" si="3"/>
        <v>4850</v>
      </c>
      <c r="V10" s="119">
        <f t="shared" si="3"/>
        <v>10</v>
      </c>
      <c r="W10" s="119">
        <f t="shared" si="3"/>
        <v>54</v>
      </c>
      <c r="X10" s="119">
        <f t="shared" si="3"/>
        <v>380</v>
      </c>
      <c r="Y10" s="117">
        <f t="shared" si="3"/>
        <v>0.51</v>
      </c>
      <c r="Z10" s="119">
        <f t="shared" si="3"/>
        <v>525</v>
      </c>
      <c r="AA10" s="119">
        <f t="shared" si="3"/>
        <v>80</v>
      </c>
    </row>
    <row r="12" spans="1:27" x14ac:dyDescent="0.2">
      <c r="B12" s="323" t="s">
        <v>1065</v>
      </c>
      <c r="C12" s="324"/>
      <c r="D12" s="324"/>
      <c r="E12" s="324"/>
      <c r="F12" s="324"/>
      <c r="G12" s="324"/>
      <c r="H12" s="324"/>
      <c r="I12" s="324"/>
      <c r="J12" s="324"/>
      <c r="K12" s="324"/>
      <c r="L12" s="324"/>
      <c r="M12" s="324"/>
      <c r="N12" s="324"/>
    </row>
    <row r="13" spans="1:27" x14ac:dyDescent="0.2">
      <c r="B13" s="324"/>
      <c r="C13" s="324"/>
      <c r="D13" s="324"/>
      <c r="E13" s="324"/>
      <c r="F13" s="324"/>
      <c r="G13" s="324"/>
      <c r="H13" s="324"/>
      <c r="I13" s="324"/>
      <c r="J13" s="324"/>
      <c r="K13" s="324"/>
      <c r="L13" s="324"/>
      <c r="M13" s="324"/>
      <c r="N13" s="324"/>
    </row>
    <row r="14" spans="1:27" x14ac:dyDescent="0.2">
      <c r="B14" s="324"/>
      <c r="C14" s="324"/>
      <c r="D14" s="324"/>
      <c r="E14" s="324"/>
      <c r="F14" s="324"/>
      <c r="G14" s="324"/>
      <c r="H14" s="324"/>
      <c r="I14" s="324"/>
      <c r="J14" s="324"/>
      <c r="K14" s="324"/>
      <c r="L14" s="324"/>
      <c r="M14" s="324"/>
      <c r="N14" s="324"/>
    </row>
    <row r="15" spans="1:27" x14ac:dyDescent="0.2">
      <c r="B15" s="324"/>
      <c r="C15" s="324"/>
      <c r="D15" s="324"/>
      <c r="E15" s="324"/>
      <c r="F15" s="324"/>
      <c r="G15" s="324"/>
      <c r="H15" s="324"/>
      <c r="I15" s="324"/>
      <c r="J15" s="324"/>
      <c r="K15" s="324"/>
      <c r="L15" s="324"/>
      <c r="M15" s="324"/>
      <c r="N15" s="324"/>
    </row>
    <row r="16" spans="1:27" x14ac:dyDescent="0.2">
      <c r="B16" s="324"/>
      <c r="C16" s="324"/>
      <c r="D16" s="324"/>
      <c r="E16" s="324"/>
      <c r="F16" s="324"/>
      <c r="G16" s="324"/>
      <c r="H16" s="324"/>
      <c r="I16" s="324"/>
      <c r="J16" s="324"/>
      <c r="K16" s="324"/>
      <c r="L16" s="324"/>
      <c r="M16" s="324"/>
      <c r="N16" s="324"/>
    </row>
    <row r="17" spans="2:14" x14ac:dyDescent="0.2">
      <c r="B17" s="324"/>
      <c r="C17" s="324"/>
      <c r="D17" s="324"/>
      <c r="E17" s="324"/>
      <c r="F17" s="324"/>
      <c r="G17" s="324"/>
      <c r="H17" s="324"/>
      <c r="I17" s="324"/>
      <c r="J17" s="324"/>
      <c r="K17" s="324"/>
      <c r="L17" s="324"/>
      <c r="M17" s="324"/>
      <c r="N17" s="324"/>
    </row>
    <row r="18" spans="2:14" x14ac:dyDescent="0.2">
      <c r="B18" s="324"/>
      <c r="C18" s="324"/>
      <c r="D18" s="324"/>
      <c r="E18" s="324"/>
      <c r="F18" s="324"/>
      <c r="G18" s="324"/>
      <c r="H18" s="324"/>
      <c r="I18" s="324"/>
      <c r="J18" s="324"/>
      <c r="K18" s="324"/>
      <c r="L18" s="324"/>
      <c r="M18" s="324"/>
      <c r="N18" s="324"/>
    </row>
    <row r="19" spans="2:14" x14ac:dyDescent="0.2">
      <c r="B19" s="324"/>
      <c r="C19" s="324"/>
      <c r="D19" s="324"/>
      <c r="E19" s="324"/>
      <c r="F19" s="324"/>
      <c r="G19" s="324"/>
      <c r="H19" s="324"/>
      <c r="I19" s="324"/>
      <c r="J19" s="324"/>
      <c r="K19" s="324"/>
      <c r="L19" s="324"/>
      <c r="M19" s="324"/>
      <c r="N19" s="324"/>
    </row>
  </sheetData>
  <sheetProtection selectLockedCells="1"/>
  <mergeCells count="22">
    <mergeCell ref="B12:N19"/>
    <mergeCell ref="B2:E4"/>
    <mergeCell ref="P2:P4"/>
    <mergeCell ref="Q2:T2"/>
    <mergeCell ref="U2:U4"/>
    <mergeCell ref="B8:D8"/>
    <mergeCell ref="B5:D5"/>
    <mergeCell ref="B6:D6"/>
    <mergeCell ref="B9:E9"/>
    <mergeCell ref="B10:E10"/>
    <mergeCell ref="B7:D7"/>
    <mergeCell ref="Y2:Y4"/>
    <mergeCell ref="Z2:Z4"/>
    <mergeCell ref="AA2:AA4"/>
    <mergeCell ref="F2:G3"/>
    <mergeCell ref="H2:I3"/>
    <mergeCell ref="W2:W4"/>
    <mergeCell ref="V2:V4"/>
    <mergeCell ref="J2:N3"/>
    <mergeCell ref="Q3:R3"/>
    <mergeCell ref="S3:T3"/>
    <mergeCell ref="X2:X4"/>
  </mergeCells>
  <pageMargins left="0.75" right="0.75" top="1" bottom="1" header="0.5" footer="0.5"/>
  <pageSetup orientation="portrait" horizontalDpi="1200" verticalDpi="1200" r:id="rId1"/>
  <headerFooter alignWithMargins="0"/>
  <drawing r:id="rId2"/>
  <legacyDrawing r:id="rId3"/>
  <controls>
    <mc:AlternateContent xmlns:mc="http://schemas.openxmlformats.org/markup-compatibility/2006">
      <mc:Choice Requires="x14">
        <control shapeId="3073" r:id="rId4" name="ComboBox1">
          <controlPr defaultSize="0" autoLine="0" autoPict="0" linkedCell="B7" listFillRange="'NBCC_C-2'!AL3:AL223" r:id="rId5">
            <anchor moveWithCells="1" sizeWithCells="1">
              <from>
                <xdr:col>1</xdr:col>
                <xdr:colOff>0</xdr:colOff>
                <xdr:row>6</xdr:row>
                <xdr:rowOff>0</xdr:rowOff>
              </from>
              <to>
                <xdr:col>4</xdr:col>
                <xdr:colOff>0</xdr:colOff>
                <xdr:row>7</xdr:row>
                <xdr:rowOff>0</xdr:rowOff>
              </to>
            </anchor>
          </controlPr>
        </control>
      </mc:Choice>
      <mc:Fallback>
        <control shapeId="3073" r:id="rId4" name="ComboBox1"/>
      </mc:Fallback>
    </mc:AlternateContent>
    <mc:AlternateContent xmlns:mc="http://schemas.openxmlformats.org/markup-compatibility/2006">
      <mc:Choice Requires="x14">
        <control shapeId="3074" r:id="rId6" name="ComboBox2">
          <controlPr defaultSize="0" autoLine="0" autoPict="0" linkedCell="E7" listFillRange="'NBCC_C-2'!AE3:AE16" r:id="rId7">
            <anchor moveWithCells="1" sizeWithCells="1">
              <from>
                <xdr:col>4</xdr:col>
                <xdr:colOff>0</xdr:colOff>
                <xdr:row>6</xdr:row>
                <xdr:rowOff>0</xdr:rowOff>
              </from>
              <to>
                <xdr:col>5</xdr:col>
                <xdr:colOff>0</xdr:colOff>
                <xdr:row>7</xdr:row>
                <xdr:rowOff>0</xdr:rowOff>
              </to>
            </anchor>
          </controlPr>
        </control>
      </mc:Choice>
      <mc:Fallback>
        <control shapeId="3074" r:id="rId6" name="ComboBox2"/>
      </mc:Fallback>
    </mc:AlternateContent>
    <mc:AlternateContent xmlns:mc="http://schemas.openxmlformats.org/markup-compatibility/2006">
      <mc:Choice Requires="x14">
        <control shapeId="3075" r:id="rId8" name="ComboBox3">
          <controlPr defaultSize="0" autoLine="0" autoPict="0" linkedCell="E6" listFillRange="'NBCC_C-2'!AE3:AE16" r:id="rId7">
            <anchor moveWithCells="1" sizeWithCells="1">
              <from>
                <xdr:col>4</xdr:col>
                <xdr:colOff>0</xdr:colOff>
                <xdr:row>5</xdr:row>
                <xdr:rowOff>0</xdr:rowOff>
              </from>
              <to>
                <xdr:col>5</xdr:col>
                <xdr:colOff>0</xdr:colOff>
                <xdr:row>6</xdr:row>
                <xdr:rowOff>0</xdr:rowOff>
              </to>
            </anchor>
          </controlPr>
        </control>
      </mc:Choice>
      <mc:Fallback>
        <control shapeId="3075" r:id="rId8" name="ComboBox3"/>
      </mc:Fallback>
    </mc:AlternateContent>
    <mc:AlternateContent xmlns:mc="http://schemas.openxmlformats.org/markup-compatibility/2006">
      <mc:Choice Requires="x14">
        <control shapeId="3076" r:id="rId9" name="ComboBox4">
          <controlPr defaultSize="0" autoLine="0" autoPict="0" linkedCell="E5" listFillRange="'NBCC_C-2'!AE3:AE16" r:id="rId10">
            <anchor moveWithCells="1" sizeWithCells="1">
              <from>
                <xdr:col>4</xdr:col>
                <xdr:colOff>0</xdr:colOff>
                <xdr:row>4</xdr:row>
                <xdr:rowOff>0</xdr:rowOff>
              </from>
              <to>
                <xdr:col>5</xdr:col>
                <xdr:colOff>0</xdr:colOff>
                <xdr:row>5</xdr:row>
                <xdr:rowOff>0</xdr:rowOff>
              </to>
            </anchor>
          </controlPr>
        </control>
      </mc:Choice>
      <mc:Fallback>
        <control shapeId="3076" r:id="rId9" name="ComboBox4"/>
      </mc:Fallback>
    </mc:AlternateContent>
    <mc:AlternateContent xmlns:mc="http://schemas.openxmlformats.org/markup-compatibility/2006">
      <mc:Choice Requires="x14">
        <control shapeId="3077" r:id="rId11" name="ComboBox5">
          <controlPr defaultSize="0" autoLine="0" autoPict="0" linkedCell="E8" listFillRange="'NBCC_C-2'!AE3:AE16" r:id="rId7">
            <anchor moveWithCells="1" sizeWithCells="1">
              <from>
                <xdr:col>4</xdr:col>
                <xdr:colOff>0</xdr:colOff>
                <xdr:row>7</xdr:row>
                <xdr:rowOff>0</xdr:rowOff>
              </from>
              <to>
                <xdr:col>5</xdr:col>
                <xdr:colOff>0</xdr:colOff>
                <xdr:row>8</xdr:row>
                <xdr:rowOff>0</xdr:rowOff>
              </to>
            </anchor>
          </controlPr>
        </control>
      </mc:Choice>
      <mc:Fallback>
        <control shapeId="3077" r:id="rId11" name="ComboBox5"/>
      </mc:Fallback>
    </mc:AlternateContent>
    <mc:AlternateContent xmlns:mc="http://schemas.openxmlformats.org/markup-compatibility/2006">
      <mc:Choice Requires="x14">
        <control shapeId="3078" r:id="rId12" name="ComboBox6">
          <controlPr defaultSize="0" autoLine="0" autoPict="0" linkedCell="B8" listFillRange="'NBCC_C-2'!AM3:AM223" r:id="rId5">
            <anchor moveWithCells="1" sizeWithCells="1">
              <from>
                <xdr:col>1</xdr:col>
                <xdr:colOff>0</xdr:colOff>
                <xdr:row>7</xdr:row>
                <xdr:rowOff>0</xdr:rowOff>
              </from>
              <to>
                <xdr:col>4</xdr:col>
                <xdr:colOff>0</xdr:colOff>
                <xdr:row>8</xdr:row>
                <xdr:rowOff>0</xdr:rowOff>
              </to>
            </anchor>
          </controlPr>
        </control>
      </mc:Choice>
      <mc:Fallback>
        <control shapeId="3078" r:id="rId12" name="ComboBox6"/>
      </mc:Fallback>
    </mc:AlternateContent>
    <mc:AlternateContent xmlns:mc="http://schemas.openxmlformats.org/markup-compatibility/2006">
      <mc:Choice Requires="x14">
        <control shapeId="3079" r:id="rId13" name="ComboBox7">
          <controlPr defaultSize="0" autoLine="0" autoPict="0" linkedCell="B6" listFillRange="'NBCC_C-2'!AK3:AK223" r:id="rId5">
            <anchor moveWithCells="1" sizeWithCells="1">
              <from>
                <xdr:col>1</xdr:col>
                <xdr:colOff>0</xdr:colOff>
                <xdr:row>5</xdr:row>
                <xdr:rowOff>0</xdr:rowOff>
              </from>
              <to>
                <xdr:col>4</xdr:col>
                <xdr:colOff>0</xdr:colOff>
                <xdr:row>6</xdr:row>
                <xdr:rowOff>0</xdr:rowOff>
              </to>
            </anchor>
          </controlPr>
        </control>
      </mc:Choice>
      <mc:Fallback>
        <control shapeId="3079" r:id="rId13" name="ComboBox7"/>
      </mc:Fallback>
    </mc:AlternateContent>
    <mc:AlternateContent xmlns:mc="http://schemas.openxmlformats.org/markup-compatibility/2006">
      <mc:Choice Requires="x14">
        <control shapeId="3080" r:id="rId14" name="ComboBox8">
          <controlPr defaultSize="0" autoLine="0" autoPict="0" linkedCell="B5" listFillRange="'NBCC_C-2'!AJ3:AJ223" r:id="rId15">
            <anchor moveWithCells="1" sizeWithCells="1">
              <from>
                <xdr:col>1</xdr:col>
                <xdr:colOff>0</xdr:colOff>
                <xdr:row>4</xdr:row>
                <xdr:rowOff>0</xdr:rowOff>
              </from>
              <to>
                <xdr:col>4</xdr:col>
                <xdr:colOff>0</xdr:colOff>
                <xdr:row>5</xdr:row>
                <xdr:rowOff>0</xdr:rowOff>
              </to>
            </anchor>
          </controlPr>
        </control>
      </mc:Choice>
      <mc:Fallback>
        <control shapeId="3080" r:id="rId14" name="ComboBox8"/>
      </mc:Fallback>
    </mc:AlternateContent>
    <mc:AlternateContent xmlns:mc="http://schemas.openxmlformats.org/markup-compatibility/2006">
      <mc:Choice Requires="x14">
        <control shapeId="3085" r:id="rId16" name="ComboBox14">
          <controlPr defaultSize="0" autoLine="0" autoPict="0" linkedCell="B10" listFillRange="B5:B9" r:id="rId17">
            <anchor moveWithCells="1" sizeWithCells="1">
              <from>
                <xdr:col>1</xdr:col>
                <xdr:colOff>0</xdr:colOff>
                <xdr:row>9</xdr:row>
                <xdr:rowOff>0</xdr:rowOff>
              </from>
              <to>
                <xdr:col>5</xdr:col>
                <xdr:colOff>0</xdr:colOff>
                <xdr:row>10</xdr:row>
                <xdr:rowOff>0</xdr:rowOff>
              </to>
            </anchor>
          </controlPr>
        </control>
      </mc:Choice>
      <mc:Fallback>
        <control shapeId="3085" r:id="rId16" name="ComboBox14"/>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AM738"/>
  <sheetViews>
    <sheetView workbookViewId="0"/>
  </sheetViews>
  <sheetFormatPr defaultRowHeight="12.75" x14ac:dyDescent="0.2"/>
  <cols>
    <col min="1" max="1" width="2.28515625" style="69" customWidth="1"/>
    <col min="2" max="2" width="32.5703125" style="69" customWidth="1"/>
    <col min="3" max="3" width="5.7109375" style="62" customWidth="1"/>
    <col min="4" max="4" width="10" style="68" bestFit="1" customWidth="1"/>
    <col min="5" max="5" width="2.28515625" style="69" customWidth="1"/>
    <col min="6" max="6" width="27.85546875" style="69" bestFit="1" customWidth="1"/>
    <col min="7" max="7" width="5.7109375" style="62" customWidth="1"/>
    <col min="8" max="8" width="8.85546875" style="68" bestFit="1" customWidth="1"/>
    <col min="9" max="13" width="9.140625" style="69"/>
    <col min="14" max="14" width="11.85546875" style="69" bestFit="1" customWidth="1"/>
    <col min="15" max="15" width="9.140625" style="69"/>
    <col min="16" max="16" width="10" style="69" bestFit="1" customWidth="1"/>
    <col min="17" max="17" width="6.85546875" style="69" bestFit="1" customWidth="1"/>
    <col min="18" max="18" width="9.140625" style="69"/>
    <col min="19" max="19" width="12" style="69" bestFit="1" customWidth="1"/>
    <col min="20" max="20" width="13.7109375" style="69" customWidth="1"/>
    <col min="21" max="29" width="9.140625" style="69"/>
    <col min="30" max="30" width="3.42578125" style="69" customWidth="1"/>
    <col min="31" max="34" width="9.140625" style="69"/>
    <col min="35" max="35" width="4.140625" style="69" bestFit="1" customWidth="1"/>
    <col min="36" max="39" width="22.85546875" style="69" customWidth="1"/>
    <col min="40" max="16384" width="9.140625" style="69"/>
  </cols>
  <sheetData>
    <row r="1" spans="2:39" s="58" customFormat="1" x14ac:dyDescent="0.2">
      <c r="B1" s="339" t="s">
        <v>227</v>
      </c>
      <c r="C1" s="340"/>
      <c r="D1" s="341"/>
      <c r="F1" s="342" t="s">
        <v>228</v>
      </c>
      <c r="G1" s="343"/>
      <c r="H1" s="343"/>
      <c r="I1" s="343"/>
      <c r="J1" s="343"/>
      <c r="K1" s="343"/>
      <c r="L1" s="343"/>
      <c r="M1" s="343"/>
      <c r="N1" s="343"/>
      <c r="O1" s="343"/>
      <c r="P1" s="343"/>
      <c r="Q1" s="343"/>
      <c r="R1" s="343"/>
      <c r="S1" s="343"/>
      <c r="T1" s="343"/>
      <c r="U1" s="343"/>
      <c r="V1" s="343"/>
      <c r="W1" s="343"/>
      <c r="X1" s="343"/>
      <c r="Y1" s="343"/>
      <c r="Z1" s="343"/>
      <c r="AA1" s="343"/>
      <c r="AB1" s="343"/>
      <c r="AC1" s="343"/>
      <c r="AE1" s="344" t="s">
        <v>229</v>
      </c>
      <c r="AF1" s="344" t="s">
        <v>230</v>
      </c>
      <c r="AG1" s="344" t="s">
        <v>231</v>
      </c>
      <c r="AH1" s="59"/>
      <c r="AI1" s="337" t="s">
        <v>232</v>
      </c>
      <c r="AJ1" s="337"/>
      <c r="AK1" s="337"/>
      <c r="AL1" s="337"/>
      <c r="AM1" s="337"/>
    </row>
    <row r="2" spans="2:39" s="60" customFormat="1" ht="12.75" customHeight="1" x14ac:dyDescent="0.2">
      <c r="B2" s="338" t="s">
        <v>233</v>
      </c>
      <c r="C2" s="338"/>
      <c r="D2" s="338" t="s">
        <v>234</v>
      </c>
      <c r="F2" s="338" t="s">
        <v>233</v>
      </c>
      <c r="G2" s="338"/>
      <c r="H2" s="338" t="s">
        <v>234</v>
      </c>
      <c r="I2" s="336" t="s">
        <v>196</v>
      </c>
      <c r="J2" s="336" t="s">
        <v>197</v>
      </c>
      <c r="K2" s="336"/>
      <c r="L2" s="336"/>
      <c r="M2" s="336"/>
      <c r="N2" s="336" t="s">
        <v>198</v>
      </c>
      <c r="O2" s="336" t="s">
        <v>199</v>
      </c>
      <c r="P2" s="336" t="s">
        <v>200</v>
      </c>
      <c r="Q2" s="336" t="s">
        <v>201</v>
      </c>
      <c r="R2" s="336" t="s">
        <v>202</v>
      </c>
      <c r="S2" s="336" t="s">
        <v>203</v>
      </c>
      <c r="T2" s="336" t="s">
        <v>204</v>
      </c>
      <c r="U2" s="336" t="s">
        <v>205</v>
      </c>
      <c r="V2" s="336"/>
      <c r="W2" s="336" t="s">
        <v>206</v>
      </c>
      <c r="X2" s="336"/>
      <c r="Y2" s="336" t="s">
        <v>207</v>
      </c>
      <c r="Z2" s="336"/>
      <c r="AA2" s="336"/>
      <c r="AB2" s="336"/>
      <c r="AC2" s="336"/>
      <c r="AE2" s="345"/>
      <c r="AF2" s="345"/>
      <c r="AG2" s="345"/>
      <c r="AH2" s="59"/>
      <c r="AI2" s="61" t="s">
        <v>235</v>
      </c>
      <c r="AJ2" s="61" t="s">
        <v>236</v>
      </c>
      <c r="AK2" s="61" t="s">
        <v>237</v>
      </c>
      <c r="AL2" s="61" t="s">
        <v>238</v>
      </c>
      <c r="AM2" s="61" t="s">
        <v>239</v>
      </c>
    </row>
    <row r="3" spans="2:39" s="60" customFormat="1" ht="15.75" customHeight="1" x14ac:dyDescent="0.2">
      <c r="B3" s="338"/>
      <c r="C3" s="338"/>
      <c r="D3" s="338"/>
      <c r="F3" s="338"/>
      <c r="G3" s="338"/>
      <c r="H3" s="338"/>
      <c r="I3" s="336"/>
      <c r="J3" s="336" t="s">
        <v>208</v>
      </c>
      <c r="K3" s="336"/>
      <c r="L3" s="336" t="s">
        <v>209</v>
      </c>
      <c r="M3" s="336"/>
      <c r="N3" s="336"/>
      <c r="O3" s="336"/>
      <c r="P3" s="336"/>
      <c r="Q3" s="336"/>
      <c r="R3" s="336"/>
      <c r="S3" s="336"/>
      <c r="T3" s="336"/>
      <c r="U3" s="336"/>
      <c r="V3" s="336"/>
      <c r="W3" s="336"/>
      <c r="X3" s="336"/>
      <c r="Y3" s="336"/>
      <c r="Z3" s="336"/>
      <c r="AA3" s="336"/>
      <c r="AB3" s="336"/>
      <c r="AC3" s="336"/>
      <c r="AE3" s="62"/>
      <c r="AF3" s="62"/>
      <c r="AG3" s="62"/>
      <c r="AH3" s="59"/>
      <c r="AI3" s="62">
        <v>1</v>
      </c>
      <c r="AJ3" s="63" t="str">
        <f ca="1">IF(design_loads!$E$5="","",IF($AI3&gt;INDEX($AG$3:$AG$16,MATCH(design_loads!$E$5,$AE$3:$AE$16)),"&lt;scroll up&gt;",OFFSET(OFFSET('NBCC_C-2'!$B$1,INDEX($AF$3:$AF$16,MATCH(design_loads!$E$5,$AE$3:$AE$16))-1,0),$AI3-1,0)))</f>
        <v>100 Mile House</v>
      </c>
      <c r="AK3" s="63" t="str">
        <f ca="1">IF(design_loads!$E$6="","",IF($AI3&gt;INDEX($AG$3:$AG$16,MATCH(design_loads!$E$6,$AE$3:$AE$16)),"&lt;scroll up&gt;",OFFSET(OFFSET('NBCC_C-2'!$B$1,INDEX($AF$3:$AF$16,MATCH(design_loads!$E$6,$AE$3:$AE$16))-1,0),$AI3-1,0)))</f>
        <v/>
      </c>
      <c r="AL3" s="63" t="str">
        <f ca="1">IF(design_loads!$E$7="","",IF($AI3&gt;INDEX($AG$3:$AG$16,MATCH(design_loads!$E$7,$AE$3:$AE$16)),"&lt;scroll up&gt;",OFFSET(OFFSET('NBCC_C-2'!$B$1,INDEX($AF$3:$AF$16,MATCH(design_loads!$E$7,$AE$3:$AE$16))-1,0),$AI3-1,0)))</f>
        <v/>
      </c>
      <c r="AM3" s="63" t="str">
        <f ca="1">IF(design_loads!$E$8="","",IF($AI3&gt;INDEX($AG$3:$AG$16,MATCH(design_loads!$E$8,$AE$3:$AE$16)),"&lt;scroll up&gt;",OFFSET(OFFSET('NBCC_C-2'!$B$1,INDEX($AF$3:$AF$16,MATCH(design_loads!$E$8,$AE$3:$AE$16))-1,0),$AI3-1,0)))</f>
        <v/>
      </c>
    </row>
    <row r="4" spans="2:39" s="60" customFormat="1" ht="15.75" x14ac:dyDescent="0.3">
      <c r="B4" s="338"/>
      <c r="C4" s="338"/>
      <c r="D4" s="338"/>
      <c r="F4" s="338"/>
      <c r="G4" s="338"/>
      <c r="H4" s="338"/>
      <c r="I4" s="336"/>
      <c r="J4" s="64" t="s">
        <v>210</v>
      </c>
      <c r="K4" s="64" t="s">
        <v>211</v>
      </c>
      <c r="L4" s="64" t="s">
        <v>212</v>
      </c>
      <c r="M4" s="64" t="s">
        <v>213</v>
      </c>
      <c r="N4" s="336"/>
      <c r="O4" s="336"/>
      <c r="P4" s="336"/>
      <c r="Q4" s="336"/>
      <c r="R4" s="336"/>
      <c r="S4" s="336"/>
      <c r="T4" s="336"/>
      <c r="U4" s="64" t="s">
        <v>240</v>
      </c>
      <c r="V4" s="64" t="s">
        <v>167</v>
      </c>
      <c r="W4" s="65" t="s">
        <v>241</v>
      </c>
      <c r="X4" s="65" t="s">
        <v>242</v>
      </c>
      <c r="Y4" s="64" t="s">
        <v>243</v>
      </c>
      <c r="Z4" s="64" t="s">
        <v>244</v>
      </c>
      <c r="AA4" s="64" t="s">
        <v>245</v>
      </c>
      <c r="AB4" s="64" t="s">
        <v>246</v>
      </c>
      <c r="AC4" s="64" t="s">
        <v>222</v>
      </c>
      <c r="AE4" s="62" t="s">
        <v>247</v>
      </c>
      <c r="AF4" s="62">
        <v>5</v>
      </c>
      <c r="AG4" s="62">
        <v>148</v>
      </c>
      <c r="AH4" s="59"/>
      <c r="AI4" s="62">
        <v>2</v>
      </c>
      <c r="AJ4" s="63" t="str">
        <f ca="1">IF(design_loads!$E$5="","",IF($AI4&gt;INDEX($AG$3:$AG$16,MATCH(design_loads!$E$5,$AE$3:$AE$16)),"&lt;scroll up&gt;",OFFSET(OFFSET('NBCC_C-2'!$B$1,INDEX($AF$3:$AF$16,MATCH(design_loads!$E$5,$AE$3:$AE$16))-1,0),$AI4-1,0)))</f>
        <v>Abbotsford</v>
      </c>
      <c r="AK4" s="63" t="str">
        <f ca="1">IF(design_loads!$E$6="","",IF($AI4&gt;INDEX($AG$3:$AG$16,MATCH(design_loads!$E$6,$AE$3:$AE$16)),"&lt;scroll up&gt;",OFFSET(OFFSET('NBCC_C-2'!$B$1,INDEX($AF$3:$AF$16,MATCH(design_loads!$E$6,$AE$3:$AE$16))-1,0),$AI4-1,0)))</f>
        <v/>
      </c>
      <c r="AL4" s="63" t="str">
        <f ca="1">IF(design_loads!$E$7="","",IF($AI4&gt;INDEX($AG$3:$AG$16,MATCH(design_loads!$E$7,$AE$3:$AE$16)),"&lt;scroll up&gt;",OFFSET(OFFSET('NBCC_C-2'!$B$1,INDEX($AF$3:$AF$16,MATCH(design_loads!$E$7,$AE$3:$AE$16))-1,0),$AI4-1,0)))</f>
        <v/>
      </c>
      <c r="AM4" s="63" t="str">
        <f ca="1">IF(design_loads!$E$8="","",IF($AI4&gt;INDEX($AG$3:$AG$16,MATCH(design_loads!$E$8,$AE$3:$AE$16)),"&lt;scroll up&gt;",OFFSET(OFFSET('NBCC_C-2'!$B$1,INDEX($AF$3:$AF$16,MATCH(design_loads!$E$8,$AE$3:$AE$16))-1,0),$AI4-1,0)))</f>
        <v/>
      </c>
    </row>
    <row r="5" spans="2:39" x14ac:dyDescent="0.2">
      <c r="B5" s="66" t="s">
        <v>248</v>
      </c>
      <c r="C5" s="67" t="s">
        <v>247</v>
      </c>
      <c r="D5" s="68">
        <v>1</v>
      </c>
      <c r="F5" s="66" t="s">
        <v>249</v>
      </c>
      <c r="G5" s="67" t="s">
        <v>224</v>
      </c>
      <c r="H5" s="68">
        <v>1</v>
      </c>
      <c r="I5" s="70">
        <v>1040</v>
      </c>
      <c r="J5" s="70">
        <v>-28</v>
      </c>
      <c r="K5" s="70">
        <v>-31</v>
      </c>
      <c r="L5" s="70">
        <v>30</v>
      </c>
      <c r="M5" s="70">
        <v>18</v>
      </c>
      <c r="N5" s="70">
        <v>5150</v>
      </c>
      <c r="O5" s="70">
        <v>10</v>
      </c>
      <c r="P5" s="71">
        <v>48</v>
      </c>
      <c r="Q5" s="71">
        <v>300</v>
      </c>
      <c r="R5" s="72">
        <v>0.44</v>
      </c>
      <c r="S5" s="71">
        <v>425</v>
      </c>
      <c r="T5" s="71">
        <v>60</v>
      </c>
      <c r="U5" s="73">
        <v>2.6</v>
      </c>
      <c r="V5" s="73">
        <v>0.3</v>
      </c>
      <c r="W5" s="72">
        <v>0.3</v>
      </c>
      <c r="X5" s="72">
        <v>0.39</v>
      </c>
      <c r="Y5" s="72">
        <v>0.28000000000000003</v>
      </c>
      <c r="Z5" s="74">
        <v>0.17</v>
      </c>
      <c r="AA5" s="74">
        <v>0.11</v>
      </c>
      <c r="AB5" s="74">
        <v>6.3E-2</v>
      </c>
      <c r="AC5" s="74">
        <v>0.14000000000000001</v>
      </c>
      <c r="AE5" s="62" t="s">
        <v>224</v>
      </c>
      <c r="AF5" s="75">
        <f>AF4+AG4</f>
        <v>153</v>
      </c>
      <c r="AG5" s="62">
        <v>91</v>
      </c>
      <c r="AH5" s="59"/>
      <c r="AI5" s="62">
        <v>3</v>
      </c>
      <c r="AJ5" s="63" t="str">
        <f ca="1">IF(design_loads!$E$5="","",IF($AI5&gt;INDEX($AG$3:$AG$16,MATCH(design_loads!$E$5,$AE$3:$AE$16)),"&lt;scroll up&gt;",OFFSET(OFFSET('NBCC_C-2'!$B$1,INDEX($AF$3:$AF$16,MATCH(design_loads!$E$5,$AE$3:$AE$16))-1,0),$AI5-1,0)))</f>
        <v>Agassiz</v>
      </c>
      <c r="AK5" s="63" t="str">
        <f ca="1">IF(design_loads!$E$6="","",IF($AI5&gt;INDEX($AG$3:$AG$16,MATCH(design_loads!$E$6,$AE$3:$AE$16)),"&lt;scroll up&gt;",OFFSET(OFFSET('NBCC_C-2'!$B$1,INDEX($AF$3:$AF$16,MATCH(design_loads!$E$6,$AE$3:$AE$16))-1,0),$AI5-1,0)))</f>
        <v/>
      </c>
      <c r="AL5" s="63" t="str">
        <f ca="1">IF(design_loads!$E$7="","",IF($AI5&gt;INDEX($AG$3:$AG$16,MATCH(design_loads!$E$7,$AE$3:$AE$16)),"&lt;scroll up&gt;",OFFSET(OFFSET('NBCC_C-2'!$B$1,INDEX($AF$3:$AF$16,MATCH(design_loads!$E$7,$AE$3:$AE$16))-1,0),$AI5-1,0)))</f>
        <v/>
      </c>
      <c r="AM5" s="63" t="str">
        <f ca="1">IF(design_loads!$E$8="","",IF($AI5&gt;INDEX($AG$3:$AG$16,MATCH(design_loads!$E$8,$AE$3:$AE$16)),"&lt;scroll up&gt;",OFFSET(OFFSET('NBCC_C-2'!$B$1,INDEX($AF$3:$AF$16,MATCH(design_loads!$E$8,$AE$3:$AE$16))-1,0),$AI5-1,0)))</f>
        <v/>
      </c>
    </row>
    <row r="6" spans="2:39" x14ac:dyDescent="0.2">
      <c r="B6" s="66" t="s">
        <v>250</v>
      </c>
      <c r="C6" s="67" t="s">
        <v>247</v>
      </c>
      <c r="D6" s="68">
        <v>2</v>
      </c>
      <c r="F6" s="66" t="s">
        <v>251</v>
      </c>
      <c r="G6" s="67" t="s">
        <v>224</v>
      </c>
      <c r="H6" s="68">
        <v>2</v>
      </c>
      <c r="I6" s="70">
        <v>10</v>
      </c>
      <c r="J6" s="70">
        <v>-10</v>
      </c>
      <c r="K6" s="70">
        <v>-11</v>
      </c>
      <c r="L6" s="70">
        <v>29</v>
      </c>
      <c r="M6" s="70">
        <v>20</v>
      </c>
      <c r="N6" s="70">
        <v>3100</v>
      </c>
      <c r="O6" s="70">
        <v>10</v>
      </c>
      <c r="P6" s="71">
        <v>112</v>
      </c>
      <c r="Q6" s="71">
        <v>1525</v>
      </c>
      <c r="R6" s="72">
        <v>1.59</v>
      </c>
      <c r="S6" s="71">
        <v>1600</v>
      </c>
      <c r="T6" s="71">
        <v>160</v>
      </c>
      <c r="U6" s="73">
        <v>2</v>
      </c>
      <c r="V6" s="73">
        <v>0.3</v>
      </c>
      <c r="W6" s="72">
        <v>0.42</v>
      </c>
      <c r="X6" s="72">
        <v>0.62</v>
      </c>
      <c r="Y6" s="72">
        <v>0.92</v>
      </c>
      <c r="Z6" s="74">
        <v>0.62</v>
      </c>
      <c r="AA6" s="74">
        <v>0.31</v>
      </c>
      <c r="AB6" s="74">
        <v>0.17</v>
      </c>
      <c r="AC6" s="74">
        <v>0.45</v>
      </c>
      <c r="AE6" s="62" t="s">
        <v>252</v>
      </c>
      <c r="AF6" s="75">
        <f t="shared" ref="AF6:AF16" si="0">AF5+AG5</f>
        <v>244</v>
      </c>
      <c r="AG6" s="62">
        <v>24</v>
      </c>
      <c r="AH6" s="59"/>
      <c r="AI6" s="62">
        <v>4</v>
      </c>
      <c r="AJ6" s="63" t="str">
        <f ca="1">IF(design_loads!$E$5="","",IF($AI6&gt;INDEX($AG$3:$AG$16,MATCH(design_loads!$E$5,$AE$3:$AE$16)),"&lt;scroll up&gt;",OFFSET(OFFSET('NBCC_C-2'!$B$1,INDEX($AF$3:$AF$16,MATCH(design_loads!$E$5,$AE$3:$AE$16))-1,0),$AI6-1,0)))</f>
        <v>Alberni</v>
      </c>
      <c r="AK6" s="63" t="str">
        <f ca="1">IF(design_loads!$E$6="","",IF($AI6&gt;INDEX($AG$3:$AG$16,MATCH(design_loads!$E$6,$AE$3:$AE$16)),"&lt;scroll up&gt;",OFFSET(OFFSET('NBCC_C-2'!$B$1,INDEX($AF$3:$AF$16,MATCH(design_loads!$E$6,$AE$3:$AE$16))-1,0),$AI6-1,0)))</f>
        <v/>
      </c>
      <c r="AL6" s="63" t="str">
        <f ca="1">IF(design_loads!$E$7="","",IF($AI6&gt;INDEX($AG$3:$AG$16,MATCH(design_loads!$E$7,$AE$3:$AE$16)),"&lt;scroll up&gt;",OFFSET(OFFSET('NBCC_C-2'!$B$1,INDEX($AF$3:$AF$16,MATCH(design_loads!$E$7,$AE$3:$AE$16))-1,0),$AI6-1,0)))</f>
        <v/>
      </c>
      <c r="AM6" s="63" t="str">
        <f ca="1">IF(design_loads!$E$8="","",IF($AI6&gt;INDEX($AG$3:$AG$16,MATCH(design_loads!$E$8,$AE$3:$AE$16)),"&lt;scroll up&gt;",OFFSET(OFFSET('NBCC_C-2'!$B$1,INDEX($AF$3:$AF$16,MATCH(design_loads!$E$8,$AE$3:$AE$16))-1,0),$AI6-1,0)))</f>
        <v/>
      </c>
    </row>
    <row r="7" spans="2:39" x14ac:dyDescent="0.2">
      <c r="B7" s="66" t="s">
        <v>253</v>
      </c>
      <c r="C7" s="67" t="s">
        <v>247</v>
      </c>
      <c r="D7" s="68">
        <v>3</v>
      </c>
      <c r="F7" s="66" t="s">
        <v>248</v>
      </c>
      <c r="G7" s="67" t="s">
        <v>247</v>
      </c>
      <c r="H7" s="68">
        <v>1</v>
      </c>
      <c r="I7" s="76">
        <v>716</v>
      </c>
      <c r="J7" s="70">
        <v>-33</v>
      </c>
      <c r="K7" s="70">
        <v>-36</v>
      </c>
      <c r="L7" s="70">
        <v>31</v>
      </c>
      <c r="M7" s="70">
        <v>20</v>
      </c>
      <c r="N7" s="76">
        <v>5500</v>
      </c>
      <c r="O7" s="76">
        <v>18</v>
      </c>
      <c r="P7" s="77">
        <v>75</v>
      </c>
      <c r="Q7" s="77">
        <v>240</v>
      </c>
      <c r="R7" s="72">
        <v>0.31</v>
      </c>
      <c r="S7" s="77">
        <v>310</v>
      </c>
      <c r="T7" s="77">
        <v>220</v>
      </c>
      <c r="U7" s="73">
        <v>1.5</v>
      </c>
      <c r="V7" s="73">
        <v>0.1</v>
      </c>
      <c r="W7" s="72">
        <v>0.39</v>
      </c>
      <c r="X7" s="72">
        <v>0.52</v>
      </c>
      <c r="Y7" s="72">
        <v>0.12</v>
      </c>
      <c r="Z7" s="74">
        <v>0.06</v>
      </c>
      <c r="AA7" s="74">
        <v>0.02</v>
      </c>
      <c r="AB7" s="74">
        <v>0.01</v>
      </c>
      <c r="AC7" s="74">
        <v>0.06</v>
      </c>
      <c r="AE7" s="62" t="s">
        <v>254</v>
      </c>
      <c r="AF7" s="75">
        <f t="shared" si="0"/>
        <v>268</v>
      </c>
      <c r="AG7" s="62">
        <v>15</v>
      </c>
      <c r="AH7" s="59"/>
      <c r="AI7" s="62">
        <v>5</v>
      </c>
      <c r="AJ7" s="63" t="str">
        <f ca="1">IF(design_loads!$E$5="","",IF($AI7&gt;INDEX($AG$3:$AG$16,MATCH(design_loads!$E$5,$AE$3:$AE$16)),"&lt;scroll up&gt;",OFFSET(OFFSET('NBCC_C-2'!$B$1,INDEX($AF$3:$AF$16,MATCH(design_loads!$E$5,$AE$3:$AE$16))-1,0),$AI7-1,0)))</f>
        <v>Ashcroft</v>
      </c>
      <c r="AK7" s="63" t="str">
        <f ca="1">IF(design_loads!$E$6="","",IF($AI7&gt;INDEX($AG$3:$AG$16,MATCH(design_loads!$E$6,$AE$3:$AE$16)),"&lt;scroll up&gt;",OFFSET(OFFSET('NBCC_C-2'!$B$1,INDEX($AF$3:$AF$16,MATCH(design_loads!$E$6,$AE$3:$AE$16))-1,0),$AI7-1,0)))</f>
        <v/>
      </c>
      <c r="AL7" s="63" t="str">
        <f ca="1">IF(design_loads!$E$7="","",IF($AI7&gt;INDEX($AG$3:$AG$16,MATCH(design_loads!$E$7,$AE$3:$AE$16)),"&lt;scroll up&gt;",OFFSET(OFFSET('NBCC_C-2'!$B$1,INDEX($AF$3:$AF$16,MATCH(design_loads!$E$7,$AE$3:$AE$16))-1,0),$AI7-1,0)))</f>
        <v/>
      </c>
      <c r="AM7" s="63" t="str">
        <f ca="1">IF(design_loads!$E$8="","",IF($AI7&gt;INDEX($AG$3:$AG$16,MATCH(design_loads!$E$8,$AE$3:$AE$16)),"&lt;scroll up&gt;",OFFSET(OFFSET('NBCC_C-2'!$B$1,INDEX($AF$3:$AF$16,MATCH(design_loads!$E$8,$AE$3:$AE$16))-1,0),$AI7-1,0)))</f>
        <v/>
      </c>
    </row>
    <row r="8" spans="2:39" x14ac:dyDescent="0.2">
      <c r="B8" s="66" t="s">
        <v>255</v>
      </c>
      <c r="C8" s="67" t="s">
        <v>247</v>
      </c>
      <c r="D8" s="68">
        <v>4</v>
      </c>
      <c r="F8" s="66" t="s">
        <v>256</v>
      </c>
      <c r="G8" s="67" t="s">
        <v>257</v>
      </c>
      <c r="H8" s="68">
        <v>1</v>
      </c>
      <c r="I8" s="70">
        <v>95</v>
      </c>
      <c r="J8" s="70">
        <v>-24</v>
      </c>
      <c r="K8" s="70">
        <v>-27</v>
      </c>
      <c r="L8" s="70">
        <v>30</v>
      </c>
      <c r="M8" s="70">
        <v>23</v>
      </c>
      <c r="N8" s="70">
        <v>4800</v>
      </c>
      <c r="O8" s="70">
        <v>20</v>
      </c>
      <c r="P8" s="71">
        <v>107</v>
      </c>
      <c r="Q8" s="71">
        <v>860</v>
      </c>
      <c r="R8" s="72">
        <v>0.97</v>
      </c>
      <c r="S8" s="71">
        <v>1050</v>
      </c>
      <c r="T8" s="71">
        <v>180</v>
      </c>
      <c r="U8" s="73">
        <v>2.2999999999999998</v>
      </c>
      <c r="V8" s="73">
        <v>0.4</v>
      </c>
      <c r="W8" s="72">
        <v>0.24</v>
      </c>
      <c r="X8" s="72">
        <v>0.32</v>
      </c>
      <c r="Y8" s="72">
        <v>0.45</v>
      </c>
      <c r="Z8" s="74">
        <v>0.23</v>
      </c>
      <c r="AA8" s="74">
        <v>0.1</v>
      </c>
      <c r="AB8" s="74">
        <v>3.5000000000000003E-2</v>
      </c>
      <c r="AC8" s="74">
        <v>0.28000000000000003</v>
      </c>
      <c r="AE8" s="62" t="s">
        <v>258</v>
      </c>
      <c r="AF8" s="75">
        <f t="shared" si="0"/>
        <v>283</v>
      </c>
      <c r="AG8" s="62">
        <v>18</v>
      </c>
      <c r="AH8" s="59"/>
      <c r="AI8" s="62">
        <v>6</v>
      </c>
      <c r="AJ8" s="63" t="str">
        <f ca="1">IF(design_loads!$E$5="","",IF($AI8&gt;INDEX($AG$3:$AG$16,MATCH(design_loads!$E$5,$AE$3:$AE$16)),"&lt;scroll up&gt;",OFFSET(OFFSET('NBCC_C-2'!$B$1,INDEX($AF$3:$AF$16,MATCH(design_loads!$E$5,$AE$3:$AE$16))-1,0),$AI8-1,0)))</f>
        <v>Beatton River</v>
      </c>
      <c r="AK8" s="63" t="str">
        <f ca="1">IF(design_loads!$E$6="","",IF($AI8&gt;INDEX($AG$3:$AG$16,MATCH(design_loads!$E$6,$AE$3:$AE$16)),"&lt;scroll up&gt;",OFFSET(OFFSET('NBCC_C-2'!$B$1,INDEX($AF$3:$AF$16,MATCH(design_loads!$E$6,$AE$3:$AE$16))-1,0),$AI8-1,0)))</f>
        <v/>
      </c>
      <c r="AL8" s="63" t="str">
        <f ca="1">IF(design_loads!$E$7="","",IF($AI8&gt;INDEX($AG$3:$AG$16,MATCH(design_loads!$E$7,$AE$3:$AE$16)),"&lt;scroll up&gt;",OFFSET(OFFSET('NBCC_C-2'!$B$1,INDEX($AF$3:$AF$16,MATCH(design_loads!$E$7,$AE$3:$AE$16))-1,0),$AI8-1,0)))</f>
        <v/>
      </c>
      <c r="AM8" s="63" t="str">
        <f ca="1">IF(design_loads!$E$8="","",IF($AI8&gt;INDEX($AG$3:$AG$16,MATCH(design_loads!$E$8,$AE$3:$AE$16)),"&lt;scroll up&gt;",OFFSET(OFFSET('NBCC_C-2'!$B$1,INDEX($AF$3:$AF$16,MATCH(design_loads!$E$8,$AE$3:$AE$16))-1,0),$AI8-1,0)))</f>
        <v/>
      </c>
    </row>
    <row r="9" spans="2:39" x14ac:dyDescent="0.2">
      <c r="B9" s="66" t="s">
        <v>259</v>
      </c>
      <c r="C9" s="67" t="s">
        <v>247</v>
      </c>
      <c r="D9" s="68">
        <v>5</v>
      </c>
      <c r="F9" s="66" t="s">
        <v>260</v>
      </c>
      <c r="G9" s="67" t="s">
        <v>224</v>
      </c>
      <c r="H9" s="68">
        <v>3</v>
      </c>
      <c r="I9" s="70">
        <v>15</v>
      </c>
      <c r="J9" s="70">
        <v>-13</v>
      </c>
      <c r="K9" s="70">
        <v>-15</v>
      </c>
      <c r="L9" s="70">
        <v>31</v>
      </c>
      <c r="M9" s="70">
        <v>20</v>
      </c>
      <c r="N9" s="70">
        <v>2950</v>
      </c>
      <c r="O9" s="70">
        <v>8</v>
      </c>
      <c r="P9" s="71">
        <v>128</v>
      </c>
      <c r="Q9" s="71">
        <v>1650</v>
      </c>
      <c r="R9" s="72">
        <v>1.71</v>
      </c>
      <c r="S9" s="71">
        <v>1700</v>
      </c>
      <c r="T9" s="71">
        <v>160</v>
      </c>
      <c r="U9" s="73">
        <v>2.4</v>
      </c>
      <c r="V9" s="73">
        <v>0.7</v>
      </c>
      <c r="W9" s="72">
        <v>0.56999999999999995</v>
      </c>
      <c r="X9" s="72">
        <v>0.75</v>
      </c>
      <c r="Y9" s="72">
        <v>0.67</v>
      </c>
      <c r="Z9" s="74">
        <v>0.5</v>
      </c>
      <c r="AA9" s="74">
        <v>0.28999999999999998</v>
      </c>
      <c r="AB9" s="74">
        <v>0.16</v>
      </c>
      <c r="AC9" s="74">
        <v>0.32</v>
      </c>
      <c r="AE9" s="62" t="s">
        <v>261</v>
      </c>
      <c r="AF9" s="75">
        <f t="shared" si="0"/>
        <v>301</v>
      </c>
      <c r="AG9" s="62">
        <v>25</v>
      </c>
      <c r="AH9" s="59"/>
      <c r="AI9" s="62">
        <v>7</v>
      </c>
      <c r="AJ9" s="63" t="str">
        <f ca="1">IF(design_loads!$E$5="","",IF($AI9&gt;INDEX($AG$3:$AG$16,MATCH(design_loads!$E$5,$AE$3:$AE$16)),"&lt;scroll up&gt;",OFFSET(OFFSET('NBCC_C-2'!$B$1,INDEX($AF$3:$AF$16,MATCH(design_loads!$E$5,$AE$3:$AE$16))-1,0),$AI9-1,0)))</f>
        <v>Burnaby (Simon Fraser Univ.)</v>
      </c>
      <c r="AK9" s="63" t="str">
        <f ca="1">IF(design_loads!$E$6="","",IF($AI9&gt;INDEX($AG$3:$AG$16,MATCH(design_loads!$E$6,$AE$3:$AE$16)),"&lt;scroll up&gt;",OFFSET(OFFSET('NBCC_C-2'!$B$1,INDEX($AF$3:$AF$16,MATCH(design_loads!$E$6,$AE$3:$AE$16))-1,0),$AI9-1,0)))</f>
        <v/>
      </c>
      <c r="AL9" s="63" t="str">
        <f ca="1">IF(design_loads!$E$7="","",IF($AI9&gt;INDEX($AG$3:$AG$16,MATCH(design_loads!$E$7,$AE$3:$AE$16)),"&lt;scroll up&gt;",OFFSET(OFFSET('NBCC_C-2'!$B$1,INDEX($AF$3:$AF$16,MATCH(design_loads!$E$7,$AE$3:$AE$16))-1,0),$AI9-1,0)))</f>
        <v/>
      </c>
      <c r="AM9" s="63" t="str">
        <f ca="1">IF(design_loads!$E$8="","",IF($AI9&gt;INDEX($AG$3:$AG$16,MATCH(design_loads!$E$8,$AE$3:$AE$16)),"&lt;scroll up&gt;",OFFSET(OFFSET('NBCC_C-2'!$B$1,INDEX($AF$3:$AF$16,MATCH(design_loads!$E$8,$AE$3:$AE$16))-1,0),$AI9-1,0)))</f>
        <v/>
      </c>
    </row>
    <row r="10" spans="2:39" x14ac:dyDescent="0.2">
      <c r="B10" s="66" t="s">
        <v>262</v>
      </c>
      <c r="C10" s="67" t="s">
        <v>247</v>
      </c>
      <c r="D10" s="68">
        <v>6</v>
      </c>
      <c r="F10" s="66" t="s">
        <v>263</v>
      </c>
      <c r="G10" s="67" t="s">
        <v>264</v>
      </c>
      <c r="H10" s="68">
        <v>1</v>
      </c>
      <c r="I10" s="70">
        <v>230</v>
      </c>
      <c r="J10" s="70">
        <v>-17</v>
      </c>
      <c r="K10" s="70">
        <v>-19</v>
      </c>
      <c r="L10" s="70">
        <v>30</v>
      </c>
      <c r="M10" s="70">
        <v>23</v>
      </c>
      <c r="N10" s="70">
        <v>4000</v>
      </c>
      <c r="O10" s="70">
        <v>25</v>
      </c>
      <c r="P10" s="71">
        <v>103</v>
      </c>
      <c r="Q10" s="71">
        <v>800</v>
      </c>
      <c r="R10" s="72">
        <v>0.93</v>
      </c>
      <c r="S10" s="71">
        <v>950</v>
      </c>
      <c r="T10" s="71">
        <v>180</v>
      </c>
      <c r="U10" s="73">
        <v>2.2000000000000002</v>
      </c>
      <c r="V10" s="73">
        <v>0.4</v>
      </c>
      <c r="W10" s="72">
        <v>0.4</v>
      </c>
      <c r="X10" s="72">
        <v>0.55000000000000004</v>
      </c>
      <c r="Y10" s="72">
        <v>0.16</v>
      </c>
      <c r="Z10" s="74">
        <v>8.2000000000000003E-2</v>
      </c>
      <c r="AA10" s="74">
        <v>4.3999999999999997E-2</v>
      </c>
      <c r="AB10" s="74">
        <v>1.2E-2</v>
      </c>
      <c r="AC10" s="74">
        <v>9.1999999999999998E-2</v>
      </c>
      <c r="AE10" s="62" t="s">
        <v>265</v>
      </c>
      <c r="AF10" s="75">
        <f t="shared" si="0"/>
        <v>326</v>
      </c>
      <c r="AG10" s="62">
        <v>15</v>
      </c>
      <c r="AH10" s="59"/>
      <c r="AI10" s="62">
        <v>8</v>
      </c>
      <c r="AJ10" s="63" t="str">
        <f ca="1">IF(design_loads!$E$5="","",IF($AI10&gt;INDEX($AG$3:$AG$16,MATCH(design_loads!$E$5,$AE$3:$AE$16)),"&lt;scroll up&gt;",OFFSET(OFFSET('NBCC_C-2'!$B$1,INDEX($AF$3:$AF$16,MATCH(design_loads!$E$5,$AE$3:$AE$16))-1,0),$AI10-1,0)))</f>
        <v>Burns Lake</v>
      </c>
      <c r="AK10" s="63" t="str">
        <f ca="1">IF(design_loads!$E$6="","",IF($AI10&gt;INDEX($AG$3:$AG$16,MATCH(design_loads!$E$6,$AE$3:$AE$16)),"&lt;scroll up&gt;",OFFSET(OFFSET('NBCC_C-2'!$B$1,INDEX($AF$3:$AF$16,MATCH(design_loads!$E$6,$AE$3:$AE$16))-1,0),$AI10-1,0)))</f>
        <v/>
      </c>
      <c r="AL10" s="63" t="str">
        <f ca="1">IF(design_loads!$E$7="","",IF($AI10&gt;INDEX($AG$3:$AG$16,MATCH(design_loads!$E$7,$AE$3:$AE$16)),"&lt;scroll up&gt;",OFFSET(OFFSET('NBCC_C-2'!$B$1,INDEX($AF$3:$AF$16,MATCH(design_loads!$E$7,$AE$3:$AE$16))-1,0),$AI10-1,0)))</f>
        <v/>
      </c>
      <c r="AM10" s="63" t="str">
        <f ca="1">IF(design_loads!$E$8="","",IF($AI10&gt;INDEX($AG$3:$AG$16,MATCH(design_loads!$E$8,$AE$3:$AE$16)),"&lt;scroll up&gt;",OFFSET(OFFSET('NBCC_C-2'!$B$1,INDEX($AF$3:$AF$16,MATCH(design_loads!$E$8,$AE$3:$AE$16))-1,0),$AI10-1,0)))</f>
        <v/>
      </c>
    </row>
    <row r="11" spans="2:39" x14ac:dyDescent="0.2">
      <c r="B11" s="66" t="s">
        <v>266</v>
      </c>
      <c r="C11" s="67" t="s">
        <v>247</v>
      </c>
      <c r="D11" s="68">
        <v>7</v>
      </c>
      <c r="F11" s="66" t="s">
        <v>250</v>
      </c>
      <c r="G11" s="67" t="s">
        <v>247</v>
      </c>
      <c r="H11" s="68">
        <v>2</v>
      </c>
      <c r="I11" s="76">
        <v>1098</v>
      </c>
      <c r="J11" s="70">
        <v>-32</v>
      </c>
      <c r="K11" s="70">
        <v>-34</v>
      </c>
      <c r="L11" s="70">
        <v>28</v>
      </c>
      <c r="M11" s="70">
        <v>18</v>
      </c>
      <c r="N11" s="76">
        <v>5200</v>
      </c>
      <c r="O11" s="76">
        <v>17</v>
      </c>
      <c r="P11" s="77">
        <v>95</v>
      </c>
      <c r="Q11" s="77">
        <v>325</v>
      </c>
      <c r="R11" s="72">
        <v>0.38</v>
      </c>
      <c r="S11" s="77">
        <v>440</v>
      </c>
      <c r="T11" s="77">
        <v>210</v>
      </c>
      <c r="U11" s="73">
        <v>1.2</v>
      </c>
      <c r="V11" s="73">
        <v>0.1</v>
      </c>
      <c r="W11" s="72">
        <v>0.38</v>
      </c>
      <c r="X11" s="72">
        <v>0.51</v>
      </c>
      <c r="Y11" s="72">
        <v>0.14000000000000001</v>
      </c>
      <c r="Z11" s="74">
        <v>0.08</v>
      </c>
      <c r="AA11" s="74">
        <v>0.04</v>
      </c>
      <c r="AB11" s="74">
        <v>0.02</v>
      </c>
      <c r="AC11" s="74">
        <v>0.09</v>
      </c>
      <c r="AE11" s="62" t="s">
        <v>267</v>
      </c>
      <c r="AF11" s="75">
        <f t="shared" si="0"/>
        <v>341</v>
      </c>
      <c r="AG11" s="62">
        <v>16</v>
      </c>
      <c r="AH11" s="59"/>
      <c r="AI11" s="62">
        <v>9</v>
      </c>
      <c r="AJ11" s="63" t="str">
        <f ca="1">IF(design_loads!$E$5="","",IF($AI11&gt;INDEX($AG$3:$AG$16,MATCH(design_loads!$E$5,$AE$3:$AE$16)),"&lt;scroll up&gt;",OFFSET(OFFSET('NBCC_C-2'!$B$1,INDEX($AF$3:$AF$16,MATCH(design_loads!$E$5,$AE$3:$AE$16))-1,0),$AI11-1,0)))</f>
        <v>Cache Creek</v>
      </c>
      <c r="AK11" s="63" t="str">
        <f ca="1">IF(design_loads!$E$6="","",IF($AI11&gt;INDEX($AG$3:$AG$16,MATCH(design_loads!$E$6,$AE$3:$AE$16)),"&lt;scroll up&gt;",OFFSET(OFFSET('NBCC_C-2'!$B$1,INDEX($AF$3:$AF$16,MATCH(design_loads!$E$6,$AE$3:$AE$16))-1,0),$AI11-1,0)))</f>
        <v/>
      </c>
      <c r="AL11" s="63" t="str">
        <f ca="1">IF(design_loads!$E$7="","",IF($AI11&gt;INDEX($AG$3:$AG$16,MATCH(design_loads!$E$7,$AE$3:$AE$16)),"&lt;scroll up&gt;",OFFSET(OFFSET('NBCC_C-2'!$B$1,INDEX($AF$3:$AF$16,MATCH(design_loads!$E$7,$AE$3:$AE$16))-1,0),$AI11-1,0)))</f>
        <v/>
      </c>
      <c r="AM11" s="63" t="str">
        <f ca="1">IF(design_loads!$E$8="","",IF($AI11&gt;INDEX($AG$3:$AG$16,MATCH(design_loads!$E$8,$AE$3:$AE$16)),"&lt;scroll up&gt;",OFFSET(OFFSET('NBCC_C-2'!$B$1,INDEX($AF$3:$AF$16,MATCH(design_loads!$E$8,$AE$3:$AE$16))-1,0),$AI11-1,0)))</f>
        <v/>
      </c>
    </row>
    <row r="12" spans="2:39" x14ac:dyDescent="0.2">
      <c r="B12" s="66" t="s">
        <v>268</v>
      </c>
      <c r="C12" s="67" t="s">
        <v>247</v>
      </c>
      <c r="D12" s="68">
        <v>8</v>
      </c>
      <c r="F12" s="66" t="s">
        <v>269</v>
      </c>
      <c r="G12" s="67" t="s">
        <v>270</v>
      </c>
      <c r="H12" s="68">
        <v>1</v>
      </c>
      <c r="I12" s="70">
        <v>920</v>
      </c>
      <c r="J12" s="70">
        <v>-44</v>
      </c>
      <c r="K12" s="70">
        <v>-46</v>
      </c>
      <c r="L12" s="70">
        <v>23</v>
      </c>
      <c r="M12" s="70">
        <v>16</v>
      </c>
      <c r="N12" s="70">
        <v>8100</v>
      </c>
      <c r="O12" s="70">
        <v>8</v>
      </c>
      <c r="P12" s="71">
        <v>43</v>
      </c>
      <c r="Q12" s="71">
        <v>190</v>
      </c>
      <c r="R12" s="72">
        <v>0.56999999999999995</v>
      </c>
      <c r="S12" s="71">
        <v>275</v>
      </c>
      <c r="T12" s="71">
        <v>40</v>
      </c>
      <c r="U12" s="73">
        <v>1.9</v>
      </c>
      <c r="V12" s="73">
        <v>0.1</v>
      </c>
      <c r="W12" s="72">
        <v>0.28999999999999998</v>
      </c>
      <c r="X12" s="72">
        <v>0.38</v>
      </c>
      <c r="Y12" s="72">
        <v>0.26</v>
      </c>
      <c r="Z12" s="74">
        <v>0.19</v>
      </c>
      <c r="AA12" s="74">
        <v>0.12</v>
      </c>
      <c r="AB12" s="74">
        <v>7.2999999999999995E-2</v>
      </c>
      <c r="AC12" s="74">
        <v>0.13</v>
      </c>
      <c r="AE12" s="62" t="s">
        <v>264</v>
      </c>
      <c r="AF12" s="75">
        <f t="shared" si="0"/>
        <v>357</v>
      </c>
      <c r="AG12" s="62">
        <v>221</v>
      </c>
      <c r="AH12" s="59"/>
      <c r="AI12" s="62">
        <v>10</v>
      </c>
      <c r="AJ12" s="63" t="str">
        <f ca="1">IF(design_loads!$E$5="","",IF($AI12&gt;INDEX($AG$3:$AG$16,MATCH(design_loads!$E$5,$AE$3:$AE$16)),"&lt;scroll up&gt;",OFFSET(OFFSET('NBCC_C-2'!$B$1,INDEX($AF$3:$AF$16,MATCH(design_loads!$E$5,$AE$3:$AE$16))-1,0),$AI12-1,0)))</f>
        <v>Campbell River</v>
      </c>
      <c r="AK12" s="63" t="str">
        <f ca="1">IF(design_loads!$E$6="","",IF($AI12&gt;INDEX($AG$3:$AG$16,MATCH(design_loads!$E$6,$AE$3:$AE$16)),"&lt;scroll up&gt;",OFFSET(OFFSET('NBCC_C-2'!$B$1,INDEX($AF$3:$AF$16,MATCH(design_loads!$E$6,$AE$3:$AE$16))-1,0),$AI12-1,0)))</f>
        <v/>
      </c>
      <c r="AL12" s="63" t="str">
        <f ca="1">IF(design_loads!$E$7="","",IF($AI12&gt;INDEX($AG$3:$AG$16,MATCH(design_loads!$E$7,$AE$3:$AE$16)),"&lt;scroll up&gt;",OFFSET(OFFSET('NBCC_C-2'!$B$1,INDEX($AF$3:$AF$16,MATCH(design_loads!$E$7,$AE$3:$AE$16))-1,0),$AI12-1,0)))</f>
        <v/>
      </c>
      <c r="AM12" s="63" t="str">
        <f ca="1">IF(design_loads!$E$8="","",IF($AI12&gt;INDEX($AG$3:$AG$16,MATCH(design_loads!$E$8,$AE$3:$AE$16)),"&lt;scroll up&gt;",OFFSET(OFFSET('NBCC_C-2'!$B$1,INDEX($AF$3:$AF$16,MATCH(design_loads!$E$8,$AE$3:$AE$16))-1,0),$AI12-1,0)))</f>
        <v/>
      </c>
    </row>
    <row r="13" spans="2:39" x14ac:dyDescent="0.2">
      <c r="B13" s="66" t="s">
        <v>271</v>
      </c>
      <c r="C13" s="67" t="s">
        <v>247</v>
      </c>
      <c r="D13" s="68">
        <v>9</v>
      </c>
      <c r="F13" s="66" t="s">
        <v>272</v>
      </c>
      <c r="G13" s="67" t="s">
        <v>264</v>
      </c>
      <c r="H13" s="68">
        <v>2</v>
      </c>
      <c r="I13" s="70">
        <v>95</v>
      </c>
      <c r="J13" s="70">
        <v>-20</v>
      </c>
      <c r="K13" s="70">
        <v>-22</v>
      </c>
      <c r="L13" s="70">
        <v>30</v>
      </c>
      <c r="M13" s="70">
        <v>23</v>
      </c>
      <c r="N13" s="70">
        <v>4000</v>
      </c>
      <c r="O13" s="70">
        <v>23</v>
      </c>
      <c r="P13" s="71">
        <v>92</v>
      </c>
      <c r="Q13" s="71">
        <v>760</v>
      </c>
      <c r="R13" s="72">
        <v>0.9</v>
      </c>
      <c r="S13" s="71">
        <v>825</v>
      </c>
      <c r="T13" s="71">
        <v>160</v>
      </c>
      <c r="U13" s="73">
        <v>1</v>
      </c>
      <c r="V13" s="73">
        <v>0.4</v>
      </c>
      <c r="W13" s="72">
        <v>0.43</v>
      </c>
      <c r="X13" s="72">
        <v>0.56999999999999995</v>
      </c>
      <c r="Y13" s="72">
        <v>0.22</v>
      </c>
      <c r="Z13" s="74">
        <v>0.11</v>
      </c>
      <c r="AA13" s="74">
        <v>5.8000000000000003E-2</v>
      </c>
      <c r="AB13" s="74">
        <v>1.4999999999999999E-2</v>
      </c>
      <c r="AC13" s="74">
        <v>0.12</v>
      </c>
      <c r="AE13" s="62" t="s">
        <v>273</v>
      </c>
      <c r="AF13" s="75">
        <f t="shared" si="0"/>
        <v>578</v>
      </c>
      <c r="AG13" s="62">
        <v>4</v>
      </c>
      <c r="AH13" s="59"/>
      <c r="AI13" s="62">
        <v>11</v>
      </c>
      <c r="AJ13" s="63" t="str">
        <f ca="1">IF(design_loads!$E$5="","",IF($AI13&gt;INDEX($AG$3:$AG$16,MATCH(design_loads!$E$5,$AE$3:$AE$16)),"&lt;scroll up&gt;",OFFSET(OFFSET('NBCC_C-2'!$B$1,INDEX($AF$3:$AF$16,MATCH(design_loads!$E$5,$AE$3:$AE$16))-1,0),$AI13-1,0)))</f>
        <v>Carmi</v>
      </c>
      <c r="AK13" s="63" t="str">
        <f ca="1">IF(design_loads!$E$6="","",IF($AI13&gt;INDEX($AG$3:$AG$16,MATCH(design_loads!$E$6,$AE$3:$AE$16)),"&lt;scroll up&gt;",OFFSET(OFFSET('NBCC_C-2'!$B$1,INDEX($AF$3:$AF$16,MATCH(design_loads!$E$6,$AE$3:$AE$16))-1,0),$AI13-1,0)))</f>
        <v/>
      </c>
      <c r="AL13" s="63" t="str">
        <f ca="1">IF(design_loads!$E$7="","",IF($AI13&gt;INDEX($AG$3:$AG$16,MATCH(design_loads!$E$7,$AE$3:$AE$16)),"&lt;scroll up&gt;",OFFSET(OFFSET('NBCC_C-2'!$B$1,INDEX($AF$3:$AF$16,MATCH(design_loads!$E$7,$AE$3:$AE$16))-1,0),$AI13-1,0)))</f>
        <v/>
      </c>
      <c r="AM13" s="63" t="str">
        <f ca="1">IF(design_loads!$E$8="","",IF($AI13&gt;INDEX($AG$3:$AG$16,MATCH(design_loads!$E$8,$AE$3:$AE$16)),"&lt;scroll up&gt;",OFFSET(OFFSET('NBCC_C-2'!$B$1,INDEX($AF$3:$AF$16,MATCH(design_loads!$E$8,$AE$3:$AE$16))-1,0),$AI13-1,0)))</f>
        <v/>
      </c>
    </row>
    <row r="14" spans="2:39" x14ac:dyDescent="0.2">
      <c r="B14" s="66" t="s">
        <v>274</v>
      </c>
      <c r="C14" s="67" t="s">
        <v>247</v>
      </c>
      <c r="D14" s="68">
        <v>10</v>
      </c>
      <c r="F14" s="66" t="s">
        <v>275</v>
      </c>
      <c r="G14" s="67" t="s">
        <v>265</v>
      </c>
      <c r="H14" s="68">
        <v>1</v>
      </c>
      <c r="I14" s="70">
        <v>5</v>
      </c>
      <c r="J14" s="70">
        <v>-44</v>
      </c>
      <c r="K14" s="70">
        <v>-46</v>
      </c>
      <c r="L14" s="70">
        <v>24</v>
      </c>
      <c r="M14" s="70">
        <v>16</v>
      </c>
      <c r="N14" s="70">
        <v>10000</v>
      </c>
      <c r="O14" s="70">
        <v>5</v>
      </c>
      <c r="P14" s="71">
        <v>49</v>
      </c>
      <c r="Q14" s="71">
        <v>115</v>
      </c>
      <c r="R14" s="72">
        <v>0.67</v>
      </c>
      <c r="S14" s="71">
        <v>250</v>
      </c>
      <c r="T14" s="71">
        <v>60</v>
      </c>
      <c r="U14" s="73">
        <v>2.2999999999999998</v>
      </c>
      <c r="V14" s="73">
        <v>0.1</v>
      </c>
      <c r="W14" s="72">
        <v>0.37</v>
      </c>
      <c r="X14" s="72">
        <v>0.6</v>
      </c>
      <c r="Y14" s="72">
        <v>0.18</v>
      </c>
      <c r="Z14" s="74">
        <v>0.12</v>
      </c>
      <c r="AA14" s="74">
        <v>0.06</v>
      </c>
      <c r="AB14" s="74">
        <v>3.5000000000000003E-2</v>
      </c>
      <c r="AC14" s="74">
        <v>0.1</v>
      </c>
      <c r="AE14" s="62" t="s">
        <v>257</v>
      </c>
      <c r="AF14" s="75">
        <f t="shared" si="0"/>
        <v>582</v>
      </c>
      <c r="AG14" s="62">
        <v>119</v>
      </c>
      <c r="AH14" s="59"/>
      <c r="AI14" s="62">
        <v>12</v>
      </c>
      <c r="AJ14" s="63" t="str">
        <f ca="1">IF(design_loads!$E$5="","",IF($AI14&gt;INDEX($AG$3:$AG$16,MATCH(design_loads!$E$5,$AE$3:$AE$16)),"&lt;scroll up&gt;",OFFSET(OFFSET('NBCC_C-2'!$B$1,INDEX($AF$3:$AF$16,MATCH(design_loads!$E$5,$AE$3:$AE$16))-1,0),$AI14-1,0)))</f>
        <v>Castlegar</v>
      </c>
      <c r="AK14" s="63" t="str">
        <f ca="1">IF(design_loads!$E$6="","",IF($AI14&gt;INDEX($AG$3:$AG$16,MATCH(design_loads!$E$6,$AE$3:$AE$16)),"&lt;scroll up&gt;",OFFSET(OFFSET('NBCC_C-2'!$B$1,INDEX($AF$3:$AF$16,MATCH(design_loads!$E$6,$AE$3:$AE$16))-1,0),$AI14-1,0)))</f>
        <v/>
      </c>
      <c r="AL14" s="63" t="str">
        <f ca="1">IF(design_loads!$E$7="","",IF($AI14&gt;INDEX($AG$3:$AG$16,MATCH(design_loads!$E$7,$AE$3:$AE$16)),"&lt;scroll up&gt;",OFFSET(OFFSET('NBCC_C-2'!$B$1,INDEX($AF$3:$AF$16,MATCH(design_loads!$E$7,$AE$3:$AE$16))-1,0),$AI14-1,0)))</f>
        <v/>
      </c>
      <c r="AM14" s="63" t="str">
        <f ca="1">IF(design_loads!$E$8="","",IF($AI14&gt;INDEX($AG$3:$AG$16,MATCH(design_loads!$E$8,$AE$3:$AE$16)),"&lt;scroll up&gt;",OFFSET(OFFSET('NBCC_C-2'!$B$1,INDEX($AF$3:$AF$16,MATCH(design_loads!$E$8,$AE$3:$AE$16))-1,0),$AI14-1,0)))</f>
        <v/>
      </c>
    </row>
    <row r="15" spans="2:39" x14ac:dyDescent="0.2">
      <c r="B15" s="66" t="s">
        <v>276</v>
      </c>
      <c r="C15" s="67" t="s">
        <v>247</v>
      </c>
      <c r="D15" s="68">
        <v>11</v>
      </c>
      <c r="F15" s="66" t="s">
        <v>277</v>
      </c>
      <c r="G15" s="67" t="s">
        <v>224</v>
      </c>
      <c r="H15" s="68">
        <v>4</v>
      </c>
      <c r="I15" s="70">
        <v>12</v>
      </c>
      <c r="J15" s="70">
        <v>-5</v>
      </c>
      <c r="K15" s="70">
        <v>-7</v>
      </c>
      <c r="L15" s="70">
        <v>31</v>
      </c>
      <c r="M15" s="70">
        <v>18</v>
      </c>
      <c r="N15" s="70">
        <v>3400</v>
      </c>
      <c r="O15" s="70">
        <v>10</v>
      </c>
      <c r="P15" s="71">
        <v>144</v>
      </c>
      <c r="Q15" s="71">
        <v>1900</v>
      </c>
      <c r="R15" s="72">
        <v>2</v>
      </c>
      <c r="S15" s="71">
        <v>2000</v>
      </c>
      <c r="T15" s="71">
        <v>220</v>
      </c>
      <c r="U15" s="73">
        <v>3</v>
      </c>
      <c r="V15" s="73">
        <v>0.4</v>
      </c>
      <c r="W15" s="72">
        <v>0.47</v>
      </c>
      <c r="X15" s="72">
        <v>0.63</v>
      </c>
      <c r="Y15" s="72">
        <v>0.75</v>
      </c>
      <c r="Z15" s="74">
        <v>0.55000000000000004</v>
      </c>
      <c r="AA15" s="74">
        <v>0.3</v>
      </c>
      <c r="AB15" s="74">
        <v>0.16</v>
      </c>
      <c r="AC15" s="74">
        <v>0.35</v>
      </c>
      <c r="AE15" s="62" t="s">
        <v>278</v>
      </c>
      <c r="AF15" s="75">
        <f t="shared" si="0"/>
        <v>701</v>
      </c>
      <c r="AG15" s="62">
        <v>31</v>
      </c>
      <c r="AH15" s="59"/>
      <c r="AI15" s="62">
        <v>13</v>
      </c>
      <c r="AJ15" s="63" t="str">
        <f ca="1">IF(design_loads!$E$5="","",IF($AI15&gt;INDEX($AG$3:$AG$16,MATCH(design_loads!$E$5,$AE$3:$AE$16)),"&lt;scroll up&gt;",OFFSET(OFFSET('NBCC_C-2'!$B$1,INDEX($AF$3:$AF$16,MATCH(design_loads!$E$5,$AE$3:$AE$16))-1,0),$AI15-1,0)))</f>
        <v>Chetwynd</v>
      </c>
      <c r="AK15" s="63" t="str">
        <f ca="1">IF(design_loads!$E$6="","",IF($AI15&gt;INDEX($AG$3:$AG$16,MATCH(design_loads!$E$6,$AE$3:$AE$16)),"&lt;scroll up&gt;",OFFSET(OFFSET('NBCC_C-2'!$B$1,INDEX($AF$3:$AF$16,MATCH(design_loads!$E$6,$AE$3:$AE$16))-1,0),$AI15-1,0)))</f>
        <v/>
      </c>
      <c r="AL15" s="63" t="str">
        <f ca="1">IF(design_loads!$E$7="","",IF($AI15&gt;INDEX($AG$3:$AG$16,MATCH(design_loads!$E$7,$AE$3:$AE$16)),"&lt;scroll up&gt;",OFFSET(OFFSET('NBCC_C-2'!$B$1,INDEX($AF$3:$AF$16,MATCH(design_loads!$E$7,$AE$3:$AE$16))-1,0),$AI15-1,0)))</f>
        <v/>
      </c>
      <c r="AM15" s="63" t="str">
        <f ca="1">IF(design_loads!$E$8="","",IF($AI15&gt;INDEX($AG$3:$AG$16,MATCH(design_loads!$E$8,$AE$3:$AE$16)),"&lt;scroll up&gt;",OFFSET(OFFSET('NBCC_C-2'!$B$1,INDEX($AF$3:$AF$16,MATCH(design_loads!$E$8,$AE$3:$AE$16))-1,0),$AI15-1,0)))</f>
        <v/>
      </c>
    </row>
    <row r="16" spans="2:39" x14ac:dyDescent="0.2">
      <c r="B16" s="66" t="s">
        <v>279</v>
      </c>
      <c r="C16" s="67" t="s">
        <v>247</v>
      </c>
      <c r="D16" s="68">
        <v>12</v>
      </c>
      <c r="F16" s="66" t="s">
        <v>280</v>
      </c>
      <c r="G16" s="67" t="s">
        <v>267</v>
      </c>
      <c r="H16" s="68">
        <v>1</v>
      </c>
      <c r="I16" s="70">
        <v>5</v>
      </c>
      <c r="J16" s="70">
        <v>-43</v>
      </c>
      <c r="K16" s="70">
        <v>-45</v>
      </c>
      <c r="L16" s="70">
        <v>13</v>
      </c>
      <c r="M16" s="70">
        <v>9</v>
      </c>
      <c r="N16" s="70">
        <v>13200</v>
      </c>
      <c r="O16" s="70">
        <v>3</v>
      </c>
      <c r="P16" s="71">
        <v>22</v>
      </c>
      <c r="Q16" s="71">
        <v>20</v>
      </c>
      <c r="R16" s="72">
        <v>0.95</v>
      </c>
      <c r="S16" s="71">
        <v>150</v>
      </c>
      <c r="T16" s="71">
        <v>100</v>
      </c>
      <c r="U16" s="73">
        <v>1.6</v>
      </c>
      <c r="V16" s="73">
        <v>0.1</v>
      </c>
      <c r="W16" s="72">
        <v>0.54</v>
      </c>
      <c r="X16" s="72">
        <v>0.76</v>
      </c>
      <c r="Y16" s="72">
        <v>0.12</v>
      </c>
      <c r="Z16" s="74">
        <v>5.6000000000000001E-2</v>
      </c>
      <c r="AA16" s="74">
        <v>2.3E-2</v>
      </c>
      <c r="AB16" s="74">
        <v>6.0000000000000001E-3</v>
      </c>
      <c r="AC16" s="74">
        <v>5.8999999999999997E-2</v>
      </c>
      <c r="AE16" s="62" t="s">
        <v>270</v>
      </c>
      <c r="AF16" s="75">
        <f t="shared" si="0"/>
        <v>732</v>
      </c>
      <c r="AG16" s="62">
        <v>7</v>
      </c>
      <c r="AH16" s="59"/>
      <c r="AI16" s="62">
        <v>14</v>
      </c>
      <c r="AJ16" s="63" t="str">
        <f ca="1">IF(design_loads!$E$5="","",IF($AI16&gt;INDEX($AG$3:$AG$16,MATCH(design_loads!$E$5,$AE$3:$AE$16)),"&lt;scroll up&gt;",OFFSET(OFFSET('NBCC_C-2'!$B$1,INDEX($AF$3:$AF$16,MATCH(design_loads!$E$5,$AE$3:$AE$16))-1,0),$AI16-1,0)))</f>
        <v>Chilliwack</v>
      </c>
      <c r="AK16" s="63" t="str">
        <f ca="1">IF(design_loads!$E$6="","",IF($AI16&gt;INDEX($AG$3:$AG$16,MATCH(design_loads!$E$6,$AE$3:$AE$16)),"&lt;scroll up&gt;",OFFSET(OFFSET('NBCC_C-2'!$B$1,INDEX($AF$3:$AF$16,MATCH(design_loads!$E$6,$AE$3:$AE$16))-1,0),$AI16-1,0)))</f>
        <v/>
      </c>
      <c r="AL16" s="63" t="str">
        <f ca="1">IF(design_loads!$E$7="","",IF($AI16&gt;INDEX($AG$3:$AG$16,MATCH(design_loads!$E$7,$AE$3:$AE$16)),"&lt;scroll up&gt;",OFFSET(OFFSET('NBCC_C-2'!$B$1,INDEX($AF$3:$AF$16,MATCH(design_loads!$E$7,$AE$3:$AE$16))-1,0),$AI16-1,0)))</f>
        <v/>
      </c>
      <c r="AM16" s="63" t="str">
        <f ca="1">IF(design_loads!$E$8="","",IF($AI16&gt;INDEX($AG$3:$AG$16,MATCH(design_loads!$E$8,$AE$3:$AE$16)),"&lt;scroll up&gt;",OFFSET(OFFSET('NBCC_C-2'!$B$1,INDEX($AF$3:$AF$16,MATCH(design_loads!$E$8,$AE$3:$AE$16))-1,0),$AI16-1,0)))</f>
        <v/>
      </c>
    </row>
    <row r="17" spans="2:39" x14ac:dyDescent="0.2">
      <c r="B17" s="66" t="s">
        <v>281</v>
      </c>
      <c r="C17" s="67" t="s">
        <v>247</v>
      </c>
      <c r="D17" s="68">
        <v>13</v>
      </c>
      <c r="F17" s="66" t="s">
        <v>282</v>
      </c>
      <c r="G17" s="67" t="s">
        <v>264</v>
      </c>
      <c r="H17" s="68">
        <v>3</v>
      </c>
      <c r="I17" s="70">
        <v>80</v>
      </c>
      <c r="J17" s="70">
        <v>-24</v>
      </c>
      <c r="K17" s="70">
        <v>-26</v>
      </c>
      <c r="L17" s="70">
        <v>30</v>
      </c>
      <c r="M17" s="70">
        <v>23</v>
      </c>
      <c r="N17" s="70">
        <v>4600</v>
      </c>
      <c r="O17" s="70">
        <v>28</v>
      </c>
      <c r="P17" s="71">
        <v>103</v>
      </c>
      <c r="Q17" s="71">
        <v>800</v>
      </c>
      <c r="R17" s="72">
        <v>0.91</v>
      </c>
      <c r="S17" s="71">
        <v>975</v>
      </c>
      <c r="T17" s="71">
        <v>160</v>
      </c>
      <c r="U17" s="73">
        <v>2.4</v>
      </c>
      <c r="V17" s="73">
        <v>0.4</v>
      </c>
      <c r="W17" s="72">
        <v>0.3</v>
      </c>
      <c r="X17" s="72">
        <v>0.4</v>
      </c>
      <c r="Y17" s="72">
        <v>0.68</v>
      </c>
      <c r="Z17" s="74">
        <v>0.33</v>
      </c>
      <c r="AA17" s="74">
        <v>0.14000000000000001</v>
      </c>
      <c r="AB17" s="74">
        <v>4.5999999999999999E-2</v>
      </c>
      <c r="AC17" s="74">
        <v>0.42</v>
      </c>
      <c r="AE17" s="59"/>
      <c r="AF17" s="59"/>
      <c r="AG17" s="59"/>
      <c r="AH17" s="59"/>
      <c r="AI17" s="62">
        <v>15</v>
      </c>
      <c r="AJ17" s="63" t="str">
        <f ca="1">IF(design_loads!$E$5="","",IF($AI17&gt;INDEX($AG$3:$AG$16,MATCH(design_loads!$E$5,$AE$3:$AE$16)),"&lt;scroll up&gt;",OFFSET(OFFSET('NBCC_C-2'!$B$1,INDEX($AF$3:$AF$16,MATCH(design_loads!$E$5,$AE$3:$AE$16))-1,0),$AI17-1,0)))</f>
        <v>Cloverdale</v>
      </c>
      <c r="AK17" s="63" t="str">
        <f ca="1">IF(design_loads!$E$6="","",IF($AI17&gt;INDEX($AG$3:$AG$16,MATCH(design_loads!$E$6,$AE$3:$AE$16)),"&lt;scroll up&gt;",OFFSET(OFFSET('NBCC_C-2'!$B$1,INDEX($AF$3:$AF$16,MATCH(design_loads!$E$6,$AE$3:$AE$16))-1,0),$AI17-1,0)))</f>
        <v/>
      </c>
      <c r="AL17" s="63" t="str">
        <f ca="1">IF(design_loads!$E$7="","",IF($AI17&gt;INDEX($AG$3:$AG$16,MATCH(design_loads!$E$7,$AE$3:$AE$16)),"&lt;scroll up&gt;",OFFSET(OFFSET('NBCC_C-2'!$B$1,INDEX($AF$3:$AF$16,MATCH(design_loads!$E$7,$AE$3:$AE$16))-1,0),$AI17-1,0)))</f>
        <v/>
      </c>
      <c r="AM17" s="63" t="str">
        <f ca="1">IF(design_loads!$E$8="","",IF($AI17&gt;INDEX($AG$3:$AG$16,MATCH(design_loads!$E$8,$AE$3:$AE$16)),"&lt;scroll up&gt;",OFFSET(OFFSET('NBCC_C-2'!$B$1,INDEX($AF$3:$AF$16,MATCH(design_loads!$E$8,$AE$3:$AE$16))-1,0),$AI17-1,0)))</f>
        <v/>
      </c>
    </row>
    <row r="18" spans="2:39" x14ac:dyDescent="0.2">
      <c r="B18" s="66" t="s">
        <v>283</v>
      </c>
      <c r="C18" s="67" t="s">
        <v>247</v>
      </c>
      <c r="D18" s="68">
        <v>14</v>
      </c>
      <c r="F18" s="66" t="s">
        <v>284</v>
      </c>
      <c r="G18" s="67" t="s">
        <v>264</v>
      </c>
      <c r="H18" s="68">
        <v>4</v>
      </c>
      <c r="I18" s="70">
        <v>220</v>
      </c>
      <c r="J18" s="70">
        <v>-23</v>
      </c>
      <c r="K18" s="70">
        <v>-25</v>
      </c>
      <c r="L18" s="70">
        <v>29</v>
      </c>
      <c r="M18" s="70">
        <v>23</v>
      </c>
      <c r="N18" s="70">
        <v>4400</v>
      </c>
      <c r="O18" s="70">
        <v>28</v>
      </c>
      <c r="P18" s="71">
        <v>113</v>
      </c>
      <c r="Q18" s="71">
        <v>690</v>
      </c>
      <c r="R18" s="72">
        <v>0.81</v>
      </c>
      <c r="S18" s="71">
        <v>875</v>
      </c>
      <c r="T18" s="71">
        <v>120</v>
      </c>
      <c r="U18" s="73">
        <v>2</v>
      </c>
      <c r="V18" s="73">
        <v>0.4</v>
      </c>
      <c r="W18" s="72">
        <v>0.22</v>
      </c>
      <c r="X18" s="72">
        <v>0.33</v>
      </c>
      <c r="Y18" s="72">
        <v>0.17</v>
      </c>
      <c r="Z18" s="74">
        <v>9.1999999999999998E-2</v>
      </c>
      <c r="AA18" s="74">
        <v>4.8000000000000001E-2</v>
      </c>
      <c r="AB18" s="74">
        <v>1.2999999999999999E-2</v>
      </c>
      <c r="AC18" s="74">
        <v>8.6999999999999994E-2</v>
      </c>
      <c r="AE18" s="59"/>
      <c r="AF18" s="59"/>
      <c r="AG18" s="59"/>
      <c r="AH18" s="59"/>
      <c r="AI18" s="62">
        <v>16</v>
      </c>
      <c r="AJ18" s="63" t="str">
        <f ca="1">IF(design_loads!$E$5="","",IF($AI18&gt;INDEX($AG$3:$AG$16,MATCH(design_loads!$E$5,$AE$3:$AE$16)),"&lt;scroll up&gt;",OFFSET(OFFSET('NBCC_C-2'!$B$1,INDEX($AF$3:$AF$16,MATCH(design_loads!$E$5,$AE$3:$AE$16))-1,0),$AI18-1,0)))</f>
        <v>Comox</v>
      </c>
      <c r="AK18" s="63" t="str">
        <f ca="1">IF(design_loads!$E$6="","",IF($AI18&gt;INDEX($AG$3:$AG$16,MATCH(design_loads!$E$6,$AE$3:$AE$16)),"&lt;scroll up&gt;",OFFSET(OFFSET('NBCC_C-2'!$B$1,INDEX($AF$3:$AF$16,MATCH(design_loads!$E$6,$AE$3:$AE$16))-1,0),$AI18-1,0)))</f>
        <v/>
      </c>
      <c r="AL18" s="63" t="str">
        <f ca="1">IF(design_loads!$E$7="","",IF($AI18&gt;INDEX($AG$3:$AG$16,MATCH(design_loads!$E$7,$AE$3:$AE$16)),"&lt;scroll up&gt;",OFFSET(OFFSET('NBCC_C-2'!$B$1,INDEX($AF$3:$AF$16,MATCH(design_loads!$E$7,$AE$3:$AE$16))-1,0),$AI18-1,0)))</f>
        <v/>
      </c>
      <c r="AM18" s="63" t="str">
        <f ca="1">IF(design_loads!$E$8="","",IF($AI18&gt;INDEX($AG$3:$AG$16,MATCH(design_loads!$E$8,$AE$3:$AE$16)),"&lt;scroll up&gt;",OFFSET(OFFSET('NBCC_C-2'!$B$1,INDEX($AF$3:$AF$16,MATCH(design_loads!$E$8,$AE$3:$AE$16))-1,0),$AI18-1,0)))</f>
        <v/>
      </c>
    </row>
    <row r="19" spans="2:39" x14ac:dyDescent="0.2">
      <c r="B19" s="66" t="s">
        <v>285</v>
      </c>
      <c r="C19" s="67" t="s">
        <v>247</v>
      </c>
      <c r="D19" s="68">
        <v>15</v>
      </c>
      <c r="F19" s="66" t="s">
        <v>286</v>
      </c>
      <c r="G19" s="67" t="s">
        <v>254</v>
      </c>
      <c r="H19" s="68">
        <v>1</v>
      </c>
      <c r="I19" s="70">
        <v>110</v>
      </c>
      <c r="J19" s="70">
        <v>-30</v>
      </c>
      <c r="K19" s="70">
        <v>-32</v>
      </c>
      <c r="L19" s="70">
        <v>29</v>
      </c>
      <c r="M19" s="70">
        <v>21</v>
      </c>
      <c r="N19" s="70">
        <v>5800</v>
      </c>
      <c r="O19" s="70">
        <v>20</v>
      </c>
      <c r="P19" s="71">
        <v>91</v>
      </c>
      <c r="Q19" s="71">
        <v>700</v>
      </c>
      <c r="R19" s="72">
        <v>0.86</v>
      </c>
      <c r="S19" s="71">
        <v>950</v>
      </c>
      <c r="T19" s="71">
        <v>160</v>
      </c>
      <c r="U19" s="73">
        <v>3.3</v>
      </c>
      <c r="V19" s="73">
        <v>0.4</v>
      </c>
      <c r="W19" s="72">
        <v>0.23</v>
      </c>
      <c r="X19" s="72">
        <v>0.32</v>
      </c>
      <c r="Y19" s="72">
        <v>0.59</v>
      </c>
      <c r="Z19" s="74">
        <v>0.26</v>
      </c>
      <c r="AA19" s="74">
        <v>0.11</v>
      </c>
      <c r="AB19" s="74">
        <v>3.6999999999999998E-2</v>
      </c>
      <c r="AC19" s="74">
        <v>0.38</v>
      </c>
      <c r="AE19" s="59"/>
      <c r="AF19" s="59"/>
      <c r="AG19" s="59"/>
      <c r="AH19" s="59"/>
      <c r="AI19" s="62">
        <v>17</v>
      </c>
      <c r="AJ19" s="63" t="str">
        <f ca="1">IF(design_loads!$E$5="","",IF($AI19&gt;INDEX($AG$3:$AG$16,MATCH(design_loads!$E$5,$AE$3:$AE$16)),"&lt;scroll up&gt;",OFFSET(OFFSET('NBCC_C-2'!$B$1,INDEX($AF$3:$AF$16,MATCH(design_loads!$E$5,$AE$3:$AE$16))-1,0),$AI19-1,0)))</f>
        <v>Courtenay</v>
      </c>
      <c r="AK19" s="63" t="str">
        <f ca="1">IF(design_loads!$E$6="","",IF($AI19&gt;INDEX($AG$3:$AG$16,MATCH(design_loads!$E$6,$AE$3:$AE$16)),"&lt;scroll up&gt;",OFFSET(OFFSET('NBCC_C-2'!$B$1,INDEX($AF$3:$AF$16,MATCH(design_loads!$E$6,$AE$3:$AE$16))-1,0),$AI19-1,0)))</f>
        <v/>
      </c>
      <c r="AL19" s="63" t="str">
        <f ca="1">IF(design_loads!$E$7="","",IF($AI19&gt;INDEX($AG$3:$AG$16,MATCH(design_loads!$E$7,$AE$3:$AE$16)),"&lt;scroll up&gt;",OFFSET(OFFSET('NBCC_C-2'!$B$1,INDEX($AF$3:$AF$16,MATCH(design_loads!$E$7,$AE$3:$AE$16))-1,0),$AI19-1,0)))</f>
        <v/>
      </c>
      <c r="AM19" s="63" t="str">
        <f ca="1">IF(design_loads!$E$8="","",IF($AI19&gt;INDEX($AG$3:$AG$16,MATCH(design_loads!$E$8,$AE$3:$AE$16)),"&lt;scroll up&gt;",OFFSET(OFFSET('NBCC_C-2'!$B$1,INDEX($AF$3:$AF$16,MATCH(design_loads!$E$8,$AE$3:$AE$16))-1,0),$AI19-1,0)))</f>
        <v/>
      </c>
    </row>
    <row r="20" spans="2:39" x14ac:dyDescent="0.2">
      <c r="B20" s="66" t="s">
        <v>287</v>
      </c>
      <c r="C20" s="67" t="s">
        <v>247</v>
      </c>
      <c r="D20" s="68">
        <v>16</v>
      </c>
      <c r="F20" s="66" t="s">
        <v>286</v>
      </c>
      <c r="G20" s="67" t="s">
        <v>257</v>
      </c>
      <c r="H20" s="68">
        <v>2</v>
      </c>
      <c r="I20" s="70">
        <v>5</v>
      </c>
      <c r="J20" s="70">
        <v>-21</v>
      </c>
      <c r="K20" s="70">
        <v>-23</v>
      </c>
      <c r="L20" s="70">
        <v>26</v>
      </c>
      <c r="M20" s="70">
        <v>20</v>
      </c>
      <c r="N20" s="70">
        <v>4600</v>
      </c>
      <c r="O20" s="70">
        <v>18</v>
      </c>
      <c r="P20" s="71">
        <v>144</v>
      </c>
      <c r="Q20" s="71">
        <v>1175</v>
      </c>
      <c r="R20" s="72">
        <v>1.32</v>
      </c>
      <c r="S20" s="71">
        <v>1450</v>
      </c>
      <c r="T20" s="71">
        <v>260</v>
      </c>
      <c r="U20" s="73">
        <v>2.2999999999999998</v>
      </c>
      <c r="V20" s="73">
        <v>0.6</v>
      </c>
      <c r="W20" s="72">
        <v>0.38</v>
      </c>
      <c r="X20" s="72">
        <v>0.56000000000000005</v>
      </c>
      <c r="Y20" s="72">
        <v>0.27</v>
      </c>
      <c r="Z20" s="74">
        <v>0.15</v>
      </c>
      <c r="AA20" s="74">
        <v>6.6000000000000003E-2</v>
      </c>
      <c r="AB20" s="74">
        <v>0.02</v>
      </c>
      <c r="AC20" s="74">
        <v>0.19</v>
      </c>
      <c r="AE20" s="59"/>
      <c r="AF20" s="59"/>
      <c r="AG20" s="59"/>
      <c r="AH20" s="59"/>
      <c r="AI20" s="62">
        <v>18</v>
      </c>
      <c r="AJ20" s="63" t="str">
        <f ca="1">IF(design_loads!$E$5="","",IF($AI20&gt;INDEX($AG$3:$AG$16,MATCH(design_loads!$E$5,$AE$3:$AE$16)),"&lt;scroll up&gt;",OFFSET(OFFSET('NBCC_C-2'!$B$1,INDEX($AF$3:$AF$16,MATCH(design_loads!$E$5,$AE$3:$AE$16))-1,0),$AI20-1,0)))</f>
        <v>Cranbrook</v>
      </c>
      <c r="AK20" s="63" t="str">
        <f ca="1">IF(design_loads!$E$6="","",IF($AI20&gt;INDEX($AG$3:$AG$16,MATCH(design_loads!$E$6,$AE$3:$AE$16)),"&lt;scroll up&gt;",OFFSET(OFFSET('NBCC_C-2'!$B$1,INDEX($AF$3:$AF$16,MATCH(design_loads!$E$6,$AE$3:$AE$16))-1,0),$AI20-1,0)))</f>
        <v/>
      </c>
      <c r="AL20" s="63" t="str">
        <f ca="1">IF(design_loads!$E$7="","",IF($AI20&gt;INDEX($AG$3:$AG$16,MATCH(design_loads!$E$7,$AE$3:$AE$16)),"&lt;scroll up&gt;",OFFSET(OFFSET('NBCC_C-2'!$B$1,INDEX($AF$3:$AF$16,MATCH(design_loads!$E$7,$AE$3:$AE$16))-1,0),$AI20-1,0)))</f>
        <v/>
      </c>
      <c r="AM20" s="63" t="str">
        <f ca="1">IF(design_loads!$E$8="","",IF($AI20&gt;INDEX($AG$3:$AG$16,MATCH(design_loads!$E$8,$AE$3:$AE$16)),"&lt;scroll up&gt;",OFFSET(OFFSET('NBCC_C-2'!$B$1,INDEX($AF$3:$AF$16,MATCH(design_loads!$E$8,$AE$3:$AE$16))-1,0),$AI20-1,0)))</f>
        <v/>
      </c>
    </row>
    <row r="21" spans="2:39" x14ac:dyDescent="0.2">
      <c r="B21" s="66" t="s">
        <v>288</v>
      </c>
      <c r="C21" s="67" t="s">
        <v>247</v>
      </c>
      <c r="D21" s="68">
        <v>17</v>
      </c>
      <c r="F21" s="66" t="s">
        <v>289</v>
      </c>
      <c r="G21" s="67" t="s">
        <v>264</v>
      </c>
      <c r="H21" s="68">
        <v>5</v>
      </c>
      <c r="I21" s="70">
        <v>120</v>
      </c>
      <c r="J21" s="70">
        <v>-26</v>
      </c>
      <c r="K21" s="70">
        <v>-28</v>
      </c>
      <c r="L21" s="70">
        <v>30</v>
      </c>
      <c r="M21" s="70">
        <v>23</v>
      </c>
      <c r="N21" s="70">
        <v>4850</v>
      </c>
      <c r="O21" s="70">
        <v>25</v>
      </c>
      <c r="P21" s="71">
        <v>86</v>
      </c>
      <c r="Q21" s="71">
        <v>730</v>
      </c>
      <c r="R21" s="72">
        <v>0.84</v>
      </c>
      <c r="S21" s="71">
        <v>800</v>
      </c>
      <c r="T21" s="71">
        <v>140</v>
      </c>
      <c r="U21" s="73">
        <v>2.5</v>
      </c>
      <c r="V21" s="73">
        <v>0.4</v>
      </c>
      <c r="W21" s="72">
        <v>0.3</v>
      </c>
      <c r="X21" s="72">
        <v>0.41</v>
      </c>
      <c r="Y21" s="72">
        <v>0.57999999999999996</v>
      </c>
      <c r="Z21" s="74">
        <v>0.28000000000000003</v>
      </c>
      <c r="AA21" s="74">
        <v>0.12</v>
      </c>
      <c r="AB21" s="74">
        <v>3.9E-2</v>
      </c>
      <c r="AC21" s="74">
        <v>0.37</v>
      </c>
      <c r="AE21" s="59"/>
      <c r="AF21" s="59"/>
      <c r="AG21" s="59"/>
      <c r="AH21" s="59"/>
      <c r="AI21" s="62">
        <v>19</v>
      </c>
      <c r="AJ21" s="63" t="str">
        <f ca="1">IF(design_loads!$E$5="","",IF($AI21&gt;INDEX($AG$3:$AG$16,MATCH(design_loads!$E$5,$AE$3:$AE$16)),"&lt;scroll up&gt;",OFFSET(OFFSET('NBCC_C-2'!$B$1,INDEX($AF$3:$AF$16,MATCH(design_loads!$E$5,$AE$3:$AE$16))-1,0),$AI21-1,0)))</f>
        <v>Crescent Valley</v>
      </c>
      <c r="AK21" s="63" t="str">
        <f ca="1">IF(design_loads!$E$6="","",IF($AI21&gt;INDEX($AG$3:$AG$16,MATCH(design_loads!$E$6,$AE$3:$AE$16)),"&lt;scroll up&gt;",OFFSET(OFFSET('NBCC_C-2'!$B$1,INDEX($AF$3:$AF$16,MATCH(design_loads!$E$6,$AE$3:$AE$16))-1,0),$AI21-1,0)))</f>
        <v/>
      </c>
      <c r="AL21" s="63" t="str">
        <f ca="1">IF(design_loads!$E$7="","",IF($AI21&gt;INDEX($AG$3:$AG$16,MATCH(design_loads!$E$7,$AE$3:$AE$16)),"&lt;scroll up&gt;",OFFSET(OFFSET('NBCC_C-2'!$B$1,INDEX($AF$3:$AF$16,MATCH(design_loads!$E$7,$AE$3:$AE$16))-1,0),$AI21-1,0)))</f>
        <v/>
      </c>
      <c r="AM21" s="63" t="str">
        <f ca="1">IF(design_loads!$E$8="","",IF($AI21&gt;INDEX($AG$3:$AG$16,MATCH(design_loads!$E$8,$AE$3:$AE$16)),"&lt;scroll up&gt;",OFFSET(OFFSET('NBCC_C-2'!$B$1,INDEX($AF$3:$AF$16,MATCH(design_loads!$E$8,$AE$3:$AE$16))-1,0),$AI21-1,0)))</f>
        <v/>
      </c>
    </row>
    <row r="22" spans="2:39" x14ac:dyDescent="0.2">
      <c r="B22" s="66" t="s">
        <v>290</v>
      </c>
      <c r="C22" s="67" t="s">
        <v>247</v>
      </c>
      <c r="D22" s="68">
        <v>18</v>
      </c>
      <c r="F22" s="66" t="s">
        <v>291</v>
      </c>
      <c r="G22" s="67" t="s">
        <v>261</v>
      </c>
      <c r="H22" s="68">
        <v>1</v>
      </c>
      <c r="I22" s="70">
        <v>25</v>
      </c>
      <c r="J22" s="70">
        <v>-21</v>
      </c>
      <c r="K22" s="70">
        <v>-24</v>
      </c>
      <c r="L22" s="70">
        <v>27</v>
      </c>
      <c r="M22" s="70">
        <v>21</v>
      </c>
      <c r="N22" s="70">
        <v>4600</v>
      </c>
      <c r="O22" s="70">
        <v>18</v>
      </c>
      <c r="P22" s="71">
        <v>123</v>
      </c>
      <c r="Q22" s="71">
        <v>950</v>
      </c>
      <c r="R22" s="72">
        <v>1.1200000000000001</v>
      </c>
      <c r="S22" s="71">
        <v>1150</v>
      </c>
      <c r="T22" s="71">
        <v>220</v>
      </c>
      <c r="U22" s="73">
        <v>2.4</v>
      </c>
      <c r="V22" s="73">
        <v>0.6</v>
      </c>
      <c r="W22" s="72">
        <v>0.41</v>
      </c>
      <c r="X22" s="72">
        <v>0.57999999999999996</v>
      </c>
      <c r="Y22" s="72">
        <v>0.24</v>
      </c>
      <c r="Z22" s="74">
        <v>0.13</v>
      </c>
      <c r="AA22" s="74">
        <v>6.2E-2</v>
      </c>
      <c r="AB22" s="74">
        <v>1.7999999999999999E-2</v>
      </c>
      <c r="AC22" s="74">
        <v>0.14000000000000001</v>
      </c>
      <c r="AE22" s="59"/>
      <c r="AF22" s="59"/>
      <c r="AG22" s="59"/>
      <c r="AH22" s="59"/>
      <c r="AI22" s="62">
        <v>20</v>
      </c>
      <c r="AJ22" s="63" t="str">
        <f ca="1">IF(design_loads!$E$5="","",IF($AI22&gt;INDEX($AG$3:$AG$16,MATCH(design_loads!$E$5,$AE$3:$AE$16)),"&lt;scroll up&gt;",OFFSET(OFFSET('NBCC_C-2'!$B$1,INDEX($AF$3:$AF$16,MATCH(design_loads!$E$5,$AE$3:$AE$16))-1,0),$AI22-1,0)))</f>
        <v>Crofton</v>
      </c>
      <c r="AK22" s="63" t="str">
        <f ca="1">IF(design_loads!$E$6="","",IF($AI22&gt;INDEX($AG$3:$AG$16,MATCH(design_loads!$E$6,$AE$3:$AE$16)),"&lt;scroll up&gt;",OFFSET(OFFSET('NBCC_C-2'!$B$1,INDEX($AF$3:$AF$16,MATCH(design_loads!$E$6,$AE$3:$AE$16))-1,0),$AI22-1,0)))</f>
        <v/>
      </c>
      <c r="AL22" s="63" t="str">
        <f ca="1">IF(design_loads!$E$7="","",IF($AI22&gt;INDEX($AG$3:$AG$16,MATCH(design_loads!$E$7,$AE$3:$AE$16)),"&lt;scroll up&gt;",OFFSET(OFFSET('NBCC_C-2'!$B$1,INDEX($AF$3:$AF$16,MATCH(design_loads!$E$7,$AE$3:$AE$16))-1,0),$AI22-1,0)))</f>
        <v/>
      </c>
      <c r="AM22" s="63" t="str">
        <f ca="1">IF(design_loads!$E$8="","",IF($AI22&gt;INDEX($AG$3:$AG$16,MATCH(design_loads!$E$8,$AE$3:$AE$16)),"&lt;scroll up&gt;",OFFSET(OFFSET('NBCC_C-2'!$B$1,INDEX($AF$3:$AF$16,MATCH(design_loads!$E$8,$AE$3:$AE$16))-1,0),$AI22-1,0)))</f>
        <v/>
      </c>
    </row>
    <row r="23" spans="2:39" x14ac:dyDescent="0.2">
      <c r="B23" s="66" t="s">
        <v>292</v>
      </c>
      <c r="C23" s="67" t="s">
        <v>247</v>
      </c>
      <c r="D23" s="68">
        <v>19</v>
      </c>
      <c r="F23" s="66" t="s">
        <v>293</v>
      </c>
      <c r="G23" s="67" t="s">
        <v>257</v>
      </c>
      <c r="H23" s="68">
        <v>3</v>
      </c>
      <c r="I23" s="70">
        <v>295</v>
      </c>
      <c r="J23" s="70">
        <v>-34</v>
      </c>
      <c r="K23" s="70">
        <v>-36</v>
      </c>
      <c r="L23" s="70">
        <v>28</v>
      </c>
      <c r="M23" s="70">
        <v>21</v>
      </c>
      <c r="N23" s="70">
        <v>6250</v>
      </c>
      <c r="O23" s="70">
        <v>20</v>
      </c>
      <c r="P23" s="71">
        <v>91</v>
      </c>
      <c r="Q23" s="71">
        <v>670</v>
      </c>
      <c r="R23" s="72">
        <v>0.85</v>
      </c>
      <c r="S23" s="71">
        <v>920</v>
      </c>
      <c r="T23" s="71">
        <v>100</v>
      </c>
      <c r="U23" s="73">
        <v>3.2</v>
      </c>
      <c r="V23" s="73">
        <v>0.3</v>
      </c>
      <c r="W23" s="72">
        <v>0.24</v>
      </c>
      <c r="X23" s="72">
        <v>0.32</v>
      </c>
      <c r="Y23" s="72">
        <v>0.17</v>
      </c>
      <c r="Z23" s="74">
        <v>0.11</v>
      </c>
      <c r="AA23" s="74">
        <v>5.3999999999999999E-2</v>
      </c>
      <c r="AB23" s="74">
        <v>1.4999999999999999E-2</v>
      </c>
      <c r="AC23" s="74">
        <v>8.6999999999999994E-2</v>
      </c>
      <c r="AE23" s="59"/>
      <c r="AF23" s="59"/>
      <c r="AG23" s="59"/>
      <c r="AH23" s="59"/>
      <c r="AI23" s="62">
        <v>21</v>
      </c>
      <c r="AJ23" s="63" t="str">
        <f ca="1">IF(design_loads!$E$5="","",IF($AI23&gt;INDEX($AG$3:$AG$16,MATCH(design_loads!$E$5,$AE$3:$AE$16)),"&lt;scroll up&gt;",OFFSET(OFFSET('NBCC_C-2'!$B$1,INDEX($AF$3:$AF$16,MATCH(design_loads!$E$5,$AE$3:$AE$16))-1,0),$AI23-1,0)))</f>
        <v>Dawson Creek</v>
      </c>
      <c r="AK23" s="63" t="str">
        <f ca="1">IF(design_loads!$E$6="","",IF($AI23&gt;INDEX($AG$3:$AG$16,MATCH(design_loads!$E$6,$AE$3:$AE$16)),"&lt;scroll up&gt;",OFFSET(OFFSET('NBCC_C-2'!$B$1,INDEX($AF$3:$AF$16,MATCH(design_loads!$E$6,$AE$3:$AE$16))-1,0),$AI23-1,0)))</f>
        <v/>
      </c>
      <c r="AL23" s="63" t="str">
        <f ca="1">IF(design_loads!$E$7="","",IF($AI23&gt;INDEX($AG$3:$AG$16,MATCH(design_loads!$E$7,$AE$3:$AE$16)),"&lt;scroll up&gt;",OFFSET(OFFSET('NBCC_C-2'!$B$1,INDEX($AF$3:$AF$16,MATCH(design_loads!$E$7,$AE$3:$AE$16))-1,0),$AI23-1,0)))</f>
        <v/>
      </c>
      <c r="AM23" s="63" t="str">
        <f ca="1">IF(design_loads!$E$8="","",IF($AI23&gt;INDEX($AG$3:$AG$16,MATCH(design_loads!$E$8,$AE$3:$AE$16)),"&lt;scroll up&gt;",OFFSET(OFFSET('NBCC_C-2'!$B$1,INDEX($AF$3:$AF$16,MATCH(design_loads!$E$8,$AE$3:$AE$16))-1,0),$AI23-1,0)))</f>
        <v/>
      </c>
    </row>
    <row r="24" spans="2:39" x14ac:dyDescent="0.2">
      <c r="B24" s="66" t="s">
        <v>294</v>
      </c>
      <c r="C24" s="67" t="s">
        <v>247</v>
      </c>
      <c r="D24" s="68">
        <v>20</v>
      </c>
      <c r="F24" s="66" t="s">
        <v>295</v>
      </c>
      <c r="G24" s="67" t="s">
        <v>257</v>
      </c>
      <c r="H24" s="68">
        <v>4</v>
      </c>
      <c r="I24" s="70">
        <v>35</v>
      </c>
      <c r="J24" s="70">
        <v>-25</v>
      </c>
      <c r="K24" s="70">
        <v>-28</v>
      </c>
      <c r="L24" s="70">
        <v>28</v>
      </c>
      <c r="M24" s="70">
        <v>22</v>
      </c>
      <c r="N24" s="70">
        <v>5200</v>
      </c>
      <c r="O24" s="70">
        <v>20</v>
      </c>
      <c r="P24" s="71">
        <v>102</v>
      </c>
      <c r="Q24" s="71">
        <v>940</v>
      </c>
      <c r="R24" s="72">
        <v>1.06</v>
      </c>
      <c r="S24" s="71">
        <v>1200</v>
      </c>
      <c r="T24" s="71">
        <v>200</v>
      </c>
      <c r="U24" s="73">
        <v>3.4</v>
      </c>
      <c r="V24" s="73">
        <v>0.6</v>
      </c>
      <c r="W24" s="72">
        <v>0.38</v>
      </c>
      <c r="X24" s="72">
        <v>0.53</v>
      </c>
      <c r="Y24" s="72">
        <v>0.6</v>
      </c>
      <c r="Z24" s="74">
        <v>0.3</v>
      </c>
      <c r="AA24" s="74">
        <v>0.14000000000000001</v>
      </c>
      <c r="AB24" s="74">
        <v>4.4999999999999998E-2</v>
      </c>
      <c r="AC24" s="74">
        <v>0.38</v>
      </c>
      <c r="AE24" s="59"/>
      <c r="AF24" s="59"/>
      <c r="AG24" s="59"/>
      <c r="AH24" s="59"/>
      <c r="AI24" s="62">
        <v>22</v>
      </c>
      <c r="AJ24" s="63" t="str">
        <f ca="1">IF(design_loads!$E$5="","",IF($AI24&gt;INDEX($AG$3:$AG$16,MATCH(design_loads!$E$5,$AE$3:$AE$16)),"&lt;scroll up&gt;",OFFSET(OFFSET('NBCC_C-2'!$B$1,INDEX($AF$3:$AF$16,MATCH(design_loads!$E$5,$AE$3:$AE$16))-1,0),$AI24-1,0)))</f>
        <v>Dog Creek</v>
      </c>
      <c r="AK24" s="63" t="str">
        <f ca="1">IF(design_loads!$E$6="","",IF($AI24&gt;INDEX($AG$3:$AG$16,MATCH(design_loads!$E$6,$AE$3:$AE$16)),"&lt;scroll up&gt;",OFFSET(OFFSET('NBCC_C-2'!$B$1,INDEX($AF$3:$AF$16,MATCH(design_loads!$E$6,$AE$3:$AE$16))-1,0),$AI24-1,0)))</f>
        <v/>
      </c>
      <c r="AL24" s="63" t="str">
        <f ca="1">IF(design_loads!$E$7="","",IF($AI24&gt;INDEX($AG$3:$AG$16,MATCH(design_loads!$E$7,$AE$3:$AE$16)),"&lt;scroll up&gt;",OFFSET(OFFSET('NBCC_C-2'!$B$1,INDEX($AF$3:$AF$16,MATCH(design_loads!$E$7,$AE$3:$AE$16))-1,0),$AI24-1,0)))</f>
        <v/>
      </c>
      <c r="AM24" s="63" t="str">
        <f ca="1">IF(design_loads!$E$8="","",IF($AI24&gt;INDEX($AG$3:$AG$16,MATCH(design_loads!$E$8,$AE$3:$AE$16)),"&lt;scroll up&gt;",OFFSET(OFFSET('NBCC_C-2'!$B$1,INDEX($AF$3:$AF$16,MATCH(design_loads!$E$8,$AE$3:$AE$16))-1,0),$AI24-1,0)))</f>
        <v/>
      </c>
    </row>
    <row r="25" spans="2:39" x14ac:dyDescent="0.2">
      <c r="B25" s="66" t="s">
        <v>296</v>
      </c>
      <c r="C25" s="67" t="s">
        <v>247</v>
      </c>
      <c r="D25" s="68">
        <v>21</v>
      </c>
      <c r="F25" s="66" t="s">
        <v>297</v>
      </c>
      <c r="G25" s="67" t="s">
        <v>261</v>
      </c>
      <c r="H25" s="68">
        <v>2</v>
      </c>
      <c r="I25" s="70">
        <v>10</v>
      </c>
      <c r="J25" s="70">
        <v>-20</v>
      </c>
      <c r="K25" s="70">
        <v>-23</v>
      </c>
      <c r="L25" s="70">
        <v>27</v>
      </c>
      <c r="M25" s="70">
        <v>21</v>
      </c>
      <c r="N25" s="70">
        <v>4600</v>
      </c>
      <c r="O25" s="70">
        <v>15</v>
      </c>
      <c r="P25" s="71">
        <v>123</v>
      </c>
      <c r="Q25" s="71">
        <v>1100</v>
      </c>
      <c r="R25" s="72">
        <v>1.25</v>
      </c>
      <c r="S25" s="71">
        <v>1250</v>
      </c>
      <c r="T25" s="71">
        <v>240</v>
      </c>
      <c r="U25" s="73">
        <v>2.1</v>
      </c>
      <c r="V25" s="73">
        <v>0.6</v>
      </c>
      <c r="W25" s="72">
        <v>0.41</v>
      </c>
      <c r="X25" s="72">
        <v>0.54</v>
      </c>
      <c r="Y25" s="72">
        <v>0.19</v>
      </c>
      <c r="Z25" s="74">
        <v>0.11</v>
      </c>
      <c r="AA25" s="74">
        <v>0.06</v>
      </c>
      <c r="AB25" s="74">
        <v>1.7000000000000001E-2</v>
      </c>
      <c r="AC25" s="74">
        <v>9.5000000000000001E-2</v>
      </c>
      <c r="AE25" s="59"/>
      <c r="AF25" s="59"/>
      <c r="AG25" s="59"/>
      <c r="AH25" s="59"/>
      <c r="AI25" s="62">
        <v>23</v>
      </c>
      <c r="AJ25" s="63" t="str">
        <f ca="1">IF(design_loads!$E$5="","",IF($AI25&gt;INDEX($AG$3:$AG$16,MATCH(design_loads!$E$5,$AE$3:$AE$16)),"&lt;scroll up&gt;",OFFSET(OFFSET('NBCC_C-2'!$B$1,INDEX($AF$3:$AF$16,MATCH(design_loads!$E$5,$AE$3:$AE$16))-1,0),$AI25-1,0)))</f>
        <v>Duncan</v>
      </c>
      <c r="AK25" s="63" t="str">
        <f ca="1">IF(design_loads!$E$6="","",IF($AI25&gt;INDEX($AG$3:$AG$16,MATCH(design_loads!$E$6,$AE$3:$AE$16)),"&lt;scroll up&gt;",OFFSET(OFFSET('NBCC_C-2'!$B$1,INDEX($AF$3:$AF$16,MATCH(design_loads!$E$6,$AE$3:$AE$16))-1,0),$AI25-1,0)))</f>
        <v/>
      </c>
      <c r="AL25" s="63" t="str">
        <f ca="1">IF(design_loads!$E$7="","",IF($AI25&gt;INDEX($AG$3:$AG$16,MATCH(design_loads!$E$7,$AE$3:$AE$16)),"&lt;scroll up&gt;",OFFSET(OFFSET('NBCC_C-2'!$B$1,INDEX($AF$3:$AF$16,MATCH(design_loads!$E$7,$AE$3:$AE$16))-1,0),$AI25-1,0)))</f>
        <v/>
      </c>
      <c r="AM25" s="63" t="str">
        <f ca="1">IF(design_loads!$E$8="","",IF($AI25&gt;INDEX($AG$3:$AG$16,MATCH(design_loads!$E$8,$AE$3:$AE$16)),"&lt;scroll up&gt;",OFFSET(OFFSET('NBCC_C-2'!$B$1,INDEX($AF$3:$AF$16,MATCH(design_loads!$E$8,$AE$3:$AE$16))-1,0),$AI25-1,0)))</f>
        <v/>
      </c>
    </row>
    <row r="26" spans="2:39" x14ac:dyDescent="0.2">
      <c r="B26" s="66" t="s">
        <v>298</v>
      </c>
      <c r="C26" s="67" t="s">
        <v>247</v>
      </c>
      <c r="D26" s="68">
        <v>22</v>
      </c>
      <c r="F26" s="66" t="s">
        <v>299</v>
      </c>
      <c r="G26" s="67" t="s">
        <v>267</v>
      </c>
      <c r="H26" s="68">
        <v>2</v>
      </c>
      <c r="I26" s="70">
        <v>15</v>
      </c>
      <c r="J26" s="70">
        <v>-43</v>
      </c>
      <c r="K26" s="70">
        <v>-45</v>
      </c>
      <c r="L26" s="70">
        <v>14</v>
      </c>
      <c r="M26" s="70">
        <v>10</v>
      </c>
      <c r="N26" s="70">
        <v>11900</v>
      </c>
      <c r="O26" s="70">
        <v>3</v>
      </c>
      <c r="P26" s="71">
        <v>38</v>
      </c>
      <c r="Q26" s="71">
        <v>60</v>
      </c>
      <c r="R26" s="72">
        <v>0.9</v>
      </c>
      <c r="S26" s="71">
        <v>150</v>
      </c>
      <c r="T26" s="71">
        <v>160</v>
      </c>
      <c r="U26" s="73">
        <v>2.1</v>
      </c>
      <c r="V26" s="73">
        <v>0.1</v>
      </c>
      <c r="W26" s="72">
        <v>0.4</v>
      </c>
      <c r="X26" s="72">
        <v>0.55000000000000004</v>
      </c>
      <c r="Y26" s="72">
        <v>0.18</v>
      </c>
      <c r="Z26" s="74">
        <v>0.11</v>
      </c>
      <c r="AA26" s="74">
        <v>6.3E-2</v>
      </c>
      <c r="AB26" s="74">
        <v>1.7999999999999999E-2</v>
      </c>
      <c r="AC26" s="74">
        <v>9.6000000000000002E-2</v>
      </c>
      <c r="AE26" s="59"/>
      <c r="AF26" s="59"/>
      <c r="AG26" s="59"/>
      <c r="AH26" s="59"/>
      <c r="AI26" s="62">
        <v>24</v>
      </c>
      <c r="AJ26" s="63" t="str">
        <f ca="1">IF(design_loads!$E$5="","",IF($AI26&gt;INDEX($AG$3:$AG$16,MATCH(design_loads!$E$5,$AE$3:$AE$16)),"&lt;scroll up&gt;",OFFSET(OFFSET('NBCC_C-2'!$B$1,INDEX($AF$3:$AF$16,MATCH(design_loads!$E$5,$AE$3:$AE$16))-1,0),$AI26-1,0)))</f>
        <v>Elko</v>
      </c>
      <c r="AK26" s="63" t="str">
        <f ca="1">IF(design_loads!$E$6="","",IF($AI26&gt;INDEX($AG$3:$AG$16,MATCH(design_loads!$E$6,$AE$3:$AE$16)),"&lt;scroll up&gt;",OFFSET(OFFSET('NBCC_C-2'!$B$1,INDEX($AF$3:$AF$16,MATCH(design_loads!$E$6,$AE$3:$AE$16))-1,0),$AI26-1,0)))</f>
        <v/>
      </c>
      <c r="AL26" s="63" t="str">
        <f ca="1">IF(design_loads!$E$7="","",IF($AI26&gt;INDEX($AG$3:$AG$16,MATCH(design_loads!$E$7,$AE$3:$AE$16)),"&lt;scroll up&gt;",OFFSET(OFFSET('NBCC_C-2'!$B$1,INDEX($AF$3:$AF$16,MATCH(design_loads!$E$7,$AE$3:$AE$16))-1,0),$AI26-1,0)))</f>
        <v/>
      </c>
      <c r="AM26" s="63" t="str">
        <f ca="1">IF(design_loads!$E$8="","",IF($AI26&gt;INDEX($AG$3:$AG$16,MATCH(design_loads!$E$8,$AE$3:$AE$16)),"&lt;scroll up&gt;",OFFSET(OFFSET('NBCC_C-2'!$B$1,INDEX($AF$3:$AF$16,MATCH(design_loads!$E$8,$AE$3:$AE$16))-1,0),$AI26-1,0)))</f>
        <v/>
      </c>
    </row>
    <row r="27" spans="2:39" x14ac:dyDescent="0.2">
      <c r="B27" s="66" t="s">
        <v>300</v>
      </c>
      <c r="C27" s="67" t="s">
        <v>247</v>
      </c>
      <c r="D27" s="68">
        <v>23</v>
      </c>
      <c r="F27" s="66" t="s">
        <v>301</v>
      </c>
      <c r="G27" s="67" t="s">
        <v>258</v>
      </c>
      <c r="H27" s="68">
        <v>1</v>
      </c>
      <c r="I27" s="70">
        <v>15</v>
      </c>
      <c r="J27" s="70">
        <v>-13</v>
      </c>
      <c r="K27" s="70">
        <v>-15</v>
      </c>
      <c r="L27" s="70">
        <v>21</v>
      </c>
      <c r="M27" s="70">
        <v>18</v>
      </c>
      <c r="N27" s="70">
        <v>4600</v>
      </c>
      <c r="O27" s="70">
        <v>15</v>
      </c>
      <c r="P27" s="71">
        <v>107</v>
      </c>
      <c r="Q27" s="71">
        <v>1250</v>
      </c>
      <c r="R27" s="72">
        <v>1.47</v>
      </c>
      <c r="S27" s="71">
        <v>1400</v>
      </c>
      <c r="T27" s="71">
        <v>400</v>
      </c>
      <c r="U27" s="73">
        <v>2.4</v>
      </c>
      <c r="V27" s="73">
        <v>0.7</v>
      </c>
      <c r="W27" s="72">
        <v>0.56999999999999995</v>
      </c>
      <c r="X27" s="72">
        <v>0.75</v>
      </c>
      <c r="Y27" s="72">
        <v>0.18</v>
      </c>
      <c r="Z27" s="74">
        <v>0.11</v>
      </c>
      <c r="AA27" s="74">
        <v>5.8999999999999997E-2</v>
      </c>
      <c r="AB27" s="74">
        <v>1.6E-2</v>
      </c>
      <c r="AC27" s="74">
        <v>9.0999999999999998E-2</v>
      </c>
      <c r="AE27" s="59"/>
      <c r="AF27" s="59"/>
      <c r="AG27" s="59"/>
      <c r="AH27" s="59"/>
      <c r="AI27" s="62">
        <v>25</v>
      </c>
      <c r="AJ27" s="63" t="str">
        <f ca="1">IF(design_loads!$E$5="","",IF($AI27&gt;INDEX($AG$3:$AG$16,MATCH(design_loads!$E$5,$AE$3:$AE$16)),"&lt;scroll up&gt;",OFFSET(OFFSET('NBCC_C-2'!$B$1,INDEX($AF$3:$AF$16,MATCH(design_loads!$E$5,$AE$3:$AE$16))-1,0),$AI27-1,0)))</f>
        <v>Fernie</v>
      </c>
      <c r="AK27" s="63" t="str">
        <f ca="1">IF(design_loads!$E$6="","",IF($AI27&gt;INDEX($AG$3:$AG$16,MATCH(design_loads!$E$6,$AE$3:$AE$16)),"&lt;scroll up&gt;",OFFSET(OFFSET('NBCC_C-2'!$B$1,INDEX($AF$3:$AF$16,MATCH(design_loads!$E$6,$AE$3:$AE$16))-1,0),$AI27-1,0)))</f>
        <v/>
      </c>
      <c r="AL27" s="63" t="str">
        <f ca="1">IF(design_loads!$E$7="","",IF($AI27&gt;INDEX($AG$3:$AG$16,MATCH(design_loads!$E$7,$AE$3:$AE$16)),"&lt;scroll up&gt;",OFFSET(OFFSET('NBCC_C-2'!$B$1,INDEX($AF$3:$AF$16,MATCH(design_loads!$E$7,$AE$3:$AE$16))-1,0),$AI27-1,0)))</f>
        <v/>
      </c>
      <c r="AM27" s="63" t="str">
        <f ca="1">IF(design_loads!$E$8="","",IF($AI27&gt;INDEX($AG$3:$AG$16,MATCH(design_loads!$E$8,$AE$3:$AE$16)),"&lt;scroll up&gt;",OFFSET(OFFSET('NBCC_C-2'!$B$1,INDEX($AF$3:$AF$16,MATCH(design_loads!$E$8,$AE$3:$AE$16))-1,0),$AI27-1,0)))</f>
        <v/>
      </c>
    </row>
    <row r="28" spans="2:39" x14ac:dyDescent="0.2">
      <c r="B28" s="66" t="s">
        <v>302</v>
      </c>
      <c r="C28" s="67" t="s">
        <v>247</v>
      </c>
      <c r="D28" s="68">
        <v>24</v>
      </c>
      <c r="F28" s="66" t="s">
        <v>303</v>
      </c>
      <c r="G28" s="67" t="s">
        <v>264</v>
      </c>
      <c r="H28" s="68">
        <v>6</v>
      </c>
      <c r="I28" s="70">
        <v>340</v>
      </c>
      <c r="J28" s="70">
        <v>-39</v>
      </c>
      <c r="K28" s="70">
        <v>-42</v>
      </c>
      <c r="L28" s="70">
        <v>28</v>
      </c>
      <c r="M28" s="70">
        <v>21</v>
      </c>
      <c r="N28" s="70">
        <v>7050</v>
      </c>
      <c r="O28" s="70">
        <v>23</v>
      </c>
      <c r="P28" s="71">
        <v>97</v>
      </c>
      <c r="Q28" s="71">
        <v>525</v>
      </c>
      <c r="R28" s="72">
        <v>0.75</v>
      </c>
      <c r="S28" s="71">
        <v>725</v>
      </c>
      <c r="T28" s="71">
        <v>100</v>
      </c>
      <c r="U28" s="73">
        <v>2.7</v>
      </c>
      <c r="V28" s="73">
        <v>0.4</v>
      </c>
      <c r="W28" s="72">
        <v>0.21</v>
      </c>
      <c r="X28" s="72">
        <v>0.27</v>
      </c>
      <c r="Y28" s="72">
        <v>0.12</v>
      </c>
      <c r="Z28" s="74">
        <v>5.6000000000000001E-2</v>
      </c>
      <c r="AA28" s="74">
        <v>2.3E-2</v>
      </c>
      <c r="AB28" s="74">
        <v>6.0000000000000001E-3</v>
      </c>
      <c r="AC28" s="74">
        <v>5.8999999999999997E-2</v>
      </c>
      <c r="AE28" s="59"/>
      <c r="AF28" s="59"/>
      <c r="AG28" s="59"/>
      <c r="AH28" s="59"/>
      <c r="AI28" s="62">
        <v>26</v>
      </c>
      <c r="AJ28" s="63" t="str">
        <f ca="1">IF(design_loads!$E$5="","",IF($AI28&gt;INDEX($AG$3:$AG$16,MATCH(design_loads!$E$5,$AE$3:$AE$16)),"&lt;scroll up&gt;",OFFSET(OFFSET('NBCC_C-2'!$B$1,INDEX($AF$3:$AF$16,MATCH(design_loads!$E$5,$AE$3:$AE$16))-1,0),$AI28-1,0)))</f>
        <v>Fort Nelson</v>
      </c>
      <c r="AK28" s="63" t="str">
        <f ca="1">IF(design_loads!$E$6="","",IF($AI28&gt;INDEX($AG$3:$AG$16,MATCH(design_loads!$E$6,$AE$3:$AE$16)),"&lt;scroll up&gt;",OFFSET(OFFSET('NBCC_C-2'!$B$1,INDEX($AF$3:$AF$16,MATCH(design_loads!$E$6,$AE$3:$AE$16))-1,0),$AI28-1,0)))</f>
        <v/>
      </c>
      <c r="AL28" s="63" t="str">
        <f ca="1">IF(design_loads!$E$7="","",IF($AI28&gt;INDEX($AG$3:$AG$16,MATCH(design_loads!$E$7,$AE$3:$AE$16)),"&lt;scroll up&gt;",OFFSET(OFFSET('NBCC_C-2'!$B$1,INDEX($AF$3:$AF$16,MATCH(design_loads!$E$7,$AE$3:$AE$16))-1,0),$AI28-1,0)))</f>
        <v/>
      </c>
      <c r="AM28" s="63" t="str">
        <f ca="1">IF(design_loads!$E$8="","",IF($AI28&gt;INDEX($AG$3:$AG$16,MATCH(design_loads!$E$8,$AE$3:$AE$16)),"&lt;scroll up&gt;",OFFSET(OFFSET('NBCC_C-2'!$B$1,INDEX($AF$3:$AF$16,MATCH(design_loads!$E$8,$AE$3:$AE$16))-1,0),$AI28-1,0)))</f>
        <v/>
      </c>
    </row>
    <row r="29" spans="2:39" x14ac:dyDescent="0.2">
      <c r="B29" s="66" t="s">
        <v>304</v>
      </c>
      <c r="C29" s="67" t="s">
        <v>247</v>
      </c>
      <c r="D29" s="68">
        <v>25</v>
      </c>
      <c r="F29" s="66" t="s">
        <v>305</v>
      </c>
      <c r="G29" s="67" t="s">
        <v>264</v>
      </c>
      <c r="H29" s="68">
        <v>7</v>
      </c>
      <c r="I29" s="70">
        <v>85</v>
      </c>
      <c r="J29" s="70">
        <v>-27</v>
      </c>
      <c r="K29" s="70">
        <v>-29</v>
      </c>
      <c r="L29" s="70">
        <v>30</v>
      </c>
      <c r="M29" s="70">
        <v>23</v>
      </c>
      <c r="N29" s="70">
        <v>4800</v>
      </c>
      <c r="O29" s="70">
        <v>23</v>
      </c>
      <c r="P29" s="71">
        <v>86</v>
      </c>
      <c r="Q29" s="71">
        <v>630</v>
      </c>
      <c r="R29" s="72">
        <v>0.76</v>
      </c>
      <c r="S29" s="71">
        <v>775</v>
      </c>
      <c r="T29" s="71">
        <v>140</v>
      </c>
      <c r="U29" s="73">
        <v>2.5</v>
      </c>
      <c r="V29" s="73">
        <v>0.4</v>
      </c>
      <c r="W29" s="72">
        <v>0.27</v>
      </c>
      <c r="X29" s="72">
        <v>0.37</v>
      </c>
      <c r="Y29" s="72">
        <v>0.64</v>
      </c>
      <c r="Z29" s="74">
        <v>0.31</v>
      </c>
      <c r="AA29" s="74">
        <v>0.13</v>
      </c>
      <c r="AB29" s="74">
        <v>4.2999999999999997E-2</v>
      </c>
      <c r="AC29" s="74">
        <v>0.4</v>
      </c>
      <c r="AE29" s="59"/>
      <c r="AF29" s="59"/>
      <c r="AG29" s="59"/>
      <c r="AH29" s="59"/>
      <c r="AI29" s="62">
        <v>27</v>
      </c>
      <c r="AJ29" s="63" t="str">
        <f ca="1">IF(design_loads!$E$5="","",IF($AI29&gt;INDEX($AG$3:$AG$16,MATCH(design_loads!$E$5,$AE$3:$AE$16)),"&lt;scroll up&gt;",OFFSET(OFFSET('NBCC_C-2'!$B$1,INDEX($AF$3:$AF$16,MATCH(design_loads!$E$5,$AE$3:$AE$16))-1,0),$AI29-1,0)))</f>
        <v>Fort St. John</v>
      </c>
      <c r="AK29" s="63" t="str">
        <f ca="1">IF(design_loads!$E$6="","",IF($AI29&gt;INDEX($AG$3:$AG$16,MATCH(design_loads!$E$6,$AE$3:$AE$16)),"&lt;scroll up&gt;",OFFSET(OFFSET('NBCC_C-2'!$B$1,INDEX($AF$3:$AF$16,MATCH(design_loads!$E$6,$AE$3:$AE$16))-1,0),$AI29-1,0)))</f>
        <v/>
      </c>
      <c r="AL29" s="63" t="str">
        <f ca="1">IF(design_loads!$E$7="","",IF($AI29&gt;INDEX($AG$3:$AG$16,MATCH(design_loads!$E$7,$AE$3:$AE$16)),"&lt;scroll up&gt;",OFFSET(OFFSET('NBCC_C-2'!$B$1,INDEX($AF$3:$AF$16,MATCH(design_loads!$E$7,$AE$3:$AE$16))-1,0),$AI29-1,0)))</f>
        <v/>
      </c>
      <c r="AM29" s="63" t="str">
        <f ca="1">IF(design_loads!$E$8="","",IF($AI29&gt;INDEX($AG$3:$AG$16,MATCH(design_loads!$E$8,$AE$3:$AE$16)),"&lt;scroll up&gt;",OFFSET(OFFSET('NBCC_C-2'!$B$1,INDEX($AF$3:$AF$16,MATCH(design_loads!$E$8,$AE$3:$AE$16))-1,0),$AI29-1,0)))</f>
        <v/>
      </c>
    </row>
    <row r="30" spans="2:39" x14ac:dyDescent="0.2">
      <c r="B30" s="66" t="s">
        <v>306</v>
      </c>
      <c r="C30" s="67" t="s">
        <v>247</v>
      </c>
      <c r="D30" s="68">
        <v>26</v>
      </c>
      <c r="F30" s="66" t="s">
        <v>307</v>
      </c>
      <c r="G30" s="67" t="s">
        <v>267</v>
      </c>
      <c r="H30" s="68">
        <v>3</v>
      </c>
      <c r="I30" s="70">
        <v>5</v>
      </c>
      <c r="J30" s="70">
        <v>-40</v>
      </c>
      <c r="K30" s="70">
        <v>-41</v>
      </c>
      <c r="L30" s="70">
        <v>21</v>
      </c>
      <c r="M30" s="70">
        <v>16</v>
      </c>
      <c r="N30" s="70">
        <v>10000</v>
      </c>
      <c r="O30" s="70">
        <v>5</v>
      </c>
      <c r="P30" s="71">
        <v>65</v>
      </c>
      <c r="Q30" s="71">
        <v>225</v>
      </c>
      <c r="R30" s="72">
        <v>0.85</v>
      </c>
      <c r="S30" s="71">
        <v>300</v>
      </c>
      <c r="T30" s="71">
        <v>240</v>
      </c>
      <c r="U30" s="73">
        <v>2.9</v>
      </c>
      <c r="V30" s="73">
        <v>0.2</v>
      </c>
      <c r="W30" s="72">
        <v>0.49</v>
      </c>
      <c r="X30" s="72">
        <v>0.64</v>
      </c>
      <c r="Y30" s="72">
        <v>0.12</v>
      </c>
      <c r="Z30" s="74">
        <v>5.6000000000000001E-2</v>
      </c>
      <c r="AA30" s="74">
        <v>2.3E-2</v>
      </c>
      <c r="AB30" s="74">
        <v>6.0000000000000001E-3</v>
      </c>
      <c r="AC30" s="74">
        <v>5.8999999999999997E-2</v>
      </c>
      <c r="AE30" s="59"/>
      <c r="AF30" s="59"/>
      <c r="AG30" s="59"/>
      <c r="AH30" s="59"/>
      <c r="AI30" s="62">
        <v>28</v>
      </c>
      <c r="AJ30" s="63" t="str">
        <f ca="1">IF(design_loads!$E$5="","",IF($AI30&gt;INDEX($AG$3:$AG$16,MATCH(design_loads!$E$5,$AE$3:$AE$16)),"&lt;scroll up&gt;",OFFSET(OFFSET('NBCC_C-2'!$B$1,INDEX($AF$3:$AF$16,MATCH(design_loads!$E$5,$AE$3:$AE$16))-1,0),$AI30-1,0)))</f>
        <v>Glacier</v>
      </c>
      <c r="AK30" s="63" t="str">
        <f ca="1">IF(design_loads!$E$6="","",IF($AI30&gt;INDEX($AG$3:$AG$16,MATCH(design_loads!$E$6,$AE$3:$AE$16)),"&lt;scroll up&gt;",OFFSET(OFFSET('NBCC_C-2'!$B$1,INDEX($AF$3:$AF$16,MATCH(design_loads!$E$6,$AE$3:$AE$16))-1,0),$AI30-1,0)))</f>
        <v/>
      </c>
      <c r="AL30" s="63" t="str">
        <f ca="1">IF(design_loads!$E$7="","",IF($AI30&gt;INDEX($AG$3:$AG$16,MATCH(design_loads!$E$7,$AE$3:$AE$16)),"&lt;scroll up&gt;",OFFSET(OFFSET('NBCC_C-2'!$B$1,INDEX($AF$3:$AF$16,MATCH(design_loads!$E$7,$AE$3:$AE$16))-1,0),$AI30-1,0)))</f>
        <v/>
      </c>
      <c r="AM30" s="63" t="str">
        <f ca="1">IF(design_loads!$E$8="","",IF($AI30&gt;INDEX($AG$3:$AG$16,MATCH(design_loads!$E$8,$AE$3:$AE$16)),"&lt;scroll up&gt;",OFFSET(OFFSET('NBCC_C-2'!$B$1,INDEX($AF$3:$AF$16,MATCH(design_loads!$E$8,$AE$3:$AE$16))-1,0),$AI30-1,0)))</f>
        <v/>
      </c>
    </row>
    <row r="31" spans="2:39" x14ac:dyDescent="0.2">
      <c r="B31" s="66" t="s">
        <v>308</v>
      </c>
      <c r="C31" s="67" t="s">
        <v>247</v>
      </c>
      <c r="D31" s="68">
        <v>27</v>
      </c>
      <c r="F31" s="66" t="s">
        <v>309</v>
      </c>
      <c r="G31" s="67" t="s">
        <v>257</v>
      </c>
      <c r="H31" s="68">
        <v>5</v>
      </c>
      <c r="I31" s="70">
        <v>245</v>
      </c>
      <c r="J31" s="70">
        <v>-26</v>
      </c>
      <c r="K31" s="70">
        <v>-28</v>
      </c>
      <c r="L31" s="70">
        <v>29</v>
      </c>
      <c r="M31" s="70">
        <v>22</v>
      </c>
      <c r="N31" s="70">
        <v>4850</v>
      </c>
      <c r="O31" s="70">
        <v>23</v>
      </c>
      <c r="P31" s="71">
        <v>96</v>
      </c>
      <c r="Q31" s="71">
        <v>870</v>
      </c>
      <c r="R31" s="72">
        <v>0.98</v>
      </c>
      <c r="S31" s="71">
        <v>1050</v>
      </c>
      <c r="T31" s="71">
        <v>160</v>
      </c>
      <c r="U31" s="73">
        <v>2.8</v>
      </c>
      <c r="V31" s="73">
        <v>0.6</v>
      </c>
      <c r="W31" s="72">
        <v>0.26</v>
      </c>
      <c r="X31" s="72">
        <v>0.35</v>
      </c>
      <c r="Y31" s="72">
        <v>0.37</v>
      </c>
      <c r="Z31" s="74">
        <v>0.2</v>
      </c>
      <c r="AA31" s="74">
        <v>0.09</v>
      </c>
      <c r="AB31" s="74">
        <v>3.1E-2</v>
      </c>
      <c r="AC31" s="74">
        <v>0.2</v>
      </c>
      <c r="AE31" s="59"/>
      <c r="AF31" s="59"/>
      <c r="AG31" s="59"/>
      <c r="AH31" s="59"/>
      <c r="AI31" s="62">
        <v>29</v>
      </c>
      <c r="AJ31" s="63" t="str">
        <f ca="1">IF(design_loads!$E$5="","",IF($AI31&gt;INDEX($AG$3:$AG$16,MATCH(design_loads!$E$5,$AE$3:$AE$16)),"&lt;scroll up&gt;",OFFSET(OFFSET('NBCC_C-2'!$B$1,INDEX($AF$3:$AF$16,MATCH(design_loads!$E$5,$AE$3:$AE$16))-1,0),$AI31-1,0)))</f>
        <v>Golden</v>
      </c>
      <c r="AK31" s="63" t="str">
        <f ca="1">IF(design_loads!$E$6="","",IF($AI31&gt;INDEX($AG$3:$AG$16,MATCH(design_loads!$E$6,$AE$3:$AE$16)),"&lt;scroll up&gt;",OFFSET(OFFSET('NBCC_C-2'!$B$1,INDEX($AF$3:$AF$16,MATCH(design_loads!$E$6,$AE$3:$AE$16))-1,0),$AI31-1,0)))</f>
        <v/>
      </c>
      <c r="AL31" s="63" t="str">
        <f ca="1">IF(design_loads!$E$7="","",IF($AI31&gt;INDEX($AG$3:$AG$16,MATCH(design_loads!$E$7,$AE$3:$AE$16)),"&lt;scroll up&gt;",OFFSET(OFFSET('NBCC_C-2'!$B$1,INDEX($AF$3:$AF$16,MATCH(design_loads!$E$7,$AE$3:$AE$16))-1,0),$AI31-1,0)))</f>
        <v/>
      </c>
      <c r="AM31" s="63" t="str">
        <f ca="1">IF(design_loads!$E$8="","",IF($AI31&gt;INDEX($AG$3:$AG$16,MATCH(design_loads!$E$8,$AE$3:$AE$16)),"&lt;scroll up&gt;",OFFSET(OFFSET('NBCC_C-2'!$B$1,INDEX($AF$3:$AF$16,MATCH(design_loads!$E$8,$AE$3:$AE$16))-1,0),$AI31-1,0)))</f>
        <v/>
      </c>
    </row>
    <row r="32" spans="2:39" x14ac:dyDescent="0.2">
      <c r="B32" s="66" t="s">
        <v>310</v>
      </c>
      <c r="C32" s="67" t="s">
        <v>247</v>
      </c>
      <c r="D32" s="68">
        <v>28</v>
      </c>
      <c r="F32" s="66" t="s">
        <v>311</v>
      </c>
      <c r="G32" s="67" t="s">
        <v>224</v>
      </c>
      <c r="H32" s="68">
        <v>5</v>
      </c>
      <c r="I32" s="70">
        <v>305</v>
      </c>
      <c r="J32" s="70">
        <v>-25</v>
      </c>
      <c r="K32" s="70">
        <v>-28</v>
      </c>
      <c r="L32" s="70">
        <v>34</v>
      </c>
      <c r="M32" s="70">
        <v>20</v>
      </c>
      <c r="N32" s="70">
        <v>3700</v>
      </c>
      <c r="O32" s="70">
        <v>10</v>
      </c>
      <c r="P32" s="71">
        <v>37</v>
      </c>
      <c r="Q32" s="71">
        <v>250</v>
      </c>
      <c r="R32" s="72">
        <v>0.25</v>
      </c>
      <c r="S32" s="71">
        <v>300</v>
      </c>
      <c r="T32" s="71">
        <v>80</v>
      </c>
      <c r="U32" s="73">
        <v>1.7</v>
      </c>
      <c r="V32" s="73">
        <v>0.1</v>
      </c>
      <c r="W32" s="72">
        <v>0.28000000000000003</v>
      </c>
      <c r="X32" s="72">
        <v>0.38</v>
      </c>
      <c r="Y32" s="72">
        <v>0.33</v>
      </c>
      <c r="Z32" s="74">
        <v>0.26</v>
      </c>
      <c r="AA32" s="74">
        <v>0.16</v>
      </c>
      <c r="AB32" s="74">
        <v>9.2999999999999999E-2</v>
      </c>
      <c r="AC32" s="74">
        <v>0.16</v>
      </c>
      <c r="AE32" s="59"/>
      <c r="AF32" s="59"/>
      <c r="AG32" s="59"/>
      <c r="AH32" s="59"/>
      <c r="AI32" s="62">
        <v>30</v>
      </c>
      <c r="AJ32" s="63" t="str">
        <f ca="1">IF(design_loads!$E$5="","",IF($AI32&gt;INDEX($AG$3:$AG$16,MATCH(design_loads!$E$5,$AE$3:$AE$16)),"&lt;scroll up&gt;",OFFSET(OFFSET('NBCC_C-2'!$B$1,INDEX($AF$3:$AF$16,MATCH(design_loads!$E$5,$AE$3:$AE$16))-1,0),$AI32-1,0)))</f>
        <v>Grand Forks</v>
      </c>
      <c r="AK32" s="63" t="str">
        <f ca="1">IF(design_loads!$E$6="","",IF($AI32&gt;INDEX($AG$3:$AG$16,MATCH(design_loads!$E$6,$AE$3:$AE$16)),"&lt;scroll up&gt;",OFFSET(OFFSET('NBCC_C-2'!$B$1,INDEX($AF$3:$AF$16,MATCH(design_loads!$E$6,$AE$3:$AE$16))-1,0),$AI32-1,0)))</f>
        <v/>
      </c>
      <c r="AL32" s="63" t="str">
        <f ca="1">IF(design_loads!$E$7="","",IF($AI32&gt;INDEX($AG$3:$AG$16,MATCH(design_loads!$E$7,$AE$3:$AE$16)),"&lt;scroll up&gt;",OFFSET(OFFSET('NBCC_C-2'!$B$1,INDEX($AF$3:$AF$16,MATCH(design_loads!$E$7,$AE$3:$AE$16))-1,0),$AI32-1,0)))</f>
        <v/>
      </c>
      <c r="AM32" s="63" t="str">
        <f ca="1">IF(design_loads!$E$8="","",IF($AI32&gt;INDEX($AG$3:$AG$16,MATCH(design_loads!$E$8,$AE$3:$AE$16)),"&lt;scroll up&gt;",OFFSET(OFFSET('NBCC_C-2'!$B$1,INDEX($AF$3:$AF$16,MATCH(design_loads!$E$8,$AE$3:$AE$16))-1,0),$AI32-1,0)))</f>
        <v/>
      </c>
    </row>
    <row r="33" spans="2:39" x14ac:dyDescent="0.2">
      <c r="B33" s="66" t="s">
        <v>312</v>
      </c>
      <c r="C33" s="67" t="s">
        <v>247</v>
      </c>
      <c r="D33" s="68">
        <v>29</v>
      </c>
      <c r="F33" s="66" t="s">
        <v>313</v>
      </c>
      <c r="G33" s="67" t="s">
        <v>278</v>
      </c>
      <c r="H33" s="68">
        <v>1</v>
      </c>
      <c r="I33" s="70">
        <v>740</v>
      </c>
      <c r="J33" s="70">
        <v>-32</v>
      </c>
      <c r="K33" s="70">
        <v>-34</v>
      </c>
      <c r="L33" s="70">
        <v>32</v>
      </c>
      <c r="M33" s="70">
        <v>21</v>
      </c>
      <c r="N33" s="70">
        <v>5300</v>
      </c>
      <c r="O33" s="70">
        <v>33</v>
      </c>
      <c r="P33" s="71">
        <v>81</v>
      </c>
      <c r="Q33" s="71">
        <v>290</v>
      </c>
      <c r="R33" s="72">
        <v>0.33</v>
      </c>
      <c r="S33" s="71">
        <v>375</v>
      </c>
      <c r="T33" s="71">
        <v>240</v>
      </c>
      <c r="U33" s="73">
        <v>1.6</v>
      </c>
      <c r="V33" s="73">
        <v>0.1</v>
      </c>
      <c r="W33" s="72">
        <v>0.44</v>
      </c>
      <c r="X33" s="72">
        <v>0.56999999999999995</v>
      </c>
      <c r="Y33" s="72">
        <v>0.17</v>
      </c>
      <c r="Z33" s="74">
        <v>7.3999999999999996E-2</v>
      </c>
      <c r="AA33" s="74">
        <v>2.7E-2</v>
      </c>
      <c r="AB33" s="74">
        <v>8.9999999999999993E-3</v>
      </c>
      <c r="AC33" s="74">
        <v>0.1</v>
      </c>
      <c r="AE33" s="59"/>
      <c r="AF33" s="59"/>
      <c r="AG33" s="59"/>
      <c r="AH33" s="59"/>
      <c r="AI33" s="62">
        <v>31</v>
      </c>
      <c r="AJ33" s="63" t="str">
        <f ca="1">IF(design_loads!$E$5="","",IF($AI33&gt;INDEX($AG$3:$AG$16,MATCH(design_loads!$E$5,$AE$3:$AE$16)),"&lt;scroll up&gt;",OFFSET(OFFSET('NBCC_C-2'!$B$1,INDEX($AF$3:$AF$16,MATCH(design_loads!$E$5,$AE$3:$AE$16))-1,0),$AI33-1,0)))</f>
        <v>Greenwood</v>
      </c>
      <c r="AK33" s="63" t="str">
        <f ca="1">IF(design_loads!$E$6="","",IF($AI33&gt;INDEX($AG$3:$AG$16,MATCH(design_loads!$E$6,$AE$3:$AE$16)),"&lt;scroll up&gt;",OFFSET(OFFSET('NBCC_C-2'!$B$1,INDEX($AF$3:$AF$16,MATCH(design_loads!$E$6,$AE$3:$AE$16))-1,0),$AI33-1,0)))</f>
        <v/>
      </c>
      <c r="AL33" s="63" t="str">
        <f ca="1">IF(design_loads!$E$7="","",IF($AI33&gt;INDEX($AG$3:$AG$16,MATCH(design_loads!$E$7,$AE$3:$AE$16)),"&lt;scroll up&gt;",OFFSET(OFFSET('NBCC_C-2'!$B$1,INDEX($AF$3:$AF$16,MATCH(design_loads!$E$7,$AE$3:$AE$16))-1,0),$AI33-1,0)))</f>
        <v/>
      </c>
      <c r="AM33" s="63" t="str">
        <f ca="1">IF(design_loads!$E$8="","",IF($AI33&gt;INDEX($AG$3:$AG$16,MATCH(design_loads!$E$8,$AE$3:$AE$16)),"&lt;scroll up&gt;",OFFSET(OFFSET('NBCC_C-2'!$B$1,INDEX($AF$3:$AF$16,MATCH(design_loads!$E$8,$AE$3:$AE$16))-1,0),$AI33-1,0)))</f>
        <v/>
      </c>
    </row>
    <row r="34" spans="2:39" x14ac:dyDescent="0.2">
      <c r="B34" s="66" t="s">
        <v>314</v>
      </c>
      <c r="C34" s="67" t="s">
        <v>247</v>
      </c>
      <c r="D34" s="68">
        <v>30</v>
      </c>
      <c r="F34" s="66" t="s">
        <v>253</v>
      </c>
      <c r="G34" s="67" t="s">
        <v>247</v>
      </c>
      <c r="H34" s="68">
        <v>3</v>
      </c>
      <c r="I34" s="76">
        <v>515</v>
      </c>
      <c r="J34" s="70">
        <v>-35</v>
      </c>
      <c r="K34" s="70">
        <v>-38</v>
      </c>
      <c r="L34" s="70">
        <v>28</v>
      </c>
      <c r="M34" s="70">
        <v>19</v>
      </c>
      <c r="N34" s="76">
        <v>6000</v>
      </c>
      <c r="O34" s="76">
        <v>18</v>
      </c>
      <c r="P34" s="77">
        <v>86</v>
      </c>
      <c r="Q34" s="77">
        <v>370</v>
      </c>
      <c r="R34" s="72">
        <v>0.57999999999999996</v>
      </c>
      <c r="S34" s="77">
        <v>480</v>
      </c>
      <c r="T34" s="77">
        <v>80</v>
      </c>
      <c r="U34" s="73">
        <v>1.5</v>
      </c>
      <c r="V34" s="73">
        <v>0.1</v>
      </c>
      <c r="W34" s="72">
        <v>0.3</v>
      </c>
      <c r="X34" s="72">
        <v>0.4</v>
      </c>
      <c r="Y34" s="72">
        <v>0.12</v>
      </c>
      <c r="Z34" s="74">
        <v>5.6000000000000001E-2</v>
      </c>
      <c r="AA34" s="74">
        <v>2.3E-2</v>
      </c>
      <c r="AB34" s="74">
        <v>6.0000000000000001E-3</v>
      </c>
      <c r="AC34" s="74">
        <v>5.8999999999999997E-2</v>
      </c>
      <c r="AE34" s="59"/>
      <c r="AF34" s="59"/>
      <c r="AG34" s="59"/>
      <c r="AH34" s="59"/>
      <c r="AI34" s="62">
        <v>32</v>
      </c>
      <c r="AJ34" s="63" t="str">
        <f ca="1">IF(design_loads!$E$5="","",IF($AI34&gt;INDEX($AG$3:$AG$16,MATCH(design_loads!$E$5,$AE$3:$AE$16)),"&lt;scroll up&gt;",OFFSET(OFFSET('NBCC_C-2'!$B$1,INDEX($AF$3:$AF$16,MATCH(design_loads!$E$5,$AE$3:$AE$16))-1,0),$AI34-1,0)))</f>
        <v>Haney</v>
      </c>
      <c r="AK34" s="63" t="str">
        <f ca="1">IF(design_loads!$E$6="","",IF($AI34&gt;INDEX($AG$3:$AG$16,MATCH(design_loads!$E$6,$AE$3:$AE$16)),"&lt;scroll up&gt;",OFFSET(OFFSET('NBCC_C-2'!$B$1,INDEX($AF$3:$AF$16,MATCH(design_loads!$E$6,$AE$3:$AE$16))-1,0),$AI34-1,0)))</f>
        <v/>
      </c>
      <c r="AL34" s="63" t="str">
        <f ca="1">IF(design_loads!$E$7="","",IF($AI34&gt;INDEX($AG$3:$AG$16,MATCH(design_loads!$E$7,$AE$3:$AE$16)),"&lt;scroll up&gt;",OFFSET(OFFSET('NBCC_C-2'!$B$1,INDEX($AF$3:$AF$16,MATCH(design_loads!$E$7,$AE$3:$AE$16))-1,0),$AI34-1,0)))</f>
        <v/>
      </c>
      <c r="AM34" s="63" t="str">
        <f ca="1">IF(design_loads!$E$8="","",IF($AI34&gt;INDEX($AG$3:$AG$16,MATCH(design_loads!$E$8,$AE$3:$AE$16)),"&lt;scroll up&gt;",OFFSET(OFFSET('NBCC_C-2'!$B$1,INDEX($AF$3:$AF$16,MATCH(design_loads!$E$8,$AE$3:$AE$16))-1,0),$AI34-1,0)))</f>
        <v/>
      </c>
    </row>
    <row r="35" spans="2:39" x14ac:dyDescent="0.2">
      <c r="B35" s="66" t="s">
        <v>315</v>
      </c>
      <c r="C35" s="67" t="s">
        <v>247</v>
      </c>
      <c r="D35" s="68">
        <v>31</v>
      </c>
      <c r="F35" s="66" t="s">
        <v>316</v>
      </c>
      <c r="G35" s="67" t="s">
        <v>264</v>
      </c>
      <c r="H35" s="68">
        <v>8</v>
      </c>
      <c r="I35" s="70">
        <v>400</v>
      </c>
      <c r="J35" s="70">
        <v>-34</v>
      </c>
      <c r="K35" s="70">
        <v>-37</v>
      </c>
      <c r="L35" s="70">
        <v>29</v>
      </c>
      <c r="M35" s="70">
        <v>22</v>
      </c>
      <c r="N35" s="70">
        <v>6100</v>
      </c>
      <c r="O35" s="70">
        <v>25</v>
      </c>
      <c r="P35" s="71">
        <v>103</v>
      </c>
      <c r="Q35" s="71">
        <v>570</v>
      </c>
      <c r="R35" s="72">
        <v>0.77</v>
      </c>
      <c r="S35" s="71">
        <v>760</v>
      </c>
      <c r="T35" s="71">
        <v>100</v>
      </c>
      <c r="U35" s="73">
        <v>2.4</v>
      </c>
      <c r="V35" s="73">
        <v>0.3</v>
      </c>
      <c r="W35" s="72">
        <v>0.21</v>
      </c>
      <c r="X35" s="72">
        <v>0.27</v>
      </c>
      <c r="Y35" s="72">
        <v>0.12</v>
      </c>
      <c r="Z35" s="74">
        <v>5.6000000000000001E-2</v>
      </c>
      <c r="AA35" s="74">
        <v>2.3E-2</v>
      </c>
      <c r="AB35" s="74">
        <v>6.0000000000000001E-3</v>
      </c>
      <c r="AC35" s="74">
        <v>5.8999999999999997E-2</v>
      </c>
      <c r="AE35" s="59"/>
      <c r="AF35" s="59"/>
      <c r="AG35" s="59"/>
      <c r="AH35" s="59"/>
      <c r="AI35" s="62">
        <v>33</v>
      </c>
      <c r="AJ35" s="63" t="str">
        <f ca="1">IF(design_loads!$E$5="","",IF($AI35&gt;INDEX($AG$3:$AG$16,MATCH(design_loads!$E$5,$AE$3:$AE$16)),"&lt;scroll up&gt;",OFFSET(OFFSET('NBCC_C-2'!$B$1,INDEX($AF$3:$AF$16,MATCH(design_loads!$E$5,$AE$3:$AE$16))-1,0),$AI35-1,0)))</f>
        <v>Hope</v>
      </c>
      <c r="AK35" s="63" t="str">
        <f ca="1">IF(design_loads!$E$6="","",IF($AI35&gt;INDEX($AG$3:$AG$16,MATCH(design_loads!$E$6,$AE$3:$AE$16)),"&lt;scroll up&gt;",OFFSET(OFFSET('NBCC_C-2'!$B$1,INDEX($AF$3:$AF$16,MATCH(design_loads!$E$6,$AE$3:$AE$16))-1,0),$AI35-1,0)))</f>
        <v/>
      </c>
      <c r="AL35" s="63" t="str">
        <f ca="1">IF(design_loads!$E$7="","",IF($AI35&gt;INDEX($AG$3:$AG$16,MATCH(design_loads!$E$7,$AE$3:$AE$16)),"&lt;scroll up&gt;",OFFSET(OFFSET('NBCC_C-2'!$B$1,INDEX($AF$3:$AF$16,MATCH(design_loads!$E$7,$AE$3:$AE$16))-1,0),$AI35-1,0)))</f>
        <v/>
      </c>
      <c r="AM35" s="63" t="str">
        <f ca="1">IF(design_loads!$E$8="","",IF($AI35&gt;INDEX($AG$3:$AG$16,MATCH(design_loads!$E$8,$AE$3:$AE$16)),"&lt;scroll up&gt;",OFFSET(OFFSET('NBCC_C-2'!$B$1,INDEX($AF$3:$AF$16,MATCH(design_loads!$E$8,$AE$3:$AE$16))-1,0),$AI35-1,0)))</f>
        <v/>
      </c>
    </row>
    <row r="36" spans="2:39" x14ac:dyDescent="0.2">
      <c r="B36" s="66" t="s">
        <v>317</v>
      </c>
      <c r="C36" s="67" t="s">
        <v>247</v>
      </c>
      <c r="D36" s="68">
        <v>32</v>
      </c>
      <c r="F36" s="66" t="s">
        <v>318</v>
      </c>
      <c r="G36" s="67" t="s">
        <v>264</v>
      </c>
      <c r="H36" s="68">
        <v>9</v>
      </c>
      <c r="I36" s="70">
        <v>270</v>
      </c>
      <c r="J36" s="70">
        <v>-21</v>
      </c>
      <c r="K36" s="70">
        <v>-23</v>
      </c>
      <c r="L36" s="70">
        <v>30</v>
      </c>
      <c r="M36" s="70">
        <v>23</v>
      </c>
      <c r="N36" s="70">
        <v>4300</v>
      </c>
      <c r="O36" s="70">
        <v>28</v>
      </c>
      <c r="P36" s="71">
        <v>108</v>
      </c>
      <c r="Q36" s="71">
        <v>700</v>
      </c>
      <c r="R36" s="72">
        <v>0.81</v>
      </c>
      <c r="S36" s="71">
        <v>800</v>
      </c>
      <c r="T36" s="71">
        <v>140</v>
      </c>
      <c r="U36" s="73">
        <v>2</v>
      </c>
      <c r="V36" s="73">
        <v>0.4</v>
      </c>
      <c r="W36" s="72">
        <v>0.3</v>
      </c>
      <c r="X36" s="72">
        <v>0.44</v>
      </c>
      <c r="Y36" s="72">
        <v>0.19</v>
      </c>
      <c r="Z36" s="74">
        <v>0.1</v>
      </c>
      <c r="AA36" s="74">
        <v>5.1999999999999998E-2</v>
      </c>
      <c r="AB36" s="74">
        <v>1.4E-2</v>
      </c>
      <c r="AC36" s="74">
        <v>0.1</v>
      </c>
      <c r="AE36" s="59"/>
      <c r="AF36" s="59"/>
      <c r="AG36" s="59"/>
      <c r="AH36" s="59"/>
      <c r="AI36" s="62">
        <v>34</v>
      </c>
      <c r="AJ36" s="63" t="str">
        <f ca="1">IF(design_loads!$E$5="","",IF($AI36&gt;INDEX($AG$3:$AG$16,MATCH(design_loads!$E$5,$AE$3:$AE$16)),"&lt;scroll up&gt;",OFFSET(OFFSET('NBCC_C-2'!$B$1,INDEX($AF$3:$AF$16,MATCH(design_loads!$E$5,$AE$3:$AE$16))-1,0),$AI36-1,0)))</f>
        <v>Kamloops</v>
      </c>
      <c r="AK36" s="63" t="str">
        <f ca="1">IF(design_loads!$E$6="","",IF($AI36&gt;INDEX($AG$3:$AG$16,MATCH(design_loads!$E$6,$AE$3:$AE$16)),"&lt;scroll up&gt;",OFFSET(OFFSET('NBCC_C-2'!$B$1,INDEX($AF$3:$AF$16,MATCH(design_loads!$E$6,$AE$3:$AE$16))-1,0),$AI36-1,0)))</f>
        <v/>
      </c>
      <c r="AL36" s="63" t="str">
        <f ca="1">IF(design_loads!$E$7="","",IF($AI36&gt;INDEX($AG$3:$AG$16,MATCH(design_loads!$E$7,$AE$3:$AE$16)),"&lt;scroll up&gt;",OFFSET(OFFSET('NBCC_C-2'!$B$1,INDEX($AF$3:$AF$16,MATCH(design_loads!$E$7,$AE$3:$AE$16))-1,0),$AI36-1,0)))</f>
        <v/>
      </c>
      <c r="AM36" s="63" t="str">
        <f ca="1">IF(design_loads!$E$8="","",IF($AI36&gt;INDEX($AG$3:$AG$16,MATCH(design_loads!$E$8,$AE$3:$AE$16)),"&lt;scroll up&gt;",OFFSET(OFFSET('NBCC_C-2'!$B$1,INDEX($AF$3:$AF$16,MATCH(design_loads!$E$8,$AE$3:$AE$16))-1,0),$AI36-1,0)))</f>
        <v/>
      </c>
    </row>
    <row r="37" spans="2:39" x14ac:dyDescent="0.2">
      <c r="B37" s="66" t="s">
        <v>319</v>
      </c>
      <c r="C37" s="67" t="s">
        <v>247</v>
      </c>
      <c r="D37" s="68">
        <v>33</v>
      </c>
      <c r="F37" s="66" t="s">
        <v>320</v>
      </c>
      <c r="G37" s="67" t="s">
        <v>257</v>
      </c>
      <c r="H37" s="68">
        <v>6</v>
      </c>
      <c r="I37" s="70">
        <v>90</v>
      </c>
      <c r="J37" s="70">
        <v>-25</v>
      </c>
      <c r="K37" s="70">
        <v>-28</v>
      </c>
      <c r="L37" s="70">
        <v>30</v>
      </c>
      <c r="M37" s="70">
        <v>23</v>
      </c>
      <c r="N37" s="70">
        <v>4700</v>
      </c>
      <c r="O37" s="70">
        <v>23</v>
      </c>
      <c r="P37" s="71">
        <v>96</v>
      </c>
      <c r="Q37" s="71">
        <v>730</v>
      </c>
      <c r="R37" s="72">
        <v>0.84</v>
      </c>
      <c r="S37" s="71">
        <v>900</v>
      </c>
      <c r="T37" s="71">
        <v>160</v>
      </c>
      <c r="U37" s="73">
        <v>2.5</v>
      </c>
      <c r="V37" s="73">
        <v>0.4</v>
      </c>
      <c r="W37" s="72">
        <v>0.3</v>
      </c>
      <c r="X37" s="72">
        <v>0.41</v>
      </c>
      <c r="Y37" s="72">
        <v>0.67</v>
      </c>
      <c r="Z37" s="74">
        <v>0.32</v>
      </c>
      <c r="AA37" s="74">
        <v>0.13</v>
      </c>
      <c r="AB37" s="74">
        <v>4.3999999999999997E-2</v>
      </c>
      <c r="AC37" s="74">
        <v>0.42</v>
      </c>
      <c r="AE37" s="59"/>
      <c r="AF37" s="59"/>
      <c r="AG37" s="59"/>
      <c r="AH37" s="59"/>
      <c r="AI37" s="62">
        <v>35</v>
      </c>
      <c r="AJ37" s="63" t="str">
        <f ca="1">IF(design_loads!$E$5="","",IF($AI37&gt;INDEX($AG$3:$AG$16,MATCH(design_loads!$E$5,$AE$3:$AE$16)),"&lt;scroll up&gt;",OFFSET(OFFSET('NBCC_C-2'!$B$1,INDEX($AF$3:$AF$16,MATCH(design_loads!$E$5,$AE$3:$AE$16))-1,0),$AI37-1,0)))</f>
        <v>Kaslo</v>
      </c>
      <c r="AK37" s="63" t="str">
        <f ca="1">IF(design_loads!$E$6="","",IF($AI37&gt;INDEX($AG$3:$AG$16,MATCH(design_loads!$E$6,$AE$3:$AE$16)),"&lt;scroll up&gt;",OFFSET(OFFSET('NBCC_C-2'!$B$1,INDEX($AF$3:$AF$16,MATCH(design_loads!$E$6,$AE$3:$AE$16))-1,0),$AI37-1,0)))</f>
        <v/>
      </c>
      <c r="AL37" s="63" t="str">
        <f ca="1">IF(design_loads!$E$7="","",IF($AI37&gt;INDEX($AG$3:$AG$16,MATCH(design_loads!$E$7,$AE$3:$AE$16)),"&lt;scroll up&gt;",OFFSET(OFFSET('NBCC_C-2'!$B$1,INDEX($AF$3:$AF$16,MATCH(design_loads!$E$7,$AE$3:$AE$16))-1,0),$AI37-1,0)))</f>
        <v/>
      </c>
      <c r="AM37" s="63" t="str">
        <f ca="1">IF(design_loads!$E$8="","",IF($AI37&gt;INDEX($AG$3:$AG$16,MATCH(design_loads!$E$8,$AE$3:$AE$16)),"&lt;scroll up&gt;",OFFSET(OFFSET('NBCC_C-2'!$B$1,INDEX($AF$3:$AF$16,MATCH(design_loads!$E$8,$AE$3:$AE$16))-1,0),$AI37-1,0)))</f>
        <v/>
      </c>
    </row>
    <row r="38" spans="2:39" x14ac:dyDescent="0.2">
      <c r="B38" s="66" t="s">
        <v>321</v>
      </c>
      <c r="C38" s="67" t="s">
        <v>247</v>
      </c>
      <c r="D38" s="68">
        <v>34</v>
      </c>
      <c r="F38" s="66" t="s">
        <v>322</v>
      </c>
      <c r="G38" s="67" t="s">
        <v>257</v>
      </c>
      <c r="H38" s="68">
        <v>7</v>
      </c>
      <c r="I38" s="70">
        <v>60</v>
      </c>
      <c r="J38" s="70">
        <v>-27</v>
      </c>
      <c r="K38" s="70">
        <v>-29</v>
      </c>
      <c r="L38" s="70">
        <v>25</v>
      </c>
      <c r="M38" s="70">
        <v>19</v>
      </c>
      <c r="N38" s="70">
        <v>6050</v>
      </c>
      <c r="O38" s="70">
        <v>18</v>
      </c>
      <c r="P38" s="71">
        <v>91</v>
      </c>
      <c r="Q38" s="71">
        <v>680</v>
      </c>
      <c r="R38" s="72">
        <v>0.96</v>
      </c>
      <c r="S38" s="71">
        <v>1000</v>
      </c>
      <c r="T38" s="71">
        <v>220</v>
      </c>
      <c r="U38" s="73">
        <v>4.3</v>
      </c>
      <c r="V38" s="73">
        <v>0.4</v>
      </c>
      <c r="W38" s="72">
        <v>0.45</v>
      </c>
      <c r="X38" s="72">
        <v>0.6</v>
      </c>
      <c r="Y38" s="72">
        <v>0.66</v>
      </c>
      <c r="Z38" s="74">
        <v>0.37</v>
      </c>
      <c r="AA38" s="74">
        <v>0.16</v>
      </c>
      <c r="AB38" s="74">
        <v>0.05</v>
      </c>
      <c r="AC38" s="74">
        <v>0.44</v>
      </c>
      <c r="AE38" s="59"/>
      <c r="AF38" s="59"/>
      <c r="AG38" s="59"/>
      <c r="AH38" s="59"/>
      <c r="AI38" s="62">
        <v>36</v>
      </c>
      <c r="AJ38" s="63" t="str">
        <f ca="1">IF(design_loads!$E$5="","",IF($AI38&gt;INDEX($AG$3:$AG$16,MATCH(design_loads!$E$5,$AE$3:$AE$16)),"&lt;scroll up&gt;",OFFSET(OFFSET('NBCC_C-2'!$B$1,INDEX($AF$3:$AF$16,MATCH(design_loads!$E$5,$AE$3:$AE$16))-1,0),$AI38-1,0)))</f>
        <v>Kelowna</v>
      </c>
      <c r="AK38" s="63" t="str">
        <f ca="1">IF(design_loads!$E$6="","",IF($AI38&gt;INDEX($AG$3:$AG$16,MATCH(design_loads!$E$6,$AE$3:$AE$16)),"&lt;scroll up&gt;",OFFSET(OFFSET('NBCC_C-2'!$B$1,INDEX($AF$3:$AF$16,MATCH(design_loads!$E$6,$AE$3:$AE$16))-1,0),$AI38-1,0)))</f>
        <v/>
      </c>
      <c r="AL38" s="63" t="str">
        <f ca="1">IF(design_loads!$E$7="","",IF($AI38&gt;INDEX($AG$3:$AG$16,MATCH(design_loads!$E$7,$AE$3:$AE$16)),"&lt;scroll up&gt;",OFFSET(OFFSET('NBCC_C-2'!$B$1,INDEX($AF$3:$AF$16,MATCH(design_loads!$E$7,$AE$3:$AE$16))-1,0),$AI38-1,0)))</f>
        <v/>
      </c>
      <c r="AM38" s="63" t="str">
        <f ca="1">IF(design_loads!$E$8="","",IF($AI38&gt;INDEX($AG$3:$AG$16,MATCH(design_loads!$E$8,$AE$3:$AE$16)),"&lt;scroll up&gt;",OFFSET(OFFSET('NBCC_C-2'!$B$1,INDEX($AF$3:$AF$16,MATCH(design_loads!$E$8,$AE$3:$AE$16))-1,0),$AI38-1,0)))</f>
        <v/>
      </c>
    </row>
    <row r="39" spans="2:39" x14ac:dyDescent="0.2">
      <c r="B39" s="66" t="s">
        <v>323</v>
      </c>
      <c r="C39" s="67" t="s">
        <v>247</v>
      </c>
      <c r="D39" s="68">
        <v>35</v>
      </c>
      <c r="F39" s="66" t="s">
        <v>324</v>
      </c>
      <c r="G39" s="67" t="s">
        <v>267</v>
      </c>
      <c r="H39" s="68">
        <v>4</v>
      </c>
      <c r="I39" s="70">
        <v>5</v>
      </c>
      <c r="J39" s="70">
        <v>-45</v>
      </c>
      <c r="K39" s="70">
        <v>-46</v>
      </c>
      <c r="L39" s="70">
        <v>21</v>
      </c>
      <c r="M39" s="70">
        <v>15</v>
      </c>
      <c r="N39" s="70">
        <v>11000</v>
      </c>
      <c r="O39" s="70">
        <v>3</v>
      </c>
      <c r="P39" s="71">
        <v>55</v>
      </c>
      <c r="Q39" s="71">
        <v>160</v>
      </c>
      <c r="R39" s="72">
        <v>0.84</v>
      </c>
      <c r="S39" s="71">
        <v>260</v>
      </c>
      <c r="T39" s="71">
        <v>180</v>
      </c>
      <c r="U39" s="73">
        <v>2.9</v>
      </c>
      <c r="V39" s="73">
        <v>0.2</v>
      </c>
      <c r="W39" s="72">
        <v>0.42</v>
      </c>
      <c r="X39" s="72">
        <v>0.54</v>
      </c>
      <c r="Y39" s="72">
        <v>0.12</v>
      </c>
      <c r="Z39" s="74">
        <v>5.6000000000000001E-2</v>
      </c>
      <c r="AA39" s="74">
        <v>2.3E-2</v>
      </c>
      <c r="AB39" s="74">
        <v>6.0000000000000001E-3</v>
      </c>
      <c r="AC39" s="74">
        <v>5.8999999999999997E-2</v>
      </c>
      <c r="AE39" s="59"/>
      <c r="AF39" s="59"/>
      <c r="AG39" s="59"/>
      <c r="AH39" s="59"/>
      <c r="AI39" s="62">
        <v>37</v>
      </c>
      <c r="AJ39" s="63" t="str">
        <f ca="1">IF(design_loads!$E$5="","",IF($AI39&gt;INDEX($AG$3:$AG$16,MATCH(design_loads!$E$5,$AE$3:$AE$16)),"&lt;scroll up&gt;",OFFSET(OFFSET('NBCC_C-2'!$B$1,INDEX($AF$3:$AF$16,MATCH(design_loads!$E$5,$AE$3:$AE$16))-1,0),$AI39-1,0)))</f>
        <v>Kimberley</v>
      </c>
      <c r="AK39" s="63" t="str">
        <f ca="1">IF(design_loads!$E$6="","",IF($AI39&gt;INDEX($AG$3:$AG$16,MATCH(design_loads!$E$6,$AE$3:$AE$16)),"&lt;scroll up&gt;",OFFSET(OFFSET('NBCC_C-2'!$B$1,INDEX($AF$3:$AF$16,MATCH(design_loads!$E$6,$AE$3:$AE$16))-1,0),$AI39-1,0)))</f>
        <v/>
      </c>
      <c r="AL39" s="63" t="str">
        <f ca="1">IF(design_loads!$E$7="","",IF($AI39&gt;INDEX($AG$3:$AG$16,MATCH(design_loads!$E$7,$AE$3:$AE$16)),"&lt;scroll up&gt;",OFFSET(OFFSET('NBCC_C-2'!$B$1,INDEX($AF$3:$AF$16,MATCH(design_loads!$E$7,$AE$3:$AE$16))-1,0),$AI39-1,0)))</f>
        <v/>
      </c>
      <c r="AM39" s="63" t="str">
        <f ca="1">IF(design_loads!$E$8="","",IF($AI39&gt;INDEX($AG$3:$AG$16,MATCH(design_loads!$E$8,$AE$3:$AE$16)),"&lt;scroll up&gt;",OFFSET(OFFSET('NBCC_C-2'!$B$1,INDEX($AF$3:$AF$16,MATCH(design_loads!$E$8,$AE$3:$AE$16))-1,0),$AI39-1,0)))</f>
        <v/>
      </c>
    </row>
    <row r="40" spans="2:39" x14ac:dyDescent="0.2">
      <c r="B40" s="66" t="s">
        <v>325</v>
      </c>
      <c r="C40" s="67" t="s">
        <v>247</v>
      </c>
      <c r="D40" s="68">
        <v>36</v>
      </c>
      <c r="F40" s="66" t="s">
        <v>326</v>
      </c>
      <c r="G40" s="67" t="s">
        <v>264</v>
      </c>
      <c r="H40" s="68">
        <v>10</v>
      </c>
      <c r="I40" s="70">
        <v>365</v>
      </c>
      <c r="J40" s="70">
        <v>-27</v>
      </c>
      <c r="K40" s="70">
        <v>-29</v>
      </c>
      <c r="L40" s="70">
        <v>29</v>
      </c>
      <c r="M40" s="70">
        <v>22</v>
      </c>
      <c r="N40" s="70">
        <v>4900</v>
      </c>
      <c r="O40" s="70">
        <v>25</v>
      </c>
      <c r="P40" s="71">
        <v>92</v>
      </c>
      <c r="Q40" s="71">
        <v>720</v>
      </c>
      <c r="R40" s="72">
        <v>0.85</v>
      </c>
      <c r="S40" s="71">
        <v>900</v>
      </c>
      <c r="T40" s="71">
        <v>100</v>
      </c>
      <c r="U40" s="73">
        <v>3.1</v>
      </c>
      <c r="V40" s="73">
        <v>0.4</v>
      </c>
      <c r="W40" s="72">
        <v>0.23</v>
      </c>
      <c r="X40" s="72">
        <v>0.32</v>
      </c>
      <c r="Y40" s="72">
        <v>0.26</v>
      </c>
      <c r="Z40" s="74">
        <v>0.15</v>
      </c>
      <c r="AA40" s="74">
        <v>7.0999999999999994E-2</v>
      </c>
      <c r="AB40" s="74">
        <v>2.1999999999999999E-2</v>
      </c>
      <c r="AC40" s="74">
        <v>0.13</v>
      </c>
      <c r="AE40" s="59"/>
      <c r="AF40" s="59"/>
      <c r="AG40" s="59"/>
      <c r="AH40" s="59"/>
      <c r="AI40" s="62">
        <v>38</v>
      </c>
      <c r="AJ40" s="63" t="str">
        <f ca="1">IF(design_loads!$E$5="","",IF($AI40&gt;INDEX($AG$3:$AG$16,MATCH(design_loads!$E$5,$AE$3:$AE$16)),"&lt;scroll up&gt;",OFFSET(OFFSET('NBCC_C-2'!$B$1,INDEX($AF$3:$AF$16,MATCH(design_loads!$E$5,$AE$3:$AE$16))-1,0),$AI40-1,0)))</f>
        <v>Kitimat Plant</v>
      </c>
      <c r="AK40" s="63" t="str">
        <f ca="1">IF(design_loads!$E$6="","",IF($AI40&gt;INDEX($AG$3:$AG$16,MATCH(design_loads!$E$6,$AE$3:$AE$16)),"&lt;scroll up&gt;",OFFSET(OFFSET('NBCC_C-2'!$B$1,INDEX($AF$3:$AF$16,MATCH(design_loads!$E$6,$AE$3:$AE$16))-1,0),$AI40-1,0)))</f>
        <v/>
      </c>
      <c r="AL40" s="63" t="str">
        <f ca="1">IF(design_loads!$E$7="","",IF($AI40&gt;INDEX($AG$3:$AG$16,MATCH(design_loads!$E$7,$AE$3:$AE$16)),"&lt;scroll up&gt;",OFFSET(OFFSET('NBCC_C-2'!$B$1,INDEX($AF$3:$AF$16,MATCH(design_loads!$E$7,$AE$3:$AE$16))-1,0),$AI40-1,0)))</f>
        <v/>
      </c>
      <c r="AM40" s="63" t="str">
        <f ca="1">IF(design_loads!$E$8="","",IF($AI40&gt;INDEX($AG$3:$AG$16,MATCH(design_loads!$E$8,$AE$3:$AE$16)),"&lt;scroll up&gt;",OFFSET(OFFSET('NBCC_C-2'!$B$1,INDEX($AF$3:$AF$16,MATCH(design_loads!$E$8,$AE$3:$AE$16))-1,0),$AI40-1,0)))</f>
        <v/>
      </c>
    </row>
    <row r="41" spans="2:39" x14ac:dyDescent="0.2">
      <c r="B41" s="66" t="s">
        <v>327</v>
      </c>
      <c r="C41" s="67" t="s">
        <v>247</v>
      </c>
      <c r="D41" s="68">
        <v>37</v>
      </c>
      <c r="F41" s="66" t="s">
        <v>255</v>
      </c>
      <c r="G41" s="67" t="s">
        <v>247</v>
      </c>
      <c r="H41" s="68">
        <v>4</v>
      </c>
      <c r="I41" s="76">
        <v>1400</v>
      </c>
      <c r="J41" s="70">
        <v>-30</v>
      </c>
      <c r="K41" s="70">
        <v>-32</v>
      </c>
      <c r="L41" s="70">
        <v>27</v>
      </c>
      <c r="M41" s="70">
        <v>17</v>
      </c>
      <c r="N41" s="76">
        <v>5500</v>
      </c>
      <c r="O41" s="76">
        <v>18</v>
      </c>
      <c r="P41" s="77">
        <v>65</v>
      </c>
      <c r="Q41" s="77">
        <v>300</v>
      </c>
      <c r="R41" s="72">
        <v>0.57999999999999996</v>
      </c>
      <c r="S41" s="77">
        <v>500</v>
      </c>
      <c r="T41" s="77">
        <v>120</v>
      </c>
      <c r="U41" s="73">
        <v>3.6</v>
      </c>
      <c r="V41" s="73">
        <v>0.1</v>
      </c>
      <c r="W41" s="72">
        <v>0.39</v>
      </c>
      <c r="X41" s="72">
        <v>0.48</v>
      </c>
      <c r="Y41" s="72">
        <v>0.24</v>
      </c>
      <c r="Z41" s="74">
        <v>0.14000000000000001</v>
      </c>
      <c r="AA41" s="74">
        <v>6.6000000000000003E-2</v>
      </c>
      <c r="AB41" s="74">
        <v>3.6999999999999998E-2</v>
      </c>
      <c r="AC41" s="74">
        <v>0.12</v>
      </c>
      <c r="AE41" s="59"/>
      <c r="AF41" s="59"/>
      <c r="AG41" s="59"/>
      <c r="AH41" s="59"/>
      <c r="AI41" s="62">
        <v>39</v>
      </c>
      <c r="AJ41" s="63" t="str">
        <f ca="1">IF(design_loads!$E$5="","",IF($AI41&gt;INDEX($AG$3:$AG$16,MATCH(design_loads!$E$5,$AE$3:$AE$16)),"&lt;scroll up&gt;",OFFSET(OFFSET('NBCC_C-2'!$B$1,INDEX($AF$3:$AF$16,MATCH(design_loads!$E$5,$AE$3:$AE$16))-1,0),$AI41-1,0)))</f>
        <v>Kitimat Townsite</v>
      </c>
      <c r="AK41" s="63" t="str">
        <f ca="1">IF(design_loads!$E$6="","",IF($AI41&gt;INDEX($AG$3:$AG$16,MATCH(design_loads!$E$6,$AE$3:$AE$16)),"&lt;scroll up&gt;",OFFSET(OFFSET('NBCC_C-2'!$B$1,INDEX($AF$3:$AF$16,MATCH(design_loads!$E$6,$AE$3:$AE$16))-1,0),$AI41-1,0)))</f>
        <v/>
      </c>
      <c r="AL41" s="63" t="str">
        <f ca="1">IF(design_loads!$E$7="","",IF($AI41&gt;INDEX($AG$3:$AG$16,MATCH(design_loads!$E$7,$AE$3:$AE$16)),"&lt;scroll up&gt;",OFFSET(OFFSET('NBCC_C-2'!$B$1,INDEX($AF$3:$AF$16,MATCH(design_loads!$E$7,$AE$3:$AE$16))-1,0),$AI41-1,0)))</f>
        <v/>
      </c>
      <c r="AM41" s="63" t="str">
        <f ca="1">IF(design_loads!$E$8="","",IF($AI41&gt;INDEX($AG$3:$AG$16,MATCH(design_loads!$E$8,$AE$3:$AE$16)),"&lt;scroll up&gt;",OFFSET(OFFSET('NBCC_C-2'!$B$1,INDEX($AF$3:$AF$16,MATCH(design_loads!$E$8,$AE$3:$AE$16))-1,0),$AI41-1,0)))</f>
        <v/>
      </c>
    </row>
    <row r="42" spans="2:39" x14ac:dyDescent="0.2">
      <c r="B42" s="66" t="s">
        <v>328</v>
      </c>
      <c r="C42" s="67" t="s">
        <v>247</v>
      </c>
      <c r="D42" s="68">
        <v>38</v>
      </c>
      <c r="F42" s="66" t="s">
        <v>259</v>
      </c>
      <c r="G42" s="67" t="s">
        <v>247</v>
      </c>
      <c r="H42" s="68">
        <v>5</v>
      </c>
      <c r="I42" s="76">
        <v>645</v>
      </c>
      <c r="J42" s="70">
        <v>-34</v>
      </c>
      <c r="K42" s="70">
        <v>-37</v>
      </c>
      <c r="L42" s="70">
        <v>28</v>
      </c>
      <c r="M42" s="70">
        <v>19</v>
      </c>
      <c r="N42" s="76">
        <v>6000</v>
      </c>
      <c r="O42" s="76">
        <v>20</v>
      </c>
      <c r="P42" s="77">
        <v>86</v>
      </c>
      <c r="Q42" s="77">
        <v>375</v>
      </c>
      <c r="R42" s="72">
        <v>0.57999999999999996</v>
      </c>
      <c r="S42" s="77">
        <v>475</v>
      </c>
      <c r="T42" s="77">
        <v>100</v>
      </c>
      <c r="U42" s="73">
        <v>1.7</v>
      </c>
      <c r="V42" s="73">
        <v>0.1</v>
      </c>
      <c r="W42" s="72">
        <v>0.32</v>
      </c>
      <c r="X42" s="72">
        <v>0.44</v>
      </c>
      <c r="Y42" s="72">
        <v>0.12</v>
      </c>
      <c r="Z42" s="74">
        <v>5.6000000000000001E-2</v>
      </c>
      <c r="AA42" s="74">
        <v>2.3E-2</v>
      </c>
      <c r="AB42" s="74">
        <v>8.0000000000000002E-3</v>
      </c>
      <c r="AC42" s="74">
        <v>5.8999999999999997E-2</v>
      </c>
      <c r="AE42" s="59"/>
      <c r="AF42" s="59"/>
      <c r="AG42" s="59"/>
      <c r="AH42" s="59"/>
      <c r="AI42" s="62">
        <v>40</v>
      </c>
      <c r="AJ42" s="63" t="str">
        <f ca="1">IF(design_loads!$E$5="","",IF($AI42&gt;INDEX($AG$3:$AG$16,MATCH(design_loads!$E$5,$AE$3:$AE$16)),"&lt;scroll up&gt;",OFFSET(OFFSET('NBCC_C-2'!$B$1,INDEX($AF$3:$AF$16,MATCH(design_loads!$E$5,$AE$3:$AE$16))-1,0),$AI42-1,0)))</f>
        <v>Ladner</v>
      </c>
      <c r="AK42" s="63" t="str">
        <f ca="1">IF(design_loads!$E$6="","",IF($AI42&gt;INDEX($AG$3:$AG$16,MATCH(design_loads!$E$6,$AE$3:$AE$16)),"&lt;scroll up&gt;",OFFSET(OFFSET('NBCC_C-2'!$B$1,INDEX($AF$3:$AF$16,MATCH(design_loads!$E$6,$AE$3:$AE$16))-1,0),$AI42-1,0)))</f>
        <v/>
      </c>
      <c r="AL42" s="63" t="str">
        <f ca="1">IF(design_loads!$E$7="","",IF($AI42&gt;INDEX($AG$3:$AG$16,MATCH(design_loads!$E$7,$AE$3:$AE$16)),"&lt;scroll up&gt;",OFFSET(OFFSET('NBCC_C-2'!$B$1,INDEX($AF$3:$AF$16,MATCH(design_loads!$E$7,$AE$3:$AE$16))-1,0),$AI42-1,0)))</f>
        <v/>
      </c>
      <c r="AM42" s="63" t="str">
        <f ca="1">IF(design_loads!$E$8="","",IF($AI42&gt;INDEX($AG$3:$AG$16,MATCH(design_loads!$E$8,$AE$3:$AE$16)),"&lt;scroll up&gt;",OFFSET(OFFSET('NBCC_C-2'!$B$1,INDEX($AF$3:$AF$16,MATCH(design_loads!$E$8,$AE$3:$AE$16))-1,0),$AI42-1,0)))</f>
        <v/>
      </c>
    </row>
    <row r="43" spans="2:39" x14ac:dyDescent="0.2">
      <c r="B43" s="66" t="s">
        <v>329</v>
      </c>
      <c r="C43" s="67" t="s">
        <v>247</v>
      </c>
      <c r="D43" s="68">
        <v>39</v>
      </c>
      <c r="F43" s="66" t="s">
        <v>330</v>
      </c>
      <c r="G43" s="67" t="s">
        <v>264</v>
      </c>
      <c r="H43" s="68">
        <v>11</v>
      </c>
      <c r="I43" s="70">
        <v>245</v>
      </c>
      <c r="J43" s="70">
        <v>-24</v>
      </c>
      <c r="K43" s="70">
        <v>-26</v>
      </c>
      <c r="L43" s="70">
        <v>29</v>
      </c>
      <c r="M43" s="70">
        <v>22</v>
      </c>
      <c r="N43" s="70">
        <v>4600</v>
      </c>
      <c r="O43" s="70">
        <v>28</v>
      </c>
      <c r="P43" s="71">
        <v>97</v>
      </c>
      <c r="Q43" s="71">
        <v>700</v>
      </c>
      <c r="R43" s="72">
        <v>0.83</v>
      </c>
      <c r="S43" s="71">
        <v>900</v>
      </c>
      <c r="T43" s="71">
        <v>120</v>
      </c>
      <c r="U43" s="73">
        <v>2.5</v>
      </c>
      <c r="V43" s="73">
        <v>0.4</v>
      </c>
      <c r="W43" s="72">
        <v>0.21</v>
      </c>
      <c r="X43" s="72">
        <v>0.33</v>
      </c>
      <c r="Y43" s="72">
        <v>0.16</v>
      </c>
      <c r="Z43" s="74">
        <v>9.4E-2</v>
      </c>
      <c r="AA43" s="74">
        <v>4.9000000000000002E-2</v>
      </c>
      <c r="AB43" s="74">
        <v>1.4E-2</v>
      </c>
      <c r="AC43" s="74">
        <v>7.5999999999999998E-2</v>
      </c>
      <c r="AE43" s="59"/>
      <c r="AF43" s="59"/>
      <c r="AG43" s="59"/>
      <c r="AH43" s="59"/>
      <c r="AI43" s="62">
        <v>41</v>
      </c>
      <c r="AJ43" s="63" t="str">
        <f ca="1">IF(design_loads!$E$5="","",IF($AI43&gt;INDEX($AG$3:$AG$16,MATCH(design_loads!$E$5,$AE$3:$AE$16)),"&lt;scroll up&gt;",OFFSET(OFFSET('NBCC_C-2'!$B$1,INDEX($AF$3:$AF$16,MATCH(design_loads!$E$5,$AE$3:$AE$16))-1,0),$AI43-1,0)))</f>
        <v>Langley</v>
      </c>
      <c r="AK43" s="63" t="str">
        <f ca="1">IF(design_loads!$E$6="","",IF($AI43&gt;INDEX($AG$3:$AG$16,MATCH(design_loads!$E$6,$AE$3:$AE$16)),"&lt;scroll up&gt;",OFFSET(OFFSET('NBCC_C-2'!$B$1,INDEX($AF$3:$AF$16,MATCH(design_loads!$E$6,$AE$3:$AE$16))-1,0),$AI43-1,0)))</f>
        <v/>
      </c>
      <c r="AL43" s="63" t="str">
        <f ca="1">IF(design_loads!$E$7="","",IF($AI43&gt;INDEX($AG$3:$AG$16,MATCH(design_loads!$E$7,$AE$3:$AE$16)),"&lt;scroll up&gt;",OFFSET(OFFSET('NBCC_C-2'!$B$1,INDEX($AF$3:$AF$16,MATCH(design_loads!$E$7,$AE$3:$AE$16))-1,0),$AI43-1,0)))</f>
        <v/>
      </c>
      <c r="AM43" s="63" t="str">
        <f ca="1">IF(design_loads!$E$8="","",IF($AI43&gt;INDEX($AG$3:$AG$16,MATCH(design_loads!$E$8,$AE$3:$AE$16)),"&lt;scroll up&gt;",OFFSET(OFFSET('NBCC_C-2'!$B$1,INDEX($AF$3:$AF$16,MATCH(design_loads!$E$8,$AE$3:$AE$16))-1,0),$AI43-1,0)))</f>
        <v/>
      </c>
    </row>
    <row r="44" spans="2:39" x14ac:dyDescent="0.2">
      <c r="B44" s="66" t="s">
        <v>331</v>
      </c>
      <c r="C44" s="67" t="s">
        <v>247</v>
      </c>
      <c r="D44" s="68">
        <v>40</v>
      </c>
      <c r="F44" s="66" t="s">
        <v>332</v>
      </c>
      <c r="G44" s="67" t="s">
        <v>264</v>
      </c>
      <c r="H44" s="68">
        <v>12</v>
      </c>
      <c r="I44" s="70">
        <v>100</v>
      </c>
      <c r="J44" s="70">
        <v>-22</v>
      </c>
      <c r="K44" s="70">
        <v>-24</v>
      </c>
      <c r="L44" s="70">
        <v>27</v>
      </c>
      <c r="M44" s="70">
        <v>23</v>
      </c>
      <c r="N44" s="70">
        <v>4250</v>
      </c>
      <c r="O44" s="70">
        <v>23</v>
      </c>
      <c r="P44" s="71">
        <v>113</v>
      </c>
      <c r="Q44" s="71">
        <v>780</v>
      </c>
      <c r="R44" s="72">
        <v>0.96</v>
      </c>
      <c r="S44" s="71">
        <v>950</v>
      </c>
      <c r="T44" s="71">
        <v>160</v>
      </c>
      <c r="U44" s="73">
        <v>2.1</v>
      </c>
      <c r="V44" s="73">
        <v>0.4</v>
      </c>
      <c r="W44" s="72">
        <v>0.35</v>
      </c>
      <c r="X44" s="72">
        <v>0.47</v>
      </c>
      <c r="Y44" s="72">
        <v>0.28999999999999998</v>
      </c>
      <c r="Z44" s="74">
        <v>0.16</v>
      </c>
      <c r="AA44" s="74">
        <v>8.3000000000000004E-2</v>
      </c>
      <c r="AB44" s="74">
        <v>2.3E-2</v>
      </c>
      <c r="AC44" s="74">
        <v>0.16</v>
      </c>
      <c r="AE44" s="59"/>
      <c r="AF44" s="59"/>
      <c r="AG44" s="59"/>
      <c r="AH44" s="59"/>
      <c r="AI44" s="62">
        <v>42</v>
      </c>
      <c r="AJ44" s="63" t="str">
        <f ca="1">IF(design_loads!$E$5="","",IF($AI44&gt;INDEX($AG$3:$AG$16,MATCH(design_loads!$E$5,$AE$3:$AE$16)),"&lt;scroll up&gt;",OFFSET(OFFSET('NBCC_C-2'!$B$1,INDEX($AF$3:$AF$16,MATCH(design_loads!$E$5,$AE$3:$AE$16))-1,0),$AI44-1,0)))</f>
        <v>Lillooet</v>
      </c>
      <c r="AK44" s="63" t="str">
        <f ca="1">IF(design_loads!$E$6="","",IF($AI44&gt;INDEX($AG$3:$AG$16,MATCH(design_loads!$E$6,$AE$3:$AE$16)),"&lt;scroll up&gt;",OFFSET(OFFSET('NBCC_C-2'!$B$1,INDEX($AF$3:$AF$16,MATCH(design_loads!$E$6,$AE$3:$AE$16))-1,0),$AI44-1,0)))</f>
        <v/>
      </c>
      <c r="AL44" s="63" t="str">
        <f ca="1">IF(design_loads!$E$7="","",IF($AI44&gt;INDEX($AG$3:$AG$16,MATCH(design_loads!$E$7,$AE$3:$AE$16)),"&lt;scroll up&gt;",OFFSET(OFFSET('NBCC_C-2'!$B$1,INDEX($AF$3:$AF$16,MATCH(design_loads!$E$7,$AE$3:$AE$16))-1,0),$AI44-1,0)))</f>
        <v/>
      </c>
      <c r="AM44" s="63" t="str">
        <f ca="1">IF(design_loads!$E$8="","",IF($AI44&gt;INDEX($AG$3:$AG$16,MATCH(design_loads!$E$8,$AE$3:$AE$16)),"&lt;scroll up&gt;",OFFSET(OFFSET('NBCC_C-2'!$B$1,INDEX($AF$3:$AF$16,MATCH(design_loads!$E$8,$AE$3:$AE$16))-1,0),$AI44-1,0)))</f>
        <v/>
      </c>
    </row>
    <row r="45" spans="2:39" x14ac:dyDescent="0.2">
      <c r="B45" s="66" t="s">
        <v>333</v>
      </c>
      <c r="C45" s="67" t="s">
        <v>247</v>
      </c>
      <c r="D45" s="68">
        <v>41</v>
      </c>
      <c r="F45" s="66" t="s">
        <v>262</v>
      </c>
      <c r="G45" s="67" t="s">
        <v>247</v>
      </c>
      <c r="H45" s="68">
        <v>6</v>
      </c>
      <c r="I45" s="76">
        <v>793</v>
      </c>
      <c r="J45" s="70">
        <v>-36</v>
      </c>
      <c r="K45" s="70">
        <v>-39</v>
      </c>
      <c r="L45" s="70">
        <v>27</v>
      </c>
      <c r="M45" s="70">
        <v>19</v>
      </c>
      <c r="N45" s="76">
        <v>5600</v>
      </c>
      <c r="O45" s="76">
        <v>21</v>
      </c>
      <c r="P45" s="77">
        <v>85</v>
      </c>
      <c r="Q45" s="77">
        <v>340</v>
      </c>
      <c r="R45" s="72">
        <v>0.53</v>
      </c>
      <c r="S45" s="77">
        <v>460</v>
      </c>
      <c r="T45" s="77">
        <v>180</v>
      </c>
      <c r="U45" s="73">
        <v>2</v>
      </c>
      <c r="V45" s="73">
        <v>0.1</v>
      </c>
      <c r="W45" s="72">
        <v>0.28999999999999998</v>
      </c>
      <c r="X45" s="72">
        <v>0.39</v>
      </c>
      <c r="Y45" s="72">
        <v>0.12</v>
      </c>
      <c r="Z45" s="74">
        <v>0.06</v>
      </c>
      <c r="AA45" s="74">
        <v>0.02</v>
      </c>
      <c r="AB45" s="74">
        <v>0.01</v>
      </c>
      <c r="AC45" s="74">
        <v>0.06</v>
      </c>
      <c r="AE45" s="59"/>
      <c r="AF45" s="59"/>
      <c r="AG45" s="59"/>
      <c r="AH45" s="59"/>
      <c r="AI45" s="62">
        <v>43</v>
      </c>
      <c r="AJ45" s="63" t="str">
        <f ca="1">IF(design_loads!$E$5="","",IF($AI45&gt;INDEX($AG$3:$AG$16,MATCH(design_loads!$E$5,$AE$3:$AE$16)),"&lt;scroll up&gt;",OFFSET(OFFSET('NBCC_C-2'!$B$1,INDEX($AF$3:$AF$16,MATCH(design_loads!$E$5,$AE$3:$AE$16))-1,0),$AI45-1,0)))</f>
        <v>Lytton</v>
      </c>
      <c r="AK45" s="63" t="str">
        <f ca="1">IF(design_loads!$E$6="","",IF($AI45&gt;INDEX($AG$3:$AG$16,MATCH(design_loads!$E$6,$AE$3:$AE$16)),"&lt;scroll up&gt;",OFFSET(OFFSET('NBCC_C-2'!$B$1,INDEX($AF$3:$AF$16,MATCH(design_loads!$E$6,$AE$3:$AE$16))-1,0),$AI45-1,0)))</f>
        <v/>
      </c>
      <c r="AL45" s="63" t="str">
        <f ca="1">IF(design_loads!$E$7="","",IF($AI45&gt;INDEX($AG$3:$AG$16,MATCH(design_loads!$E$7,$AE$3:$AE$16)),"&lt;scroll up&gt;",OFFSET(OFFSET('NBCC_C-2'!$B$1,INDEX($AF$3:$AF$16,MATCH(design_loads!$E$7,$AE$3:$AE$16))-1,0),$AI45-1,0)))</f>
        <v/>
      </c>
      <c r="AM45" s="63" t="str">
        <f ca="1">IF(design_loads!$E$8="","",IF($AI45&gt;INDEX($AG$3:$AG$16,MATCH(design_loads!$E$8,$AE$3:$AE$16)),"&lt;scroll up&gt;",OFFSET(OFFSET('NBCC_C-2'!$B$1,INDEX($AF$3:$AF$16,MATCH(design_loads!$E$8,$AE$3:$AE$16))-1,0),$AI45-1,0)))</f>
        <v/>
      </c>
    </row>
    <row r="46" spans="2:39" x14ac:dyDescent="0.2">
      <c r="B46" s="66" t="s">
        <v>334</v>
      </c>
      <c r="C46" s="67" t="s">
        <v>247</v>
      </c>
      <c r="D46" s="68">
        <v>42</v>
      </c>
      <c r="F46" s="66" t="s">
        <v>266</v>
      </c>
      <c r="G46" s="67" t="s">
        <v>247</v>
      </c>
      <c r="H46" s="68">
        <v>7</v>
      </c>
      <c r="I46" s="76">
        <v>792</v>
      </c>
      <c r="J46" s="70">
        <v>-32</v>
      </c>
      <c r="K46" s="70">
        <v>-34</v>
      </c>
      <c r="L46" s="70">
        <v>28</v>
      </c>
      <c r="M46" s="70">
        <v>18</v>
      </c>
      <c r="N46" s="76">
        <v>5350</v>
      </c>
      <c r="O46" s="76">
        <v>17</v>
      </c>
      <c r="P46" s="77">
        <v>85</v>
      </c>
      <c r="Q46" s="77">
        <v>265</v>
      </c>
      <c r="R46" s="72">
        <v>0.27</v>
      </c>
      <c r="S46" s="77">
        <v>340</v>
      </c>
      <c r="T46" s="77">
        <v>220</v>
      </c>
      <c r="U46" s="73">
        <v>1.3</v>
      </c>
      <c r="V46" s="73">
        <v>0.1</v>
      </c>
      <c r="W46" s="72">
        <v>0.39</v>
      </c>
      <c r="X46" s="72">
        <v>0.52</v>
      </c>
      <c r="Y46" s="72">
        <v>0.12</v>
      </c>
      <c r="Z46" s="74">
        <v>0.06</v>
      </c>
      <c r="AA46" s="74">
        <v>0.02</v>
      </c>
      <c r="AB46" s="74">
        <v>0.01</v>
      </c>
      <c r="AC46" s="74">
        <v>0.06</v>
      </c>
      <c r="AE46" s="59"/>
      <c r="AF46" s="59"/>
      <c r="AG46" s="59"/>
      <c r="AH46" s="59"/>
      <c r="AI46" s="62">
        <v>44</v>
      </c>
      <c r="AJ46" s="63" t="str">
        <f ca="1">IF(design_loads!$E$5="","",IF($AI46&gt;INDEX($AG$3:$AG$16,MATCH(design_loads!$E$5,$AE$3:$AE$16)),"&lt;scroll up&gt;",OFFSET(OFFSET('NBCC_C-2'!$B$1,INDEX($AF$3:$AF$16,MATCH(design_loads!$E$5,$AE$3:$AE$16))-1,0),$AI46-1,0)))</f>
        <v>Mackenzie</v>
      </c>
      <c r="AK46" s="63" t="str">
        <f ca="1">IF(design_loads!$E$6="","",IF($AI46&gt;INDEX($AG$3:$AG$16,MATCH(design_loads!$E$6,$AE$3:$AE$16)),"&lt;scroll up&gt;",OFFSET(OFFSET('NBCC_C-2'!$B$1,INDEX($AF$3:$AF$16,MATCH(design_loads!$E$6,$AE$3:$AE$16))-1,0),$AI46-1,0)))</f>
        <v/>
      </c>
      <c r="AL46" s="63" t="str">
        <f ca="1">IF(design_loads!$E$7="","",IF($AI46&gt;INDEX($AG$3:$AG$16,MATCH(design_loads!$E$7,$AE$3:$AE$16)),"&lt;scroll up&gt;",OFFSET(OFFSET('NBCC_C-2'!$B$1,INDEX($AF$3:$AF$16,MATCH(design_loads!$E$7,$AE$3:$AE$16))-1,0),$AI46-1,0)))</f>
        <v/>
      </c>
      <c r="AM46" s="63" t="str">
        <f ca="1">IF(design_loads!$E$8="","",IF($AI46&gt;INDEX($AG$3:$AG$16,MATCH(design_loads!$E$8,$AE$3:$AE$16)),"&lt;scroll up&gt;",OFFSET(OFFSET('NBCC_C-2'!$B$1,INDEX($AF$3:$AF$16,MATCH(design_loads!$E$8,$AE$3:$AE$16))-1,0),$AI46-1,0)))</f>
        <v/>
      </c>
    </row>
    <row r="47" spans="2:39" x14ac:dyDescent="0.2">
      <c r="B47" s="66" t="s">
        <v>335</v>
      </c>
      <c r="C47" s="67" t="s">
        <v>247</v>
      </c>
      <c r="D47" s="68">
        <v>43</v>
      </c>
      <c r="F47" s="66" t="s">
        <v>336</v>
      </c>
      <c r="G47" s="67" t="s">
        <v>254</v>
      </c>
      <c r="H47" s="68">
        <v>2</v>
      </c>
      <c r="I47" s="70">
        <v>10</v>
      </c>
      <c r="J47" s="70">
        <v>-23</v>
      </c>
      <c r="K47" s="70">
        <v>-26</v>
      </c>
      <c r="L47" s="70">
        <v>30</v>
      </c>
      <c r="M47" s="70">
        <v>21</v>
      </c>
      <c r="N47" s="70">
        <v>5200</v>
      </c>
      <c r="O47" s="70">
        <v>20</v>
      </c>
      <c r="P47" s="71">
        <v>112</v>
      </c>
      <c r="Q47" s="71">
        <v>775</v>
      </c>
      <c r="R47" s="72">
        <v>0.94</v>
      </c>
      <c r="S47" s="71">
        <v>1020</v>
      </c>
      <c r="T47" s="71">
        <v>180</v>
      </c>
      <c r="U47" s="73">
        <v>3.5</v>
      </c>
      <c r="V47" s="73">
        <v>0.6</v>
      </c>
      <c r="W47" s="72">
        <v>0.34</v>
      </c>
      <c r="X47" s="72">
        <v>0.48</v>
      </c>
      <c r="Y47" s="72">
        <v>0.41</v>
      </c>
      <c r="Z47" s="74">
        <v>0.22</v>
      </c>
      <c r="AA47" s="74">
        <v>8.4000000000000005E-2</v>
      </c>
      <c r="AB47" s="74">
        <v>2.7E-2</v>
      </c>
      <c r="AC47" s="74">
        <v>0.28999999999999998</v>
      </c>
      <c r="AE47" s="59"/>
      <c r="AF47" s="59"/>
      <c r="AG47" s="59"/>
      <c r="AH47" s="59"/>
      <c r="AI47" s="62">
        <v>45</v>
      </c>
      <c r="AJ47" s="63" t="str">
        <f ca="1">IF(design_loads!$E$5="","",IF($AI47&gt;INDEX($AG$3:$AG$16,MATCH(design_loads!$E$5,$AE$3:$AE$16)),"&lt;scroll up&gt;",OFFSET(OFFSET('NBCC_C-2'!$B$1,INDEX($AF$3:$AF$16,MATCH(design_loads!$E$5,$AE$3:$AE$16))-1,0),$AI47-1,0)))</f>
        <v>Masset</v>
      </c>
      <c r="AK47" s="63" t="str">
        <f ca="1">IF(design_loads!$E$6="","",IF($AI47&gt;INDEX($AG$3:$AG$16,MATCH(design_loads!$E$6,$AE$3:$AE$16)),"&lt;scroll up&gt;",OFFSET(OFFSET('NBCC_C-2'!$B$1,INDEX($AF$3:$AF$16,MATCH(design_loads!$E$6,$AE$3:$AE$16))-1,0),$AI47-1,0)))</f>
        <v/>
      </c>
      <c r="AL47" s="63" t="str">
        <f ca="1">IF(design_loads!$E$7="","",IF($AI47&gt;INDEX($AG$3:$AG$16,MATCH(design_loads!$E$7,$AE$3:$AE$16)),"&lt;scroll up&gt;",OFFSET(OFFSET('NBCC_C-2'!$B$1,INDEX($AF$3:$AF$16,MATCH(design_loads!$E$7,$AE$3:$AE$16))-1,0),$AI47-1,0)))</f>
        <v/>
      </c>
      <c r="AM47" s="63" t="str">
        <f ca="1">IF(design_loads!$E$8="","",IF($AI47&gt;INDEX($AG$3:$AG$16,MATCH(design_loads!$E$8,$AE$3:$AE$16)),"&lt;scroll up&gt;",OFFSET(OFFSET('NBCC_C-2'!$B$1,INDEX($AF$3:$AF$16,MATCH(design_loads!$E$8,$AE$3:$AE$16))-1,0),$AI47-1,0)))</f>
        <v/>
      </c>
    </row>
    <row r="48" spans="2:39" x14ac:dyDescent="0.2">
      <c r="B48" s="66" t="s">
        <v>337</v>
      </c>
      <c r="C48" s="67" t="s">
        <v>247</v>
      </c>
      <c r="D48" s="68">
        <v>44</v>
      </c>
      <c r="F48" s="66" t="s">
        <v>338</v>
      </c>
      <c r="G48" s="67" t="s">
        <v>278</v>
      </c>
      <c r="H48" s="68">
        <v>2</v>
      </c>
      <c r="I48" s="70">
        <v>700</v>
      </c>
      <c r="J48" s="70">
        <v>-32</v>
      </c>
      <c r="K48" s="70">
        <v>-34</v>
      </c>
      <c r="L48" s="70">
        <v>32</v>
      </c>
      <c r="M48" s="70">
        <v>20</v>
      </c>
      <c r="N48" s="70">
        <v>5400</v>
      </c>
      <c r="O48" s="70">
        <v>28</v>
      </c>
      <c r="P48" s="71">
        <v>76</v>
      </c>
      <c r="Q48" s="71">
        <v>270</v>
      </c>
      <c r="R48" s="72">
        <v>0.35</v>
      </c>
      <c r="S48" s="71">
        <v>350</v>
      </c>
      <c r="T48" s="71">
        <v>260</v>
      </c>
      <c r="U48" s="73">
        <v>1.2</v>
      </c>
      <c r="V48" s="73">
        <v>0.1</v>
      </c>
      <c r="W48" s="72">
        <v>0.49</v>
      </c>
      <c r="X48" s="72">
        <v>0.66</v>
      </c>
      <c r="Y48" s="72">
        <v>0.12</v>
      </c>
      <c r="Z48" s="74">
        <v>5.6000000000000001E-2</v>
      </c>
      <c r="AA48" s="74">
        <v>2.3E-2</v>
      </c>
      <c r="AB48" s="74">
        <v>6.0000000000000001E-3</v>
      </c>
      <c r="AC48" s="74">
        <v>5.8999999999999997E-2</v>
      </c>
      <c r="AE48" s="59"/>
      <c r="AF48" s="59"/>
      <c r="AG48" s="59"/>
      <c r="AH48" s="59"/>
      <c r="AI48" s="62">
        <v>46</v>
      </c>
      <c r="AJ48" s="63" t="str">
        <f ca="1">IF(design_loads!$E$5="","",IF($AI48&gt;INDEX($AG$3:$AG$16,MATCH(design_loads!$E$5,$AE$3:$AE$16)),"&lt;scroll up&gt;",OFFSET(OFFSET('NBCC_C-2'!$B$1,INDEX($AF$3:$AF$16,MATCH(design_loads!$E$5,$AE$3:$AE$16))-1,0),$AI48-1,0)))</f>
        <v>McBride</v>
      </c>
      <c r="AK48" s="63" t="str">
        <f ca="1">IF(design_loads!$E$6="","",IF($AI48&gt;INDEX($AG$3:$AG$16,MATCH(design_loads!$E$6,$AE$3:$AE$16)),"&lt;scroll up&gt;",OFFSET(OFFSET('NBCC_C-2'!$B$1,INDEX($AF$3:$AF$16,MATCH(design_loads!$E$6,$AE$3:$AE$16))-1,0),$AI48-1,0)))</f>
        <v/>
      </c>
      <c r="AL48" s="63" t="str">
        <f ca="1">IF(design_loads!$E$7="","",IF($AI48&gt;INDEX($AG$3:$AG$16,MATCH(design_loads!$E$7,$AE$3:$AE$16)),"&lt;scroll up&gt;",OFFSET(OFFSET('NBCC_C-2'!$B$1,INDEX($AF$3:$AF$16,MATCH(design_loads!$E$7,$AE$3:$AE$16))-1,0),$AI48-1,0)))</f>
        <v/>
      </c>
      <c r="AM48" s="63" t="str">
        <f ca="1">IF(design_loads!$E$8="","",IF($AI48&gt;INDEX($AG$3:$AG$16,MATCH(design_loads!$E$8,$AE$3:$AE$16)),"&lt;scroll up&gt;",OFFSET(OFFSET('NBCC_C-2'!$B$1,INDEX($AF$3:$AF$16,MATCH(design_loads!$E$8,$AE$3:$AE$16))-1,0),$AI48-1,0)))</f>
        <v/>
      </c>
    </row>
    <row r="49" spans="2:39" x14ac:dyDescent="0.2">
      <c r="B49" s="66" t="s">
        <v>339</v>
      </c>
      <c r="C49" s="67" t="s">
        <v>247</v>
      </c>
      <c r="D49" s="68">
        <v>45</v>
      </c>
      <c r="F49" s="66" t="s">
        <v>340</v>
      </c>
      <c r="G49" s="67" t="s">
        <v>257</v>
      </c>
      <c r="H49" s="68">
        <v>8</v>
      </c>
      <c r="I49" s="70">
        <v>25</v>
      </c>
      <c r="J49" s="70">
        <v>-23</v>
      </c>
      <c r="K49" s="70">
        <v>-26</v>
      </c>
      <c r="L49" s="70">
        <v>30</v>
      </c>
      <c r="M49" s="70">
        <v>23</v>
      </c>
      <c r="N49" s="70">
        <v>4550</v>
      </c>
      <c r="O49" s="70">
        <v>23</v>
      </c>
      <c r="P49" s="71">
        <v>91</v>
      </c>
      <c r="Q49" s="71">
        <v>780</v>
      </c>
      <c r="R49" s="72">
        <v>0.89</v>
      </c>
      <c r="S49" s="71">
        <v>950</v>
      </c>
      <c r="T49" s="71">
        <v>180</v>
      </c>
      <c r="U49" s="73">
        <v>2.2999999999999998</v>
      </c>
      <c r="V49" s="73">
        <v>0.4</v>
      </c>
      <c r="W49" s="72">
        <v>0.31</v>
      </c>
      <c r="X49" s="72">
        <v>0.4</v>
      </c>
      <c r="Y49" s="72">
        <v>0.69</v>
      </c>
      <c r="Z49" s="74">
        <v>0.34</v>
      </c>
      <c r="AA49" s="74">
        <v>0.14000000000000001</v>
      </c>
      <c r="AB49" s="74">
        <v>4.8000000000000001E-2</v>
      </c>
      <c r="AC49" s="74">
        <v>0.43</v>
      </c>
      <c r="AE49" s="59"/>
      <c r="AF49" s="59"/>
      <c r="AG49" s="59"/>
      <c r="AH49" s="59"/>
      <c r="AI49" s="62">
        <v>47</v>
      </c>
      <c r="AJ49" s="63" t="str">
        <f ca="1">IF(design_loads!$E$5="","",IF($AI49&gt;INDEX($AG$3:$AG$16,MATCH(design_loads!$E$5,$AE$3:$AE$16)),"&lt;scroll up&gt;",OFFSET(OFFSET('NBCC_C-2'!$B$1,INDEX($AF$3:$AF$16,MATCH(design_loads!$E$5,$AE$3:$AE$16))-1,0),$AI49-1,0)))</f>
        <v>McLeod Lake</v>
      </c>
      <c r="AK49" s="63" t="str">
        <f ca="1">IF(design_loads!$E$6="","",IF($AI49&gt;INDEX($AG$3:$AG$16,MATCH(design_loads!$E$6,$AE$3:$AE$16)),"&lt;scroll up&gt;",OFFSET(OFFSET('NBCC_C-2'!$B$1,INDEX($AF$3:$AF$16,MATCH(design_loads!$E$6,$AE$3:$AE$16))-1,0),$AI49-1,0)))</f>
        <v/>
      </c>
      <c r="AL49" s="63" t="str">
        <f ca="1">IF(design_loads!$E$7="","",IF($AI49&gt;INDEX($AG$3:$AG$16,MATCH(design_loads!$E$7,$AE$3:$AE$16)),"&lt;scroll up&gt;",OFFSET(OFFSET('NBCC_C-2'!$B$1,INDEX($AF$3:$AF$16,MATCH(design_loads!$E$7,$AE$3:$AE$16))-1,0),$AI49-1,0)))</f>
        <v/>
      </c>
      <c r="AM49" s="63" t="str">
        <f ca="1">IF(design_loads!$E$8="","",IF($AI49&gt;INDEX($AG$3:$AG$16,MATCH(design_loads!$E$8,$AE$3:$AE$16)),"&lt;scroll up&gt;",OFFSET(OFFSET('NBCC_C-2'!$B$1,INDEX($AF$3:$AF$16,MATCH(design_loads!$E$8,$AE$3:$AE$16))-1,0),$AI49-1,0)))</f>
        <v/>
      </c>
    </row>
    <row r="50" spans="2:39" x14ac:dyDescent="0.2">
      <c r="B50" s="66" t="s">
        <v>341</v>
      </c>
      <c r="C50" s="67" t="s">
        <v>247</v>
      </c>
      <c r="D50" s="68">
        <v>46</v>
      </c>
      <c r="F50" s="66" t="s">
        <v>342</v>
      </c>
      <c r="G50" s="67" t="s">
        <v>224</v>
      </c>
      <c r="H50" s="68">
        <v>6</v>
      </c>
      <c r="I50" s="70">
        <v>840</v>
      </c>
      <c r="J50" s="70">
        <v>-37</v>
      </c>
      <c r="K50" s="70">
        <v>-39</v>
      </c>
      <c r="L50" s="70">
        <v>25</v>
      </c>
      <c r="M50" s="70">
        <v>18</v>
      </c>
      <c r="N50" s="70">
        <v>6700</v>
      </c>
      <c r="O50" s="70">
        <v>13</v>
      </c>
      <c r="P50" s="71">
        <v>64</v>
      </c>
      <c r="Q50" s="71">
        <v>330</v>
      </c>
      <c r="R50" s="72">
        <v>0.53</v>
      </c>
      <c r="S50" s="71">
        <v>450</v>
      </c>
      <c r="T50" s="71">
        <v>80</v>
      </c>
      <c r="U50" s="73">
        <v>3.3</v>
      </c>
      <c r="V50" s="73">
        <v>0.1</v>
      </c>
      <c r="W50" s="72">
        <v>0.22</v>
      </c>
      <c r="X50" s="72">
        <v>0.3</v>
      </c>
      <c r="Y50" s="72">
        <v>0.12</v>
      </c>
      <c r="Z50" s="74">
        <v>5.6000000000000001E-2</v>
      </c>
      <c r="AA50" s="74">
        <v>2.3E-2</v>
      </c>
      <c r="AB50" s="74">
        <v>1.4E-2</v>
      </c>
      <c r="AC50" s="74">
        <v>5.8999999999999997E-2</v>
      </c>
      <c r="AE50" s="59"/>
      <c r="AF50" s="59"/>
      <c r="AG50" s="59"/>
      <c r="AH50" s="59"/>
      <c r="AI50" s="62">
        <v>48</v>
      </c>
      <c r="AJ50" s="63" t="str">
        <f ca="1">IF(design_loads!$E$5="","",IF($AI50&gt;INDEX($AG$3:$AG$16,MATCH(design_loads!$E$5,$AE$3:$AE$16)),"&lt;scroll up&gt;",OFFSET(OFFSET('NBCC_C-2'!$B$1,INDEX($AF$3:$AF$16,MATCH(design_loads!$E$5,$AE$3:$AE$16))-1,0),$AI50-1,0)))</f>
        <v>Merritt</v>
      </c>
      <c r="AK50" s="63" t="str">
        <f ca="1">IF(design_loads!$E$6="","",IF($AI50&gt;INDEX($AG$3:$AG$16,MATCH(design_loads!$E$6,$AE$3:$AE$16)),"&lt;scroll up&gt;",OFFSET(OFFSET('NBCC_C-2'!$B$1,INDEX($AF$3:$AF$16,MATCH(design_loads!$E$6,$AE$3:$AE$16))-1,0),$AI50-1,0)))</f>
        <v/>
      </c>
      <c r="AL50" s="63" t="str">
        <f ca="1">IF(design_loads!$E$7="","",IF($AI50&gt;INDEX($AG$3:$AG$16,MATCH(design_loads!$E$7,$AE$3:$AE$16)),"&lt;scroll up&gt;",OFFSET(OFFSET('NBCC_C-2'!$B$1,INDEX($AF$3:$AF$16,MATCH(design_loads!$E$7,$AE$3:$AE$16))-1,0),$AI50-1,0)))</f>
        <v/>
      </c>
      <c r="AM50" s="63" t="str">
        <f ca="1">IF(design_loads!$E$8="","",IF($AI50&gt;INDEX($AG$3:$AG$16,MATCH(design_loads!$E$8,$AE$3:$AE$16)),"&lt;scroll up&gt;",OFFSET(OFFSET('NBCC_C-2'!$B$1,INDEX($AF$3:$AF$16,MATCH(design_loads!$E$8,$AE$3:$AE$16))-1,0),$AI50-1,0)))</f>
        <v/>
      </c>
    </row>
    <row r="51" spans="2:39" x14ac:dyDescent="0.2">
      <c r="B51" s="66" t="s">
        <v>343</v>
      </c>
      <c r="C51" s="67" t="s">
        <v>247</v>
      </c>
      <c r="D51" s="68">
        <v>47</v>
      </c>
      <c r="F51" s="66" t="s">
        <v>268</v>
      </c>
      <c r="G51" s="67" t="s">
        <v>247</v>
      </c>
      <c r="H51" s="68">
        <v>8</v>
      </c>
      <c r="I51" s="76">
        <v>735</v>
      </c>
      <c r="J51" s="70">
        <v>-37</v>
      </c>
      <c r="K51" s="70">
        <v>-40</v>
      </c>
      <c r="L51" s="70">
        <v>27</v>
      </c>
      <c r="M51" s="70">
        <v>19</v>
      </c>
      <c r="N51" s="76">
        <v>5700</v>
      </c>
      <c r="O51" s="76">
        <v>20</v>
      </c>
      <c r="P51" s="77">
        <v>90</v>
      </c>
      <c r="Q51" s="77">
        <v>380</v>
      </c>
      <c r="R51" s="72">
        <v>0.52</v>
      </c>
      <c r="S51" s="77">
        <v>475</v>
      </c>
      <c r="T51" s="77">
        <v>160</v>
      </c>
      <c r="U51" s="73">
        <v>1.9</v>
      </c>
      <c r="V51" s="73">
        <v>0.1</v>
      </c>
      <c r="W51" s="72">
        <v>0.31</v>
      </c>
      <c r="X51" s="72">
        <v>0.42</v>
      </c>
      <c r="Y51" s="72">
        <v>0.12</v>
      </c>
      <c r="Z51" s="74">
        <v>0.06</v>
      </c>
      <c r="AA51" s="74">
        <v>0.02</v>
      </c>
      <c r="AB51" s="74">
        <v>0.01</v>
      </c>
      <c r="AC51" s="74">
        <v>0.06</v>
      </c>
      <c r="AE51" s="59"/>
      <c r="AF51" s="59"/>
      <c r="AG51" s="59"/>
      <c r="AH51" s="59"/>
      <c r="AI51" s="62">
        <v>49</v>
      </c>
      <c r="AJ51" s="63" t="str">
        <f ca="1">IF(design_loads!$E$5="","",IF($AI51&gt;INDEX($AG$3:$AG$16,MATCH(design_loads!$E$5,$AE$3:$AE$16)),"&lt;scroll up&gt;",OFFSET(OFFSET('NBCC_C-2'!$B$1,INDEX($AF$3:$AF$16,MATCH(design_loads!$E$5,$AE$3:$AE$16))-1,0),$AI51-1,0)))</f>
        <v>Mission City</v>
      </c>
      <c r="AK51" s="63" t="str">
        <f ca="1">IF(design_loads!$E$6="","",IF($AI51&gt;INDEX($AG$3:$AG$16,MATCH(design_loads!$E$6,$AE$3:$AE$16)),"&lt;scroll up&gt;",OFFSET(OFFSET('NBCC_C-2'!$B$1,INDEX($AF$3:$AF$16,MATCH(design_loads!$E$6,$AE$3:$AE$16))-1,0),$AI51-1,0)))</f>
        <v/>
      </c>
      <c r="AL51" s="63" t="str">
        <f ca="1">IF(design_loads!$E$7="","",IF($AI51&gt;INDEX($AG$3:$AG$16,MATCH(design_loads!$E$7,$AE$3:$AE$16)),"&lt;scroll up&gt;",OFFSET(OFFSET('NBCC_C-2'!$B$1,INDEX($AF$3:$AF$16,MATCH(design_loads!$E$7,$AE$3:$AE$16))-1,0),$AI51-1,0)))</f>
        <v/>
      </c>
      <c r="AM51" s="63" t="str">
        <f ca="1">IF(design_loads!$E$8="","",IF($AI51&gt;INDEX($AG$3:$AG$16,MATCH(design_loads!$E$8,$AE$3:$AE$16)),"&lt;scroll up&gt;",OFFSET(OFFSET('NBCC_C-2'!$B$1,INDEX($AF$3:$AF$16,MATCH(design_loads!$E$8,$AE$3:$AE$16))-1,0),$AI51-1,0)))</f>
        <v/>
      </c>
    </row>
    <row r="52" spans="2:39" x14ac:dyDescent="0.2">
      <c r="B52" s="66" t="s">
        <v>344</v>
      </c>
      <c r="C52" s="67" t="s">
        <v>247</v>
      </c>
      <c r="D52" s="68">
        <v>48</v>
      </c>
      <c r="F52" s="66" t="s">
        <v>345</v>
      </c>
      <c r="G52" s="67" t="s">
        <v>257</v>
      </c>
      <c r="H52" s="68">
        <v>9</v>
      </c>
      <c r="I52" s="70">
        <v>45</v>
      </c>
      <c r="J52" s="70">
        <v>-25</v>
      </c>
      <c r="K52" s="70">
        <v>-28</v>
      </c>
      <c r="L52" s="70">
        <v>28</v>
      </c>
      <c r="M52" s="70">
        <v>22</v>
      </c>
      <c r="N52" s="70">
        <v>5200</v>
      </c>
      <c r="O52" s="70">
        <v>20</v>
      </c>
      <c r="P52" s="71">
        <v>107</v>
      </c>
      <c r="Q52" s="71">
        <v>980</v>
      </c>
      <c r="R52" s="72">
        <v>1.0900000000000001</v>
      </c>
      <c r="S52" s="71">
        <v>1200</v>
      </c>
      <c r="T52" s="71">
        <v>200</v>
      </c>
      <c r="U52" s="73">
        <v>3.4</v>
      </c>
      <c r="V52" s="73">
        <v>0.6</v>
      </c>
      <c r="W52" s="72">
        <v>0.38</v>
      </c>
      <c r="X52" s="72">
        <v>0.53</v>
      </c>
      <c r="Y52" s="72">
        <v>0.6</v>
      </c>
      <c r="Z52" s="74">
        <v>0.32</v>
      </c>
      <c r="AA52" s="74">
        <v>0.15</v>
      </c>
      <c r="AB52" s="74">
        <v>5.1999999999999998E-2</v>
      </c>
      <c r="AC52" s="74">
        <v>0.38</v>
      </c>
      <c r="AE52" s="59"/>
      <c r="AF52" s="59"/>
      <c r="AG52" s="59"/>
      <c r="AH52" s="59"/>
      <c r="AI52" s="62">
        <v>50</v>
      </c>
      <c r="AJ52" s="63" t="str">
        <f ca="1">IF(design_loads!$E$5="","",IF($AI52&gt;INDEX($AG$3:$AG$16,MATCH(design_loads!$E$5,$AE$3:$AE$16)),"&lt;scroll up&gt;",OFFSET(OFFSET('NBCC_C-2'!$B$1,INDEX($AF$3:$AF$16,MATCH(design_loads!$E$5,$AE$3:$AE$16))-1,0),$AI52-1,0)))</f>
        <v>Montrose</v>
      </c>
      <c r="AK52" s="63" t="str">
        <f ca="1">IF(design_loads!$E$6="","",IF($AI52&gt;INDEX($AG$3:$AG$16,MATCH(design_loads!$E$6,$AE$3:$AE$16)),"&lt;scroll up&gt;",OFFSET(OFFSET('NBCC_C-2'!$B$1,INDEX($AF$3:$AF$16,MATCH(design_loads!$E$6,$AE$3:$AE$16))-1,0),$AI52-1,0)))</f>
        <v/>
      </c>
      <c r="AL52" s="63" t="str">
        <f ca="1">IF(design_loads!$E$7="","",IF($AI52&gt;INDEX($AG$3:$AG$16,MATCH(design_loads!$E$7,$AE$3:$AE$16)),"&lt;scroll up&gt;",OFFSET(OFFSET('NBCC_C-2'!$B$1,INDEX($AF$3:$AF$16,MATCH(design_loads!$E$7,$AE$3:$AE$16))-1,0),$AI52-1,0)))</f>
        <v/>
      </c>
      <c r="AM52" s="63" t="str">
        <f ca="1">IF(design_loads!$E$8="","",IF($AI52&gt;INDEX($AG$3:$AG$16,MATCH(design_loads!$E$8,$AE$3:$AE$16)),"&lt;scroll up&gt;",OFFSET(OFFSET('NBCC_C-2'!$B$1,INDEX($AF$3:$AF$16,MATCH(design_loads!$E$8,$AE$3:$AE$16))-1,0),$AI52-1,0)))</f>
        <v/>
      </c>
    </row>
    <row r="53" spans="2:39" x14ac:dyDescent="0.2">
      <c r="B53" s="66" t="s">
        <v>346</v>
      </c>
      <c r="C53" s="67" t="s">
        <v>247</v>
      </c>
      <c r="D53" s="68">
        <v>49</v>
      </c>
      <c r="F53" s="66" t="s">
        <v>347</v>
      </c>
      <c r="G53" s="67" t="s">
        <v>252</v>
      </c>
      <c r="H53" s="68">
        <v>1</v>
      </c>
      <c r="I53" s="70">
        <v>245</v>
      </c>
      <c r="J53" s="70">
        <v>-33</v>
      </c>
      <c r="K53" s="70">
        <v>-35</v>
      </c>
      <c r="L53" s="70">
        <v>28</v>
      </c>
      <c r="M53" s="70">
        <v>23</v>
      </c>
      <c r="N53" s="70">
        <v>5900</v>
      </c>
      <c r="O53" s="70">
        <v>28</v>
      </c>
      <c r="P53" s="71">
        <v>97</v>
      </c>
      <c r="Q53" s="71">
        <v>430</v>
      </c>
      <c r="R53" s="72">
        <v>0.61</v>
      </c>
      <c r="S53" s="71">
        <v>530</v>
      </c>
      <c r="T53" s="71">
        <v>180</v>
      </c>
      <c r="U53" s="73">
        <v>1.9</v>
      </c>
      <c r="V53" s="73">
        <v>0.2</v>
      </c>
      <c r="W53" s="72">
        <v>0.31</v>
      </c>
      <c r="X53" s="72">
        <v>0.41</v>
      </c>
      <c r="Y53" s="72">
        <v>0.12</v>
      </c>
      <c r="Z53" s="74">
        <v>5.6000000000000001E-2</v>
      </c>
      <c r="AA53" s="74">
        <v>2.3E-2</v>
      </c>
      <c r="AB53" s="74">
        <v>6.0000000000000001E-3</v>
      </c>
      <c r="AC53" s="74">
        <v>5.8999999999999997E-2</v>
      </c>
      <c r="AE53" s="59"/>
      <c r="AF53" s="59"/>
      <c r="AG53" s="59"/>
      <c r="AH53" s="59"/>
      <c r="AI53" s="62">
        <v>51</v>
      </c>
      <c r="AJ53" s="63" t="str">
        <f ca="1">IF(design_loads!$E$5="","",IF($AI53&gt;INDEX($AG$3:$AG$16,MATCH(design_loads!$E$5,$AE$3:$AE$16)),"&lt;scroll up&gt;",OFFSET(OFFSET('NBCC_C-2'!$B$1,INDEX($AF$3:$AF$16,MATCH(design_loads!$E$5,$AE$3:$AE$16))-1,0),$AI53-1,0)))</f>
        <v>Nakusp</v>
      </c>
      <c r="AK53" s="63" t="str">
        <f ca="1">IF(design_loads!$E$6="","",IF($AI53&gt;INDEX($AG$3:$AG$16,MATCH(design_loads!$E$6,$AE$3:$AE$16)),"&lt;scroll up&gt;",OFFSET(OFFSET('NBCC_C-2'!$B$1,INDEX($AF$3:$AF$16,MATCH(design_loads!$E$6,$AE$3:$AE$16))-1,0),$AI53-1,0)))</f>
        <v/>
      </c>
      <c r="AL53" s="63" t="str">
        <f ca="1">IF(design_loads!$E$7="","",IF($AI53&gt;INDEX($AG$3:$AG$16,MATCH(design_loads!$E$7,$AE$3:$AE$16)),"&lt;scroll up&gt;",OFFSET(OFFSET('NBCC_C-2'!$B$1,INDEX($AF$3:$AF$16,MATCH(design_loads!$E$7,$AE$3:$AE$16))-1,0),$AI53-1,0)))</f>
        <v/>
      </c>
      <c r="AM53" s="63" t="str">
        <f ca="1">IF(design_loads!$E$8="","",IF($AI53&gt;INDEX($AG$3:$AG$16,MATCH(design_loads!$E$8,$AE$3:$AE$16)),"&lt;scroll up&gt;",OFFSET(OFFSET('NBCC_C-2'!$B$1,INDEX($AF$3:$AF$16,MATCH(design_loads!$E$8,$AE$3:$AE$16))-1,0),$AI53-1,0)))</f>
        <v/>
      </c>
    </row>
    <row r="54" spans="2:39" x14ac:dyDescent="0.2">
      <c r="B54" s="66" t="s">
        <v>348</v>
      </c>
      <c r="C54" s="67" t="s">
        <v>247</v>
      </c>
      <c r="D54" s="68">
        <v>50</v>
      </c>
      <c r="F54" s="66" t="s">
        <v>271</v>
      </c>
      <c r="G54" s="67" t="s">
        <v>247</v>
      </c>
      <c r="H54" s="68">
        <v>9</v>
      </c>
      <c r="I54" s="76">
        <v>730</v>
      </c>
      <c r="J54" s="70">
        <v>-35</v>
      </c>
      <c r="K54" s="70">
        <v>-38</v>
      </c>
      <c r="L54" s="70">
        <v>28</v>
      </c>
      <c r="M54" s="70">
        <v>18</v>
      </c>
      <c r="N54" s="76">
        <v>5900</v>
      </c>
      <c r="O54" s="76">
        <v>25</v>
      </c>
      <c r="P54" s="77">
        <v>92</v>
      </c>
      <c r="Q54" s="77">
        <v>315</v>
      </c>
      <c r="R54" s="72">
        <v>0.49</v>
      </c>
      <c r="S54" s="77">
        <v>470</v>
      </c>
      <c r="T54" s="77">
        <v>100</v>
      </c>
      <c r="U54" s="73">
        <v>2.4</v>
      </c>
      <c r="V54" s="73">
        <v>0.1</v>
      </c>
      <c r="W54" s="72">
        <v>0.27</v>
      </c>
      <c r="X54" s="72">
        <v>0.36</v>
      </c>
      <c r="Y54" s="72">
        <v>0.13</v>
      </c>
      <c r="Z54" s="74">
        <v>7.8E-2</v>
      </c>
      <c r="AA54" s="74">
        <v>3.9E-2</v>
      </c>
      <c r="AB54" s="74">
        <v>2.1999999999999999E-2</v>
      </c>
      <c r="AC54" s="74">
        <v>7.0000000000000007E-2</v>
      </c>
      <c r="AE54" s="59"/>
      <c r="AF54" s="59"/>
      <c r="AG54" s="59"/>
      <c r="AH54" s="59"/>
      <c r="AI54" s="62">
        <v>52</v>
      </c>
      <c r="AJ54" s="63" t="str">
        <f ca="1">IF(design_loads!$E$5="","",IF($AI54&gt;INDEX($AG$3:$AG$16,MATCH(design_loads!$E$5,$AE$3:$AE$16)),"&lt;scroll up&gt;",OFFSET(OFFSET('NBCC_C-2'!$B$1,INDEX($AF$3:$AF$16,MATCH(design_loads!$E$5,$AE$3:$AE$16))-1,0),$AI54-1,0)))</f>
        <v>Nanaimo</v>
      </c>
      <c r="AK54" s="63" t="str">
        <f ca="1">IF(design_loads!$E$6="","",IF($AI54&gt;INDEX($AG$3:$AG$16,MATCH(design_loads!$E$6,$AE$3:$AE$16)),"&lt;scroll up&gt;",OFFSET(OFFSET('NBCC_C-2'!$B$1,INDEX($AF$3:$AF$16,MATCH(design_loads!$E$6,$AE$3:$AE$16))-1,0),$AI54-1,0)))</f>
        <v/>
      </c>
      <c r="AL54" s="63" t="str">
        <f ca="1">IF(design_loads!$E$7="","",IF($AI54&gt;INDEX($AG$3:$AG$16,MATCH(design_loads!$E$7,$AE$3:$AE$16)),"&lt;scroll up&gt;",OFFSET(OFFSET('NBCC_C-2'!$B$1,INDEX($AF$3:$AF$16,MATCH(design_loads!$E$7,$AE$3:$AE$16))-1,0),$AI54-1,0)))</f>
        <v/>
      </c>
      <c r="AM54" s="63" t="str">
        <f ca="1">IF(design_loads!$E$8="","",IF($AI54&gt;INDEX($AG$3:$AG$16,MATCH(design_loads!$E$8,$AE$3:$AE$16)),"&lt;scroll up&gt;",OFFSET(OFFSET('NBCC_C-2'!$B$1,INDEX($AF$3:$AF$16,MATCH(design_loads!$E$8,$AE$3:$AE$16))-1,0),$AI54-1,0)))</f>
        <v/>
      </c>
    </row>
    <row r="55" spans="2:39" x14ac:dyDescent="0.2">
      <c r="B55" s="66" t="s">
        <v>349</v>
      </c>
      <c r="C55" s="67" t="s">
        <v>247</v>
      </c>
      <c r="D55" s="68">
        <v>51</v>
      </c>
      <c r="F55" s="66" t="s">
        <v>350</v>
      </c>
      <c r="G55" s="67" t="s">
        <v>264</v>
      </c>
      <c r="H55" s="68">
        <v>13</v>
      </c>
      <c r="I55" s="70">
        <v>240</v>
      </c>
      <c r="J55" s="70">
        <v>-24</v>
      </c>
      <c r="K55" s="70">
        <v>-26</v>
      </c>
      <c r="L55" s="70">
        <v>30</v>
      </c>
      <c r="M55" s="70">
        <v>22</v>
      </c>
      <c r="N55" s="70">
        <v>4550</v>
      </c>
      <c r="O55" s="70">
        <v>28</v>
      </c>
      <c r="P55" s="71">
        <v>108</v>
      </c>
      <c r="Q55" s="71">
        <v>720</v>
      </c>
      <c r="R55" s="72">
        <v>0.87</v>
      </c>
      <c r="S55" s="71">
        <v>950</v>
      </c>
      <c r="T55" s="71">
        <v>120</v>
      </c>
      <c r="U55" s="73">
        <v>2.2000000000000002</v>
      </c>
      <c r="V55" s="73">
        <v>0.4</v>
      </c>
      <c r="W55" s="72">
        <v>0.24</v>
      </c>
      <c r="X55" s="72">
        <v>0.36</v>
      </c>
      <c r="Y55" s="72">
        <v>0.16</v>
      </c>
      <c r="Z55" s="74">
        <v>0.1</v>
      </c>
      <c r="AA55" s="74">
        <v>5.2999999999999999E-2</v>
      </c>
      <c r="AB55" s="74">
        <v>1.4999999999999999E-2</v>
      </c>
      <c r="AC55" s="74">
        <v>7.8E-2</v>
      </c>
      <c r="AE55" s="59"/>
      <c r="AF55" s="59"/>
      <c r="AG55" s="59"/>
      <c r="AH55" s="59"/>
      <c r="AI55" s="62">
        <v>53</v>
      </c>
      <c r="AJ55" s="63" t="str">
        <f ca="1">IF(design_loads!$E$5="","",IF($AI55&gt;INDEX($AG$3:$AG$16,MATCH(design_loads!$E$5,$AE$3:$AE$16)),"&lt;scroll up&gt;",OFFSET(OFFSET('NBCC_C-2'!$B$1,INDEX($AF$3:$AF$16,MATCH(design_loads!$E$5,$AE$3:$AE$16))-1,0),$AI55-1,0)))</f>
        <v>Nelson</v>
      </c>
      <c r="AK55" s="63" t="str">
        <f ca="1">IF(design_loads!$E$6="","",IF($AI55&gt;INDEX($AG$3:$AG$16,MATCH(design_loads!$E$6,$AE$3:$AE$16)),"&lt;scroll up&gt;",OFFSET(OFFSET('NBCC_C-2'!$B$1,INDEX($AF$3:$AF$16,MATCH(design_loads!$E$6,$AE$3:$AE$16))-1,0),$AI55-1,0)))</f>
        <v/>
      </c>
      <c r="AL55" s="63" t="str">
        <f ca="1">IF(design_loads!$E$7="","",IF($AI55&gt;INDEX($AG$3:$AG$16,MATCH(design_loads!$E$7,$AE$3:$AE$16)),"&lt;scroll up&gt;",OFFSET(OFFSET('NBCC_C-2'!$B$1,INDEX($AF$3:$AF$16,MATCH(design_loads!$E$7,$AE$3:$AE$16))-1,0),$AI55-1,0)))</f>
        <v/>
      </c>
      <c r="AM55" s="63" t="str">
        <f ca="1">IF(design_loads!$E$8="","",IF($AI55&gt;INDEX($AG$3:$AG$16,MATCH(design_loads!$E$8,$AE$3:$AE$16)),"&lt;scroll up&gt;",OFFSET(OFFSET('NBCC_C-2'!$B$1,INDEX($AF$3:$AF$16,MATCH(design_loads!$E$8,$AE$3:$AE$16))-1,0),$AI55-1,0)))</f>
        <v/>
      </c>
    </row>
    <row r="56" spans="2:39" x14ac:dyDescent="0.2">
      <c r="B56" s="66" t="s">
        <v>351</v>
      </c>
      <c r="C56" s="67" t="s">
        <v>247</v>
      </c>
      <c r="D56" s="68">
        <v>52</v>
      </c>
      <c r="F56" s="66" t="s">
        <v>352</v>
      </c>
      <c r="G56" s="67" t="s">
        <v>257</v>
      </c>
      <c r="H56" s="68">
        <v>10</v>
      </c>
      <c r="I56" s="70">
        <v>55</v>
      </c>
      <c r="J56" s="70">
        <v>-23</v>
      </c>
      <c r="K56" s="70">
        <v>-25</v>
      </c>
      <c r="L56" s="70">
        <v>29</v>
      </c>
      <c r="M56" s="70">
        <v>23</v>
      </c>
      <c r="N56" s="70">
        <v>4600</v>
      </c>
      <c r="O56" s="70">
        <v>23</v>
      </c>
      <c r="P56" s="71">
        <v>86</v>
      </c>
      <c r="Q56" s="71">
        <v>880</v>
      </c>
      <c r="R56" s="72">
        <v>0.99</v>
      </c>
      <c r="S56" s="71">
        <v>1260</v>
      </c>
      <c r="T56" s="71">
        <v>160</v>
      </c>
      <c r="U56" s="73">
        <v>2.1</v>
      </c>
      <c r="V56" s="73">
        <v>0.4</v>
      </c>
      <c r="W56" s="72">
        <v>0.31</v>
      </c>
      <c r="X56" s="72">
        <v>0.41</v>
      </c>
      <c r="Y56" s="72">
        <v>0.6</v>
      </c>
      <c r="Z56" s="74">
        <v>0.28000000000000003</v>
      </c>
      <c r="AA56" s="74">
        <v>0.12</v>
      </c>
      <c r="AB56" s="74">
        <v>4.1000000000000002E-2</v>
      </c>
      <c r="AC56" s="74">
        <v>0.37</v>
      </c>
      <c r="AE56" s="59"/>
      <c r="AF56" s="59"/>
      <c r="AG56" s="59"/>
      <c r="AH56" s="59"/>
      <c r="AI56" s="62">
        <v>54</v>
      </c>
      <c r="AJ56" s="63" t="str">
        <f ca="1">IF(design_loads!$E$5="","",IF($AI56&gt;INDEX($AG$3:$AG$16,MATCH(design_loads!$E$5,$AE$3:$AE$16)),"&lt;scroll up&gt;",OFFSET(OFFSET('NBCC_C-2'!$B$1,INDEX($AF$3:$AF$16,MATCH(design_loads!$E$5,$AE$3:$AE$16))-1,0),$AI56-1,0)))</f>
        <v>New Westminster</v>
      </c>
      <c r="AK56" s="63" t="str">
        <f ca="1">IF(design_loads!$E$6="","",IF($AI56&gt;INDEX($AG$3:$AG$16,MATCH(design_loads!$E$6,$AE$3:$AE$16)),"&lt;scroll up&gt;",OFFSET(OFFSET('NBCC_C-2'!$B$1,INDEX($AF$3:$AF$16,MATCH(design_loads!$E$6,$AE$3:$AE$16))-1,0),$AI56-1,0)))</f>
        <v/>
      </c>
      <c r="AL56" s="63" t="str">
        <f ca="1">IF(design_loads!$E$7="","",IF($AI56&gt;INDEX($AG$3:$AG$16,MATCH(design_loads!$E$7,$AE$3:$AE$16)),"&lt;scroll up&gt;",OFFSET(OFFSET('NBCC_C-2'!$B$1,INDEX($AF$3:$AF$16,MATCH(design_loads!$E$7,$AE$3:$AE$16))-1,0),$AI56-1,0)))</f>
        <v/>
      </c>
      <c r="AM56" s="63" t="str">
        <f ca="1">IF(design_loads!$E$8="","",IF($AI56&gt;INDEX($AG$3:$AG$16,MATCH(design_loads!$E$8,$AE$3:$AE$16)),"&lt;scroll up&gt;",OFFSET(OFFSET('NBCC_C-2'!$B$1,INDEX($AF$3:$AF$16,MATCH(design_loads!$E$8,$AE$3:$AE$16))-1,0),$AI56-1,0)))</f>
        <v/>
      </c>
    </row>
    <row r="57" spans="2:39" x14ac:dyDescent="0.2">
      <c r="B57" s="66" t="s">
        <v>353</v>
      </c>
      <c r="C57" s="67" t="s">
        <v>247</v>
      </c>
      <c r="D57" s="68">
        <v>53</v>
      </c>
      <c r="F57" s="66" t="s">
        <v>354</v>
      </c>
      <c r="G57" s="67" t="s">
        <v>264</v>
      </c>
      <c r="H57" s="68">
        <v>14</v>
      </c>
      <c r="I57" s="70">
        <v>90</v>
      </c>
      <c r="J57" s="70">
        <v>-22</v>
      </c>
      <c r="K57" s="70">
        <v>-24</v>
      </c>
      <c r="L57" s="70">
        <v>29</v>
      </c>
      <c r="M57" s="70">
        <v>23</v>
      </c>
      <c r="N57" s="70">
        <v>4100</v>
      </c>
      <c r="O57" s="70">
        <v>23</v>
      </c>
      <c r="P57" s="71">
        <v>103</v>
      </c>
      <c r="Q57" s="71">
        <v>760</v>
      </c>
      <c r="R57" s="72">
        <v>0.89</v>
      </c>
      <c r="S57" s="71">
        <v>850</v>
      </c>
      <c r="T57" s="71">
        <v>180</v>
      </c>
      <c r="U57" s="73">
        <v>1.7</v>
      </c>
      <c r="V57" s="73">
        <v>0.4</v>
      </c>
      <c r="W57" s="72">
        <v>0.32</v>
      </c>
      <c r="X57" s="72">
        <v>0.43</v>
      </c>
      <c r="Y57" s="72">
        <v>0.26</v>
      </c>
      <c r="Z57" s="74">
        <v>0.14000000000000001</v>
      </c>
      <c r="AA57" s="74">
        <v>7.2999999999999995E-2</v>
      </c>
      <c r="AB57" s="74">
        <v>0.02</v>
      </c>
      <c r="AC57" s="74">
        <v>0.14000000000000001</v>
      </c>
      <c r="AE57" s="59"/>
      <c r="AF57" s="59"/>
      <c r="AG57" s="59"/>
      <c r="AH57" s="59"/>
      <c r="AI57" s="62">
        <v>55</v>
      </c>
      <c r="AJ57" s="63" t="str">
        <f ca="1">IF(design_loads!$E$5="","",IF($AI57&gt;INDEX($AG$3:$AG$16,MATCH(design_loads!$E$5,$AE$3:$AE$16)),"&lt;scroll up&gt;",OFFSET(OFFSET('NBCC_C-2'!$B$1,INDEX($AF$3:$AF$16,MATCH(design_loads!$E$5,$AE$3:$AE$16))-1,0),$AI57-1,0)))</f>
        <v>North Vancouver</v>
      </c>
      <c r="AK57" s="63" t="str">
        <f ca="1">IF(design_loads!$E$6="","",IF($AI57&gt;INDEX($AG$3:$AG$16,MATCH(design_loads!$E$6,$AE$3:$AE$16)),"&lt;scroll up&gt;",OFFSET(OFFSET('NBCC_C-2'!$B$1,INDEX($AF$3:$AF$16,MATCH(design_loads!$E$6,$AE$3:$AE$16))-1,0),$AI57-1,0)))</f>
        <v/>
      </c>
      <c r="AL57" s="63" t="str">
        <f ca="1">IF(design_loads!$E$7="","",IF($AI57&gt;INDEX($AG$3:$AG$16,MATCH(design_loads!$E$7,$AE$3:$AE$16)),"&lt;scroll up&gt;",OFFSET(OFFSET('NBCC_C-2'!$B$1,INDEX($AF$3:$AF$16,MATCH(design_loads!$E$7,$AE$3:$AE$16))-1,0),$AI57-1,0)))</f>
        <v/>
      </c>
      <c r="AM57" s="63" t="str">
        <f ca="1">IF(design_loads!$E$8="","",IF($AI57&gt;INDEX($AG$3:$AG$16,MATCH(design_loads!$E$8,$AE$3:$AE$16)),"&lt;scroll up&gt;",OFFSET(OFFSET('NBCC_C-2'!$B$1,INDEX($AF$3:$AF$16,MATCH(design_loads!$E$8,$AE$3:$AE$16))-1,0),$AI57-1,0)))</f>
        <v/>
      </c>
    </row>
    <row r="58" spans="2:39" x14ac:dyDescent="0.2">
      <c r="B58" s="66" t="s">
        <v>355</v>
      </c>
      <c r="C58" s="67" t="s">
        <v>247</v>
      </c>
      <c r="D58" s="68">
        <v>54</v>
      </c>
      <c r="F58" s="66" t="s">
        <v>356</v>
      </c>
      <c r="G58" s="67" t="s">
        <v>264</v>
      </c>
      <c r="H58" s="68">
        <v>15</v>
      </c>
      <c r="I58" s="70">
        <v>260</v>
      </c>
      <c r="J58" s="70">
        <v>-17</v>
      </c>
      <c r="K58" s="70">
        <v>-19</v>
      </c>
      <c r="L58" s="70">
        <v>30</v>
      </c>
      <c r="M58" s="70">
        <v>23</v>
      </c>
      <c r="N58" s="70">
        <v>4050</v>
      </c>
      <c r="O58" s="70">
        <v>25</v>
      </c>
      <c r="P58" s="71">
        <v>97</v>
      </c>
      <c r="Q58" s="71">
        <v>850</v>
      </c>
      <c r="R58" s="72">
        <v>0.95</v>
      </c>
      <c r="S58" s="71">
        <v>950</v>
      </c>
      <c r="T58" s="71">
        <v>180</v>
      </c>
      <c r="U58" s="73">
        <v>1.7</v>
      </c>
      <c r="V58" s="73">
        <v>0.4</v>
      </c>
      <c r="W58" s="72">
        <v>0.35</v>
      </c>
      <c r="X58" s="72">
        <v>0.51</v>
      </c>
      <c r="Y58" s="72">
        <v>0.2</v>
      </c>
      <c r="Z58" s="74">
        <v>9.8000000000000004E-2</v>
      </c>
      <c r="AA58" s="74">
        <v>4.8000000000000001E-2</v>
      </c>
      <c r="AB58" s="74">
        <v>1.2999999999999999E-2</v>
      </c>
      <c r="AC58" s="74">
        <v>0.13</v>
      </c>
      <c r="AE58" s="59"/>
      <c r="AF58" s="59"/>
      <c r="AG58" s="59"/>
      <c r="AH58" s="59"/>
      <c r="AI58" s="62">
        <v>56</v>
      </c>
      <c r="AJ58" s="63" t="str">
        <f ca="1">IF(design_loads!$E$5="","",IF($AI58&gt;INDEX($AG$3:$AG$16,MATCH(design_loads!$E$5,$AE$3:$AE$16)),"&lt;scroll up&gt;",OFFSET(OFFSET('NBCC_C-2'!$B$1,INDEX($AF$3:$AF$16,MATCH(design_loads!$E$5,$AE$3:$AE$16))-1,0),$AI58-1,0)))</f>
        <v>Ocean Falls</v>
      </c>
      <c r="AK58" s="63" t="str">
        <f ca="1">IF(design_loads!$E$6="","",IF($AI58&gt;INDEX($AG$3:$AG$16,MATCH(design_loads!$E$6,$AE$3:$AE$16)),"&lt;scroll up&gt;",OFFSET(OFFSET('NBCC_C-2'!$B$1,INDEX($AF$3:$AF$16,MATCH(design_loads!$E$6,$AE$3:$AE$16))-1,0),$AI58-1,0)))</f>
        <v/>
      </c>
      <c r="AL58" s="63" t="str">
        <f ca="1">IF(design_loads!$E$7="","",IF($AI58&gt;INDEX($AG$3:$AG$16,MATCH(design_loads!$E$7,$AE$3:$AE$16)),"&lt;scroll up&gt;",OFFSET(OFFSET('NBCC_C-2'!$B$1,INDEX($AF$3:$AF$16,MATCH(design_loads!$E$7,$AE$3:$AE$16))-1,0),$AI58-1,0)))</f>
        <v/>
      </c>
      <c r="AM58" s="63" t="str">
        <f ca="1">IF(design_loads!$E$8="","",IF($AI58&gt;INDEX($AG$3:$AG$16,MATCH(design_loads!$E$8,$AE$3:$AE$16)),"&lt;scroll up&gt;",OFFSET(OFFSET('NBCC_C-2'!$B$1,INDEX($AF$3:$AF$16,MATCH(design_loads!$E$8,$AE$3:$AE$16))-1,0),$AI58-1,0)))</f>
        <v/>
      </c>
    </row>
    <row r="59" spans="2:39" x14ac:dyDescent="0.2">
      <c r="B59" s="66" t="s">
        <v>357</v>
      </c>
      <c r="C59" s="67" t="s">
        <v>247</v>
      </c>
      <c r="D59" s="68">
        <v>55</v>
      </c>
      <c r="F59" s="66" t="s">
        <v>358</v>
      </c>
      <c r="G59" s="67" t="s">
        <v>257</v>
      </c>
      <c r="H59" s="68">
        <v>11</v>
      </c>
      <c r="I59" s="70">
        <v>25</v>
      </c>
      <c r="J59" s="70">
        <v>-24</v>
      </c>
      <c r="K59" s="70">
        <v>-26</v>
      </c>
      <c r="L59" s="70">
        <v>30</v>
      </c>
      <c r="M59" s="70">
        <v>23</v>
      </c>
      <c r="N59" s="70">
        <v>4550</v>
      </c>
      <c r="O59" s="70">
        <v>23</v>
      </c>
      <c r="P59" s="71">
        <v>91</v>
      </c>
      <c r="Q59" s="71">
        <v>840</v>
      </c>
      <c r="R59" s="72">
        <v>0.95</v>
      </c>
      <c r="S59" s="71">
        <v>1025</v>
      </c>
      <c r="T59" s="71">
        <v>180</v>
      </c>
      <c r="U59" s="73">
        <v>2.4</v>
      </c>
      <c r="V59" s="73">
        <v>0.4</v>
      </c>
      <c r="W59" s="72">
        <v>0.28000000000000003</v>
      </c>
      <c r="X59" s="72">
        <v>0.37</v>
      </c>
      <c r="Y59" s="72">
        <v>0.67</v>
      </c>
      <c r="Z59" s="74">
        <v>0.33</v>
      </c>
      <c r="AA59" s="74">
        <v>0.13</v>
      </c>
      <c r="AB59" s="74">
        <v>4.5999999999999999E-2</v>
      </c>
      <c r="AC59" s="74">
        <v>0.41</v>
      </c>
      <c r="AE59" s="59"/>
      <c r="AF59" s="59"/>
      <c r="AG59" s="59"/>
      <c r="AH59" s="59"/>
      <c r="AI59" s="62">
        <v>57</v>
      </c>
      <c r="AJ59" s="63" t="str">
        <f ca="1">IF(design_loads!$E$5="","",IF($AI59&gt;INDEX($AG$3:$AG$16,MATCH(design_loads!$E$5,$AE$3:$AE$16)),"&lt;scroll up&gt;",OFFSET(OFFSET('NBCC_C-2'!$B$1,INDEX($AF$3:$AF$16,MATCH(design_loads!$E$5,$AE$3:$AE$16))-1,0),$AI59-1,0)))</f>
        <v>Osoyoos</v>
      </c>
      <c r="AK59" s="63" t="str">
        <f ca="1">IF(design_loads!$E$6="","",IF($AI59&gt;INDEX($AG$3:$AG$16,MATCH(design_loads!$E$6,$AE$3:$AE$16)),"&lt;scroll up&gt;",OFFSET(OFFSET('NBCC_C-2'!$B$1,INDEX($AF$3:$AF$16,MATCH(design_loads!$E$6,$AE$3:$AE$16))-1,0),$AI59-1,0)))</f>
        <v/>
      </c>
      <c r="AL59" s="63" t="str">
        <f ca="1">IF(design_loads!$E$7="","",IF($AI59&gt;INDEX($AG$3:$AG$16,MATCH(design_loads!$E$7,$AE$3:$AE$16)),"&lt;scroll up&gt;",OFFSET(OFFSET('NBCC_C-2'!$B$1,INDEX($AF$3:$AF$16,MATCH(design_loads!$E$7,$AE$3:$AE$16))-1,0),$AI59-1,0)))</f>
        <v/>
      </c>
      <c r="AM59" s="63" t="str">
        <f ca="1">IF(design_loads!$E$8="","",IF($AI59&gt;INDEX($AG$3:$AG$16,MATCH(design_loads!$E$8,$AE$3:$AE$16)),"&lt;scroll up&gt;",OFFSET(OFFSET('NBCC_C-2'!$B$1,INDEX($AF$3:$AF$16,MATCH(design_loads!$E$8,$AE$3:$AE$16))-1,0),$AI59-1,0)))</f>
        <v/>
      </c>
    </row>
    <row r="60" spans="2:39" x14ac:dyDescent="0.2">
      <c r="B60" s="66" t="s">
        <v>359</v>
      </c>
      <c r="C60" s="67" t="s">
        <v>247</v>
      </c>
      <c r="D60" s="68">
        <v>56</v>
      </c>
      <c r="F60" s="66" t="s">
        <v>274</v>
      </c>
      <c r="G60" s="67" t="s">
        <v>247</v>
      </c>
      <c r="H60" s="68">
        <v>10</v>
      </c>
      <c r="I60" s="76">
        <v>643</v>
      </c>
      <c r="J60" s="70">
        <v>-40</v>
      </c>
      <c r="K60" s="70">
        <v>-42</v>
      </c>
      <c r="L60" s="70">
        <v>27</v>
      </c>
      <c r="M60" s="70">
        <v>18</v>
      </c>
      <c r="N60" s="76">
        <v>6350</v>
      </c>
      <c r="O60" s="76">
        <v>14</v>
      </c>
      <c r="P60" s="77">
        <v>80</v>
      </c>
      <c r="Q60" s="77">
        <v>310</v>
      </c>
      <c r="R60" s="72">
        <v>0.51</v>
      </c>
      <c r="S60" s="77">
        <v>395</v>
      </c>
      <c r="T60" s="77">
        <v>100</v>
      </c>
      <c r="U60" s="73">
        <v>2.2999999999999998</v>
      </c>
      <c r="V60" s="73">
        <v>0.1</v>
      </c>
      <c r="W60" s="72">
        <v>0.24</v>
      </c>
      <c r="X60" s="72">
        <v>0.33</v>
      </c>
      <c r="Y60" s="72">
        <v>0.12</v>
      </c>
      <c r="Z60" s="74">
        <v>0.06</v>
      </c>
      <c r="AA60" s="74">
        <v>0.02</v>
      </c>
      <c r="AB60" s="74">
        <v>0.01</v>
      </c>
      <c r="AC60" s="74">
        <v>0.06</v>
      </c>
      <c r="AE60" s="59"/>
      <c r="AF60" s="59"/>
      <c r="AG60" s="59"/>
      <c r="AH60" s="59"/>
      <c r="AI60" s="62">
        <v>58</v>
      </c>
      <c r="AJ60" s="63" t="str">
        <f ca="1">IF(design_loads!$E$5="","",IF($AI60&gt;INDEX($AG$3:$AG$16,MATCH(design_loads!$E$5,$AE$3:$AE$16)),"&lt;scroll up&gt;",OFFSET(OFFSET('NBCC_C-2'!$B$1,INDEX($AF$3:$AF$16,MATCH(design_loads!$E$5,$AE$3:$AE$16))-1,0),$AI60-1,0)))</f>
        <v>Penticton</v>
      </c>
      <c r="AK60" s="63" t="str">
        <f ca="1">IF(design_loads!$E$6="","",IF($AI60&gt;INDEX($AG$3:$AG$16,MATCH(design_loads!$E$6,$AE$3:$AE$16)),"&lt;scroll up&gt;",OFFSET(OFFSET('NBCC_C-2'!$B$1,INDEX($AF$3:$AF$16,MATCH(design_loads!$E$6,$AE$3:$AE$16))-1,0),$AI60-1,0)))</f>
        <v/>
      </c>
      <c r="AL60" s="63" t="str">
        <f ca="1">IF(design_loads!$E$7="","",IF($AI60&gt;INDEX($AG$3:$AG$16,MATCH(design_loads!$E$7,$AE$3:$AE$16)),"&lt;scroll up&gt;",OFFSET(OFFSET('NBCC_C-2'!$B$1,INDEX($AF$3:$AF$16,MATCH(design_loads!$E$7,$AE$3:$AE$16))-1,0),$AI60-1,0)))</f>
        <v/>
      </c>
      <c r="AM60" s="63" t="str">
        <f ca="1">IF(design_loads!$E$8="","",IF($AI60&gt;INDEX($AG$3:$AG$16,MATCH(design_loads!$E$8,$AE$3:$AE$16)),"&lt;scroll up&gt;",OFFSET(OFFSET('NBCC_C-2'!$B$1,INDEX($AF$3:$AF$16,MATCH(design_loads!$E$8,$AE$3:$AE$16))-1,0),$AI60-1,0)))</f>
        <v/>
      </c>
    </row>
    <row r="61" spans="2:39" x14ac:dyDescent="0.2">
      <c r="B61" s="66" t="s">
        <v>360</v>
      </c>
      <c r="C61" s="67" t="s">
        <v>247</v>
      </c>
      <c r="D61" s="68">
        <v>57</v>
      </c>
      <c r="F61" s="66" t="s">
        <v>361</v>
      </c>
      <c r="G61" s="67" t="s">
        <v>264</v>
      </c>
      <c r="H61" s="68">
        <v>16</v>
      </c>
      <c r="I61" s="70">
        <v>215</v>
      </c>
      <c r="J61" s="70">
        <v>-38</v>
      </c>
      <c r="K61" s="70">
        <v>-40</v>
      </c>
      <c r="L61" s="70">
        <v>25</v>
      </c>
      <c r="M61" s="70">
        <v>20</v>
      </c>
      <c r="N61" s="70">
        <v>7650</v>
      </c>
      <c r="O61" s="70">
        <v>13</v>
      </c>
      <c r="P61" s="71">
        <v>92</v>
      </c>
      <c r="Q61" s="71">
        <v>400</v>
      </c>
      <c r="R61" s="72">
        <v>0.75</v>
      </c>
      <c r="S61" s="71">
        <v>600</v>
      </c>
      <c r="T61" s="71">
        <v>150</v>
      </c>
      <c r="U61" s="73">
        <v>3.2</v>
      </c>
      <c r="V61" s="73">
        <v>0.2</v>
      </c>
      <c r="W61" s="72">
        <v>0.33</v>
      </c>
      <c r="X61" s="72">
        <v>0.42</v>
      </c>
      <c r="Y61" s="72">
        <v>0.12</v>
      </c>
      <c r="Z61" s="74">
        <v>5.6000000000000001E-2</v>
      </c>
      <c r="AA61" s="74">
        <v>2.3E-2</v>
      </c>
      <c r="AB61" s="74">
        <v>6.0000000000000001E-3</v>
      </c>
      <c r="AC61" s="74">
        <v>5.8999999999999997E-2</v>
      </c>
      <c r="AE61" s="59"/>
      <c r="AF61" s="59"/>
      <c r="AG61" s="59"/>
      <c r="AH61" s="59"/>
      <c r="AI61" s="62">
        <v>59</v>
      </c>
      <c r="AJ61" s="63" t="str">
        <f ca="1">IF(design_loads!$E$5="","",IF($AI61&gt;INDEX($AG$3:$AG$16,MATCH(design_loads!$E$5,$AE$3:$AE$16)),"&lt;scroll up&gt;",OFFSET(OFFSET('NBCC_C-2'!$B$1,INDEX($AF$3:$AF$16,MATCH(design_loads!$E$5,$AE$3:$AE$16))-1,0),$AI61-1,0)))</f>
        <v>Port Alberni</v>
      </c>
      <c r="AK61" s="63" t="str">
        <f ca="1">IF(design_loads!$E$6="","",IF($AI61&gt;INDEX($AG$3:$AG$16,MATCH(design_loads!$E$6,$AE$3:$AE$16)),"&lt;scroll up&gt;",OFFSET(OFFSET('NBCC_C-2'!$B$1,INDEX($AF$3:$AF$16,MATCH(design_loads!$E$6,$AE$3:$AE$16))-1,0),$AI61-1,0)))</f>
        <v/>
      </c>
      <c r="AL61" s="63" t="str">
        <f ca="1">IF(design_loads!$E$7="","",IF($AI61&gt;INDEX($AG$3:$AG$16,MATCH(design_loads!$E$7,$AE$3:$AE$16)),"&lt;scroll up&gt;",OFFSET(OFFSET('NBCC_C-2'!$B$1,INDEX($AF$3:$AF$16,MATCH(design_loads!$E$7,$AE$3:$AE$16))-1,0),$AI61-1,0)))</f>
        <v/>
      </c>
      <c r="AM61" s="63" t="str">
        <f ca="1">IF(design_loads!$E$8="","",IF($AI61&gt;INDEX($AG$3:$AG$16,MATCH(design_loads!$E$8,$AE$3:$AE$16)),"&lt;scroll up&gt;",OFFSET(OFFSET('NBCC_C-2'!$B$1,INDEX($AF$3:$AF$16,MATCH(design_loads!$E$8,$AE$3:$AE$16))-1,0),$AI61-1,0)))</f>
        <v/>
      </c>
    </row>
    <row r="62" spans="2:39" x14ac:dyDescent="0.2">
      <c r="B62" s="66" t="s">
        <v>362</v>
      </c>
      <c r="C62" s="67" t="s">
        <v>247</v>
      </c>
      <c r="D62" s="68">
        <v>58</v>
      </c>
      <c r="F62" s="66" t="s">
        <v>363</v>
      </c>
      <c r="G62" s="67" t="s">
        <v>278</v>
      </c>
      <c r="H62" s="68">
        <v>3</v>
      </c>
      <c r="I62" s="70">
        <v>645</v>
      </c>
      <c r="J62" s="70">
        <v>-34</v>
      </c>
      <c r="K62" s="70">
        <v>-36</v>
      </c>
      <c r="L62" s="70">
        <v>31</v>
      </c>
      <c r="M62" s="70">
        <v>20</v>
      </c>
      <c r="N62" s="70">
        <v>6000</v>
      </c>
      <c r="O62" s="70">
        <v>23</v>
      </c>
      <c r="P62" s="71">
        <v>76</v>
      </c>
      <c r="Q62" s="71">
        <v>270</v>
      </c>
      <c r="R62" s="72">
        <v>0.39</v>
      </c>
      <c r="S62" s="71">
        <v>350</v>
      </c>
      <c r="T62" s="71">
        <v>180</v>
      </c>
      <c r="U62" s="73">
        <v>2.1</v>
      </c>
      <c r="V62" s="73">
        <v>0.1</v>
      </c>
      <c r="W62" s="72">
        <v>0.48</v>
      </c>
      <c r="X62" s="72">
        <v>0.67</v>
      </c>
      <c r="Y62" s="72">
        <v>0.12</v>
      </c>
      <c r="Z62" s="74">
        <v>5.6000000000000001E-2</v>
      </c>
      <c r="AA62" s="74">
        <v>2.3E-2</v>
      </c>
      <c r="AB62" s="74">
        <v>6.0000000000000001E-3</v>
      </c>
      <c r="AC62" s="74">
        <v>5.8999999999999997E-2</v>
      </c>
      <c r="AE62" s="59"/>
      <c r="AF62" s="59"/>
      <c r="AG62" s="59"/>
      <c r="AH62" s="59"/>
      <c r="AI62" s="62">
        <v>60</v>
      </c>
      <c r="AJ62" s="63" t="str">
        <f ca="1">IF(design_loads!$E$5="","",IF($AI62&gt;INDEX($AG$3:$AG$16,MATCH(design_loads!$E$5,$AE$3:$AE$16)),"&lt;scroll up&gt;",OFFSET(OFFSET('NBCC_C-2'!$B$1,INDEX($AF$3:$AF$16,MATCH(design_loads!$E$5,$AE$3:$AE$16))-1,0),$AI62-1,0)))</f>
        <v>Port Hardy</v>
      </c>
      <c r="AK62" s="63" t="str">
        <f ca="1">IF(design_loads!$E$6="","",IF($AI62&gt;INDEX($AG$3:$AG$16,MATCH(design_loads!$E$6,$AE$3:$AE$16)),"&lt;scroll up&gt;",OFFSET(OFFSET('NBCC_C-2'!$B$1,INDEX($AF$3:$AF$16,MATCH(design_loads!$E$6,$AE$3:$AE$16))-1,0),$AI62-1,0)))</f>
        <v/>
      </c>
      <c r="AL62" s="63" t="str">
        <f ca="1">IF(design_loads!$E$7="","",IF($AI62&gt;INDEX($AG$3:$AG$16,MATCH(design_loads!$E$7,$AE$3:$AE$16)),"&lt;scroll up&gt;",OFFSET(OFFSET('NBCC_C-2'!$B$1,INDEX($AF$3:$AF$16,MATCH(design_loads!$E$7,$AE$3:$AE$16))-1,0),$AI62-1,0)))</f>
        <v/>
      </c>
      <c r="AM62" s="63" t="str">
        <f ca="1">IF(design_loads!$E$8="","",IF($AI62&gt;INDEX($AG$3:$AG$16,MATCH(design_loads!$E$8,$AE$3:$AE$16)),"&lt;scroll up&gt;",OFFSET(OFFSET('NBCC_C-2'!$B$1,INDEX($AF$3:$AF$16,MATCH(design_loads!$E$8,$AE$3:$AE$16))-1,0),$AI62-1,0)))</f>
        <v/>
      </c>
    </row>
    <row r="63" spans="2:39" x14ac:dyDescent="0.2">
      <c r="B63" s="66" t="s">
        <v>364</v>
      </c>
      <c r="C63" s="67" t="s">
        <v>247</v>
      </c>
      <c r="D63" s="68">
        <v>59</v>
      </c>
      <c r="F63" s="66" t="s">
        <v>276</v>
      </c>
      <c r="G63" s="67" t="s">
        <v>247</v>
      </c>
      <c r="H63" s="68">
        <v>11</v>
      </c>
      <c r="I63" s="76">
        <v>1159</v>
      </c>
      <c r="J63" s="70">
        <v>-32</v>
      </c>
      <c r="K63" s="70">
        <v>-34</v>
      </c>
      <c r="L63" s="70">
        <v>28</v>
      </c>
      <c r="M63" s="70">
        <v>18</v>
      </c>
      <c r="N63" s="76">
        <v>5300</v>
      </c>
      <c r="O63" s="76">
        <v>16</v>
      </c>
      <c r="P63" s="77">
        <v>90</v>
      </c>
      <c r="Q63" s="77">
        <v>340</v>
      </c>
      <c r="R63" s="72">
        <v>0.46</v>
      </c>
      <c r="S63" s="77">
        <v>495</v>
      </c>
      <c r="T63" s="77">
        <v>180</v>
      </c>
      <c r="U63" s="73">
        <v>1.4</v>
      </c>
      <c r="V63" s="73">
        <v>0.1</v>
      </c>
      <c r="W63" s="72">
        <v>0.5</v>
      </c>
      <c r="X63" s="72">
        <v>0.66</v>
      </c>
      <c r="Y63" s="72">
        <v>0.15</v>
      </c>
      <c r="Z63" s="74">
        <v>0.09</v>
      </c>
      <c r="AA63" s="74">
        <v>0.04</v>
      </c>
      <c r="AB63" s="74">
        <v>0.03</v>
      </c>
      <c r="AC63" s="74">
        <v>0.09</v>
      </c>
      <c r="AE63" s="59"/>
      <c r="AF63" s="59"/>
      <c r="AG63" s="59"/>
      <c r="AH63" s="59"/>
      <c r="AI63" s="62">
        <v>61</v>
      </c>
      <c r="AJ63" s="63" t="str">
        <f ca="1">IF(design_loads!$E$5="","",IF($AI63&gt;INDEX($AG$3:$AG$16,MATCH(design_loads!$E$5,$AE$3:$AE$16)),"&lt;scroll up&gt;",OFFSET(OFFSET('NBCC_C-2'!$B$1,INDEX($AF$3:$AF$16,MATCH(design_loads!$E$5,$AE$3:$AE$16))-1,0),$AI63-1,0)))</f>
        <v>Port McNeill</v>
      </c>
      <c r="AK63" s="63" t="str">
        <f ca="1">IF(design_loads!$E$6="","",IF($AI63&gt;INDEX($AG$3:$AG$16,MATCH(design_loads!$E$6,$AE$3:$AE$16)),"&lt;scroll up&gt;",OFFSET(OFFSET('NBCC_C-2'!$B$1,INDEX($AF$3:$AF$16,MATCH(design_loads!$E$6,$AE$3:$AE$16))-1,0),$AI63-1,0)))</f>
        <v/>
      </c>
      <c r="AL63" s="63" t="str">
        <f ca="1">IF(design_loads!$E$7="","",IF($AI63&gt;INDEX($AG$3:$AG$16,MATCH(design_loads!$E$7,$AE$3:$AE$16)),"&lt;scroll up&gt;",OFFSET(OFFSET('NBCC_C-2'!$B$1,INDEX($AF$3:$AF$16,MATCH(design_loads!$E$7,$AE$3:$AE$16))-1,0),$AI63-1,0)))</f>
        <v/>
      </c>
      <c r="AM63" s="63" t="str">
        <f ca="1">IF(design_loads!$E$8="","",IF($AI63&gt;INDEX($AG$3:$AG$16,MATCH(design_loads!$E$8,$AE$3:$AE$16)),"&lt;scroll up&gt;",OFFSET(OFFSET('NBCC_C-2'!$B$1,INDEX($AF$3:$AF$16,MATCH(design_loads!$E$8,$AE$3:$AE$16))-1,0),$AI63-1,0)))</f>
        <v/>
      </c>
    </row>
    <row r="64" spans="2:39" x14ac:dyDescent="0.2">
      <c r="B64" s="66" t="s">
        <v>365</v>
      </c>
      <c r="C64" s="67" t="s">
        <v>247</v>
      </c>
      <c r="D64" s="68">
        <v>60</v>
      </c>
      <c r="F64" s="66" t="s">
        <v>279</v>
      </c>
      <c r="G64" s="67" t="s">
        <v>247</v>
      </c>
      <c r="H64" s="68">
        <v>12</v>
      </c>
      <c r="I64" s="76">
        <v>880</v>
      </c>
      <c r="J64" s="70">
        <v>-34</v>
      </c>
      <c r="K64" s="70">
        <v>-38</v>
      </c>
      <c r="L64" s="70">
        <v>28</v>
      </c>
      <c r="M64" s="70">
        <v>19</v>
      </c>
      <c r="N64" s="76">
        <v>5700</v>
      </c>
      <c r="O64" s="76">
        <v>19</v>
      </c>
      <c r="P64" s="77">
        <v>95</v>
      </c>
      <c r="Q64" s="77">
        <v>375</v>
      </c>
      <c r="R64" s="72">
        <v>0.55000000000000004</v>
      </c>
      <c r="S64" s="77">
        <v>475</v>
      </c>
      <c r="T64" s="77">
        <v>190</v>
      </c>
      <c r="U64" s="73">
        <v>2.1</v>
      </c>
      <c r="V64" s="73">
        <v>0.1</v>
      </c>
      <c r="W64" s="72">
        <v>0.3</v>
      </c>
      <c r="X64" s="72">
        <v>0.41</v>
      </c>
      <c r="Y64" s="72">
        <v>0.12</v>
      </c>
      <c r="Z64" s="74">
        <v>0.06</v>
      </c>
      <c r="AA64" s="74">
        <v>0.02</v>
      </c>
      <c r="AB64" s="74">
        <v>0.01</v>
      </c>
      <c r="AC64" s="74">
        <v>0.06</v>
      </c>
      <c r="AE64" s="59"/>
      <c r="AF64" s="59"/>
      <c r="AG64" s="59"/>
      <c r="AH64" s="59"/>
      <c r="AI64" s="62">
        <v>62</v>
      </c>
      <c r="AJ64" s="63" t="str">
        <f ca="1">IF(design_loads!$E$5="","",IF($AI64&gt;INDEX($AG$3:$AG$16,MATCH(design_loads!$E$5,$AE$3:$AE$16)),"&lt;scroll up&gt;",OFFSET(OFFSET('NBCC_C-2'!$B$1,INDEX($AF$3:$AF$16,MATCH(design_loads!$E$5,$AE$3:$AE$16))-1,0),$AI64-1,0)))</f>
        <v>Powell River</v>
      </c>
      <c r="AK64" s="63" t="str">
        <f ca="1">IF(design_loads!$E$6="","",IF($AI64&gt;INDEX($AG$3:$AG$16,MATCH(design_loads!$E$6,$AE$3:$AE$16)),"&lt;scroll up&gt;",OFFSET(OFFSET('NBCC_C-2'!$B$1,INDEX($AF$3:$AF$16,MATCH(design_loads!$E$6,$AE$3:$AE$16))-1,0),$AI64-1,0)))</f>
        <v/>
      </c>
      <c r="AL64" s="63" t="str">
        <f ca="1">IF(design_loads!$E$7="","",IF($AI64&gt;INDEX($AG$3:$AG$16,MATCH(design_loads!$E$7,$AE$3:$AE$16)),"&lt;scroll up&gt;",OFFSET(OFFSET('NBCC_C-2'!$B$1,INDEX($AF$3:$AF$16,MATCH(design_loads!$E$7,$AE$3:$AE$16))-1,0),$AI64-1,0)))</f>
        <v/>
      </c>
      <c r="AM64" s="63" t="str">
        <f ca="1">IF(design_loads!$E$8="","",IF($AI64&gt;INDEX($AG$3:$AG$16,MATCH(design_loads!$E$8,$AE$3:$AE$16)),"&lt;scroll up&gt;",OFFSET(OFFSET('NBCC_C-2'!$B$1,INDEX($AF$3:$AF$16,MATCH(design_loads!$E$8,$AE$3:$AE$16))-1,0),$AI64-1,0)))</f>
        <v/>
      </c>
    </row>
    <row r="65" spans="2:39" x14ac:dyDescent="0.2">
      <c r="B65" s="66" t="s">
        <v>366</v>
      </c>
      <c r="C65" s="67" t="s">
        <v>247</v>
      </c>
      <c r="D65" s="68">
        <v>61</v>
      </c>
      <c r="F65" s="66" t="s">
        <v>367</v>
      </c>
      <c r="G65" s="67" t="s">
        <v>252</v>
      </c>
      <c r="H65" s="68">
        <v>2</v>
      </c>
      <c r="I65" s="70">
        <v>510</v>
      </c>
      <c r="J65" s="70">
        <v>-32</v>
      </c>
      <c r="K65" s="70">
        <v>-34</v>
      </c>
      <c r="L65" s="70">
        <v>32</v>
      </c>
      <c r="M65" s="70">
        <v>23</v>
      </c>
      <c r="N65" s="70">
        <v>5700</v>
      </c>
      <c r="O65" s="70">
        <v>33</v>
      </c>
      <c r="P65" s="71">
        <v>119</v>
      </c>
      <c r="Q65" s="71">
        <v>390</v>
      </c>
      <c r="R65" s="72">
        <v>0.54</v>
      </c>
      <c r="S65" s="71">
        <v>510</v>
      </c>
      <c r="T65" s="71">
        <v>180</v>
      </c>
      <c r="U65" s="73">
        <v>2.2000000000000002</v>
      </c>
      <c r="V65" s="73">
        <v>0.2</v>
      </c>
      <c r="W65" s="72">
        <v>0.44</v>
      </c>
      <c r="X65" s="72">
        <v>0.56999999999999995</v>
      </c>
      <c r="Y65" s="72">
        <v>0.12</v>
      </c>
      <c r="Z65" s="74">
        <v>5.6000000000000001E-2</v>
      </c>
      <c r="AA65" s="74">
        <v>2.3E-2</v>
      </c>
      <c r="AB65" s="74">
        <v>6.0000000000000001E-3</v>
      </c>
      <c r="AC65" s="74">
        <v>5.8999999999999997E-2</v>
      </c>
      <c r="AE65" s="59"/>
      <c r="AF65" s="59"/>
      <c r="AG65" s="59"/>
      <c r="AH65" s="59"/>
      <c r="AI65" s="62">
        <v>63</v>
      </c>
      <c r="AJ65" s="63" t="str">
        <f ca="1">IF(design_loads!$E$5="","",IF($AI65&gt;INDEX($AG$3:$AG$16,MATCH(design_loads!$E$5,$AE$3:$AE$16)),"&lt;scroll up&gt;",OFFSET(OFFSET('NBCC_C-2'!$B$1,INDEX($AF$3:$AF$16,MATCH(design_loads!$E$5,$AE$3:$AE$16))-1,0),$AI65-1,0)))</f>
        <v>Prince George</v>
      </c>
      <c r="AK65" s="63" t="str">
        <f ca="1">IF(design_loads!$E$6="","",IF($AI65&gt;INDEX($AG$3:$AG$16,MATCH(design_loads!$E$6,$AE$3:$AE$16)),"&lt;scroll up&gt;",OFFSET(OFFSET('NBCC_C-2'!$B$1,INDEX($AF$3:$AF$16,MATCH(design_loads!$E$6,$AE$3:$AE$16))-1,0),$AI65-1,0)))</f>
        <v/>
      </c>
      <c r="AL65" s="63" t="str">
        <f ca="1">IF(design_loads!$E$7="","",IF($AI65&gt;INDEX($AG$3:$AG$16,MATCH(design_loads!$E$7,$AE$3:$AE$16)),"&lt;scroll up&gt;",OFFSET(OFFSET('NBCC_C-2'!$B$1,INDEX($AF$3:$AF$16,MATCH(design_loads!$E$7,$AE$3:$AE$16))-1,0),$AI65-1,0)))</f>
        <v/>
      </c>
      <c r="AM65" s="63" t="str">
        <f ca="1">IF(design_loads!$E$8="","",IF($AI65&gt;INDEX($AG$3:$AG$16,MATCH(design_loads!$E$8,$AE$3:$AE$16)),"&lt;scroll up&gt;",OFFSET(OFFSET('NBCC_C-2'!$B$1,INDEX($AF$3:$AF$16,MATCH(design_loads!$E$8,$AE$3:$AE$16))-1,0),$AI65-1,0)))</f>
        <v/>
      </c>
    </row>
    <row r="66" spans="2:39" x14ac:dyDescent="0.2">
      <c r="B66" s="66" t="s">
        <v>368</v>
      </c>
      <c r="C66" s="67" t="s">
        <v>247</v>
      </c>
      <c r="D66" s="68">
        <v>62</v>
      </c>
      <c r="F66" s="66" t="s">
        <v>281</v>
      </c>
      <c r="G66" s="67" t="s">
        <v>247</v>
      </c>
      <c r="H66" s="68">
        <v>13</v>
      </c>
      <c r="I66" s="76">
        <v>625</v>
      </c>
      <c r="J66" s="70">
        <v>-37</v>
      </c>
      <c r="K66" s="70">
        <v>-40</v>
      </c>
      <c r="L66" s="70">
        <v>27</v>
      </c>
      <c r="M66" s="70">
        <v>19</v>
      </c>
      <c r="N66" s="76">
        <v>5750</v>
      </c>
      <c r="O66" s="76">
        <v>19</v>
      </c>
      <c r="P66" s="77">
        <v>85</v>
      </c>
      <c r="Q66" s="77">
        <v>360</v>
      </c>
      <c r="R66" s="72">
        <v>0.49</v>
      </c>
      <c r="S66" s="77">
        <v>485</v>
      </c>
      <c r="T66" s="77">
        <v>140</v>
      </c>
      <c r="U66" s="73">
        <v>1.8</v>
      </c>
      <c r="V66" s="73">
        <v>0.1</v>
      </c>
      <c r="W66" s="72">
        <v>0.32</v>
      </c>
      <c r="X66" s="72">
        <v>0.43</v>
      </c>
      <c r="Y66" s="72">
        <v>0.12</v>
      </c>
      <c r="Z66" s="74">
        <v>0.06</v>
      </c>
      <c r="AA66" s="74">
        <v>0.02</v>
      </c>
      <c r="AB66" s="74">
        <v>0.01</v>
      </c>
      <c r="AC66" s="74">
        <v>0.06</v>
      </c>
      <c r="AE66" s="59"/>
      <c r="AF66" s="59"/>
      <c r="AG66" s="59"/>
      <c r="AH66" s="59"/>
      <c r="AI66" s="62">
        <v>64</v>
      </c>
      <c r="AJ66" s="63" t="str">
        <f ca="1">IF(design_loads!$E$5="","",IF($AI66&gt;INDEX($AG$3:$AG$16,MATCH(design_loads!$E$5,$AE$3:$AE$16)),"&lt;scroll up&gt;",OFFSET(OFFSET('NBCC_C-2'!$B$1,INDEX($AF$3:$AF$16,MATCH(design_loads!$E$5,$AE$3:$AE$16))-1,0),$AI66-1,0)))</f>
        <v>Prince Rupert</v>
      </c>
      <c r="AK66" s="63" t="str">
        <f ca="1">IF(design_loads!$E$6="","",IF($AI66&gt;INDEX($AG$3:$AG$16,MATCH(design_loads!$E$6,$AE$3:$AE$16)),"&lt;scroll up&gt;",OFFSET(OFFSET('NBCC_C-2'!$B$1,INDEX($AF$3:$AF$16,MATCH(design_loads!$E$6,$AE$3:$AE$16))-1,0),$AI66-1,0)))</f>
        <v/>
      </c>
      <c r="AL66" s="63" t="str">
        <f ca="1">IF(design_loads!$E$7="","",IF($AI66&gt;INDEX($AG$3:$AG$16,MATCH(design_loads!$E$7,$AE$3:$AE$16)),"&lt;scroll up&gt;",OFFSET(OFFSET('NBCC_C-2'!$B$1,INDEX($AF$3:$AF$16,MATCH(design_loads!$E$7,$AE$3:$AE$16))-1,0),$AI66-1,0)))</f>
        <v/>
      </c>
      <c r="AM66" s="63" t="str">
        <f ca="1">IF(design_loads!$E$8="","",IF($AI66&gt;INDEX($AG$3:$AG$16,MATCH(design_loads!$E$8,$AE$3:$AE$16)),"&lt;scroll up&gt;",OFFSET(OFFSET('NBCC_C-2'!$B$1,INDEX($AF$3:$AF$16,MATCH(design_loads!$E$8,$AE$3:$AE$16))-1,0),$AI66-1,0)))</f>
        <v/>
      </c>
    </row>
    <row r="67" spans="2:39" x14ac:dyDescent="0.2">
      <c r="B67" s="66" t="s">
        <v>369</v>
      </c>
      <c r="C67" s="67" t="s">
        <v>247</v>
      </c>
      <c r="D67" s="68">
        <v>63</v>
      </c>
      <c r="F67" s="66" t="s">
        <v>370</v>
      </c>
      <c r="G67" s="67" t="s">
        <v>258</v>
      </c>
      <c r="H67" s="68">
        <v>2</v>
      </c>
      <c r="I67" s="70">
        <v>15</v>
      </c>
      <c r="J67" s="70">
        <v>-17</v>
      </c>
      <c r="K67" s="70">
        <v>-19</v>
      </c>
      <c r="L67" s="70">
        <v>24</v>
      </c>
      <c r="M67" s="70">
        <v>19</v>
      </c>
      <c r="N67" s="70">
        <v>4950</v>
      </c>
      <c r="O67" s="70">
        <v>18</v>
      </c>
      <c r="P67" s="71">
        <v>96</v>
      </c>
      <c r="Q67" s="71">
        <v>825</v>
      </c>
      <c r="R67" s="72">
        <v>1.1100000000000001</v>
      </c>
      <c r="S67" s="71">
        <v>1010</v>
      </c>
      <c r="T67" s="71">
        <v>400</v>
      </c>
      <c r="U67" s="73">
        <v>2.8</v>
      </c>
      <c r="V67" s="73">
        <v>0.6</v>
      </c>
      <c r="W67" s="72">
        <v>0.52</v>
      </c>
      <c r="X67" s="72">
        <v>0.69</v>
      </c>
      <c r="Y67" s="72">
        <v>0.17</v>
      </c>
      <c r="Z67" s="74">
        <v>0.11</v>
      </c>
      <c r="AA67" s="74">
        <v>5.8000000000000003E-2</v>
      </c>
      <c r="AB67" s="74">
        <v>1.4999999999999999E-2</v>
      </c>
      <c r="AC67" s="74">
        <v>8.7999999999999995E-2</v>
      </c>
      <c r="AE67" s="59"/>
      <c r="AF67" s="59"/>
      <c r="AG67" s="59"/>
      <c r="AH67" s="59"/>
      <c r="AI67" s="62">
        <v>65</v>
      </c>
      <c r="AJ67" s="63" t="str">
        <f ca="1">IF(design_loads!$E$5="","",IF($AI67&gt;INDEX($AG$3:$AG$16,MATCH(design_loads!$E$5,$AE$3:$AE$16)),"&lt;scroll up&gt;",OFFSET(OFFSET('NBCC_C-2'!$B$1,INDEX($AF$3:$AF$16,MATCH(design_loads!$E$5,$AE$3:$AE$16))-1,0),$AI67-1,0)))</f>
        <v>Princeton</v>
      </c>
      <c r="AK67" s="63" t="str">
        <f ca="1">IF(design_loads!$E$6="","",IF($AI67&gt;INDEX($AG$3:$AG$16,MATCH(design_loads!$E$6,$AE$3:$AE$16)),"&lt;scroll up&gt;",OFFSET(OFFSET('NBCC_C-2'!$B$1,INDEX($AF$3:$AF$16,MATCH(design_loads!$E$6,$AE$3:$AE$16))-1,0),$AI67-1,0)))</f>
        <v/>
      </c>
      <c r="AL67" s="63" t="str">
        <f ca="1">IF(design_loads!$E$7="","",IF($AI67&gt;INDEX($AG$3:$AG$16,MATCH(design_loads!$E$7,$AE$3:$AE$16)),"&lt;scroll up&gt;",OFFSET(OFFSET('NBCC_C-2'!$B$1,INDEX($AF$3:$AF$16,MATCH(design_loads!$E$7,$AE$3:$AE$16))-1,0),$AI67-1,0)))</f>
        <v/>
      </c>
      <c r="AM67" s="63" t="str">
        <f ca="1">IF(design_loads!$E$8="","",IF($AI67&gt;INDEX($AG$3:$AG$16,MATCH(design_loads!$E$8,$AE$3:$AE$16)),"&lt;scroll up&gt;",OFFSET(OFFSET('NBCC_C-2'!$B$1,INDEX($AF$3:$AF$16,MATCH(design_loads!$E$8,$AE$3:$AE$16))-1,0),$AI67-1,0)))</f>
        <v/>
      </c>
    </row>
    <row r="68" spans="2:39" x14ac:dyDescent="0.2">
      <c r="B68" s="66" t="s">
        <v>371</v>
      </c>
      <c r="C68" s="67" t="s">
        <v>247</v>
      </c>
      <c r="D68" s="68">
        <v>64</v>
      </c>
      <c r="F68" s="66" t="s">
        <v>283</v>
      </c>
      <c r="G68" s="67" t="s">
        <v>247</v>
      </c>
      <c r="H68" s="68">
        <v>14</v>
      </c>
      <c r="I68" s="76">
        <v>564</v>
      </c>
      <c r="J68" s="70">
        <v>-36</v>
      </c>
      <c r="K68" s="70">
        <v>-39</v>
      </c>
      <c r="L68" s="70">
        <v>28</v>
      </c>
      <c r="M68" s="70">
        <v>20</v>
      </c>
      <c r="N68" s="76">
        <v>6100</v>
      </c>
      <c r="O68" s="76">
        <v>21</v>
      </c>
      <c r="P68" s="77">
        <v>75</v>
      </c>
      <c r="Q68" s="77">
        <v>320</v>
      </c>
      <c r="R68" s="72">
        <v>0.53</v>
      </c>
      <c r="S68" s="77">
        <v>430</v>
      </c>
      <c r="T68" s="77">
        <v>120</v>
      </c>
      <c r="U68" s="73">
        <v>1.9</v>
      </c>
      <c r="V68" s="73">
        <v>0.1</v>
      </c>
      <c r="W68" s="72">
        <v>0.32</v>
      </c>
      <c r="X68" s="72">
        <v>0.42</v>
      </c>
      <c r="Y68" s="72">
        <v>0.12</v>
      </c>
      <c r="Z68" s="74">
        <v>0.06</v>
      </c>
      <c r="AA68" s="74">
        <v>0.02</v>
      </c>
      <c r="AB68" s="74">
        <v>0.01</v>
      </c>
      <c r="AC68" s="74">
        <v>0.06</v>
      </c>
      <c r="AE68" s="59"/>
      <c r="AF68" s="59"/>
      <c r="AG68" s="59"/>
      <c r="AH68" s="59"/>
      <c r="AI68" s="62">
        <v>66</v>
      </c>
      <c r="AJ68" s="63" t="str">
        <f ca="1">IF(design_loads!$E$5="","",IF($AI68&gt;INDEX($AG$3:$AG$16,MATCH(design_loads!$E$5,$AE$3:$AE$16)),"&lt;scroll up&gt;",OFFSET(OFFSET('NBCC_C-2'!$B$1,INDEX($AF$3:$AF$16,MATCH(design_loads!$E$5,$AE$3:$AE$16))-1,0),$AI68-1,0)))</f>
        <v>Qualicum Beach</v>
      </c>
      <c r="AK68" s="63" t="str">
        <f ca="1">IF(design_loads!$E$6="","",IF($AI68&gt;INDEX($AG$3:$AG$16,MATCH(design_loads!$E$6,$AE$3:$AE$16)),"&lt;scroll up&gt;",OFFSET(OFFSET('NBCC_C-2'!$B$1,INDEX($AF$3:$AF$16,MATCH(design_loads!$E$6,$AE$3:$AE$16))-1,0),$AI68-1,0)))</f>
        <v/>
      </c>
      <c r="AL68" s="63" t="str">
        <f ca="1">IF(design_loads!$E$7="","",IF($AI68&gt;INDEX($AG$3:$AG$16,MATCH(design_loads!$E$7,$AE$3:$AE$16)),"&lt;scroll up&gt;",OFFSET(OFFSET('NBCC_C-2'!$B$1,INDEX($AF$3:$AF$16,MATCH(design_loads!$E$7,$AE$3:$AE$16))-1,0),$AI68-1,0)))</f>
        <v/>
      </c>
      <c r="AM68" s="63" t="str">
        <f ca="1">IF(design_loads!$E$8="","",IF($AI68&gt;INDEX($AG$3:$AG$16,MATCH(design_loads!$E$8,$AE$3:$AE$16)),"&lt;scroll up&gt;",OFFSET(OFFSET('NBCC_C-2'!$B$1,INDEX($AF$3:$AF$16,MATCH(design_loads!$E$8,$AE$3:$AE$16))-1,0),$AI68-1,0)))</f>
        <v/>
      </c>
    </row>
    <row r="69" spans="2:39" x14ac:dyDescent="0.2">
      <c r="B69" s="66" t="s">
        <v>372</v>
      </c>
      <c r="C69" s="67" t="s">
        <v>247</v>
      </c>
      <c r="D69" s="68">
        <v>65</v>
      </c>
      <c r="F69" s="66" t="s">
        <v>285</v>
      </c>
      <c r="G69" s="67" t="s">
        <v>247</v>
      </c>
      <c r="H69" s="68">
        <v>15</v>
      </c>
      <c r="I69" s="76">
        <v>799</v>
      </c>
      <c r="J69" s="70">
        <v>-32</v>
      </c>
      <c r="K69" s="70">
        <v>-36</v>
      </c>
      <c r="L69" s="70">
        <v>32</v>
      </c>
      <c r="M69" s="70">
        <v>20</v>
      </c>
      <c r="N69" s="76">
        <v>4800</v>
      </c>
      <c r="O69" s="76">
        <v>17</v>
      </c>
      <c r="P69" s="77">
        <v>80</v>
      </c>
      <c r="Q69" s="77">
        <v>230</v>
      </c>
      <c r="R69" s="72">
        <v>0.24</v>
      </c>
      <c r="S69" s="77">
        <v>340</v>
      </c>
      <c r="T69" s="77">
        <v>210</v>
      </c>
      <c r="U69" s="73">
        <v>1.4</v>
      </c>
      <c r="V69" s="73">
        <v>0.1</v>
      </c>
      <c r="W69" s="72">
        <v>0.51</v>
      </c>
      <c r="X69" s="72">
        <v>0.67</v>
      </c>
      <c r="Y69" s="72">
        <v>0.12</v>
      </c>
      <c r="Z69" s="74">
        <v>0.06</v>
      </c>
      <c r="AA69" s="74">
        <v>0.02</v>
      </c>
      <c r="AB69" s="74">
        <v>0.01</v>
      </c>
      <c r="AC69" s="74">
        <v>0.06</v>
      </c>
      <c r="AE69" s="59"/>
      <c r="AF69" s="59"/>
      <c r="AG69" s="59"/>
      <c r="AH69" s="59"/>
      <c r="AI69" s="62">
        <v>67</v>
      </c>
      <c r="AJ69" s="63" t="str">
        <f ca="1">IF(design_loads!$E$5="","",IF($AI69&gt;INDEX($AG$3:$AG$16,MATCH(design_loads!$E$5,$AE$3:$AE$16)),"&lt;scroll up&gt;",OFFSET(OFFSET('NBCC_C-2'!$B$1,INDEX($AF$3:$AF$16,MATCH(design_loads!$E$5,$AE$3:$AE$16))-1,0),$AI69-1,0)))</f>
        <v>Quesnel</v>
      </c>
      <c r="AK69" s="63" t="str">
        <f ca="1">IF(design_loads!$E$6="","",IF($AI69&gt;INDEX($AG$3:$AG$16,MATCH(design_loads!$E$6,$AE$3:$AE$16)),"&lt;scroll up&gt;",OFFSET(OFFSET('NBCC_C-2'!$B$1,INDEX($AF$3:$AF$16,MATCH(design_loads!$E$6,$AE$3:$AE$16))-1,0),$AI69-1,0)))</f>
        <v/>
      </c>
      <c r="AL69" s="63" t="str">
        <f ca="1">IF(design_loads!$E$7="","",IF($AI69&gt;INDEX($AG$3:$AG$16,MATCH(design_loads!$E$7,$AE$3:$AE$16)),"&lt;scroll up&gt;",OFFSET(OFFSET('NBCC_C-2'!$B$1,INDEX($AF$3:$AF$16,MATCH(design_loads!$E$7,$AE$3:$AE$16))-1,0),$AI69-1,0)))</f>
        <v/>
      </c>
      <c r="AM69" s="63" t="str">
        <f ca="1">IF(design_loads!$E$8="","",IF($AI69&gt;INDEX($AG$3:$AG$16,MATCH(design_loads!$E$8,$AE$3:$AE$16)),"&lt;scroll up&gt;",OFFSET(OFFSET('NBCC_C-2'!$B$1,INDEX($AF$3:$AF$16,MATCH(design_loads!$E$8,$AE$3:$AE$16))-1,0),$AI69-1,0)))</f>
        <v/>
      </c>
    </row>
    <row r="70" spans="2:39" x14ac:dyDescent="0.2">
      <c r="B70" s="66" t="s">
        <v>373</v>
      </c>
      <c r="C70" s="67" t="s">
        <v>247</v>
      </c>
      <c r="D70" s="68">
        <v>66</v>
      </c>
      <c r="F70" s="66" t="s">
        <v>287</v>
      </c>
      <c r="G70" s="67" t="s">
        <v>247</v>
      </c>
      <c r="H70" s="68">
        <v>16</v>
      </c>
      <c r="I70" s="76">
        <v>991</v>
      </c>
      <c r="J70" s="70">
        <v>-34</v>
      </c>
      <c r="K70" s="70">
        <v>-38</v>
      </c>
      <c r="L70" s="70">
        <v>28</v>
      </c>
      <c r="M70" s="70">
        <v>19</v>
      </c>
      <c r="N70" s="76">
        <v>5700</v>
      </c>
      <c r="O70" s="76">
        <v>17</v>
      </c>
      <c r="P70" s="77">
        <v>95</v>
      </c>
      <c r="Q70" s="77">
        <v>350</v>
      </c>
      <c r="R70" s="72">
        <v>0.5</v>
      </c>
      <c r="S70" s="77">
        <v>480</v>
      </c>
      <c r="T70" s="77">
        <v>180</v>
      </c>
      <c r="U70" s="73">
        <v>1.8</v>
      </c>
      <c r="V70" s="73">
        <v>0.1</v>
      </c>
      <c r="W70" s="72">
        <v>0.31</v>
      </c>
      <c r="X70" s="72">
        <v>0.43</v>
      </c>
      <c r="Y70" s="72">
        <v>0.13</v>
      </c>
      <c r="Z70" s="74">
        <v>7.0000000000000007E-2</v>
      </c>
      <c r="AA70" s="74">
        <v>0.03</v>
      </c>
      <c r="AB70" s="74">
        <v>0.02</v>
      </c>
      <c r="AC70" s="74">
        <v>7.0000000000000007E-2</v>
      </c>
      <c r="AE70" s="59"/>
      <c r="AF70" s="59"/>
      <c r="AG70" s="59"/>
      <c r="AH70" s="59"/>
      <c r="AI70" s="62">
        <v>68</v>
      </c>
      <c r="AJ70" s="63" t="str">
        <f ca="1">IF(design_loads!$E$5="","",IF($AI70&gt;INDEX($AG$3:$AG$16,MATCH(design_loads!$E$5,$AE$3:$AE$16)),"&lt;scroll up&gt;",OFFSET(OFFSET('NBCC_C-2'!$B$1,INDEX($AF$3:$AF$16,MATCH(design_loads!$E$5,$AE$3:$AE$16))-1,0),$AI70-1,0)))</f>
        <v>Revelstoke</v>
      </c>
      <c r="AK70" s="63" t="str">
        <f ca="1">IF(design_loads!$E$6="","",IF($AI70&gt;INDEX($AG$3:$AG$16,MATCH(design_loads!$E$6,$AE$3:$AE$16)),"&lt;scroll up&gt;",OFFSET(OFFSET('NBCC_C-2'!$B$1,INDEX($AF$3:$AF$16,MATCH(design_loads!$E$6,$AE$3:$AE$16))-1,0),$AI70-1,0)))</f>
        <v/>
      </c>
      <c r="AL70" s="63" t="str">
        <f ca="1">IF(design_loads!$E$7="","",IF($AI70&gt;INDEX($AG$3:$AG$16,MATCH(design_loads!$E$7,$AE$3:$AE$16)),"&lt;scroll up&gt;",OFFSET(OFFSET('NBCC_C-2'!$B$1,INDEX($AF$3:$AF$16,MATCH(design_loads!$E$7,$AE$3:$AE$16))-1,0),$AI70-1,0)))</f>
        <v/>
      </c>
      <c r="AM70" s="63" t="str">
        <f ca="1">IF(design_loads!$E$8="","",IF($AI70&gt;INDEX($AG$3:$AG$16,MATCH(design_loads!$E$8,$AE$3:$AE$16)),"&lt;scroll up&gt;",OFFSET(OFFSET('NBCC_C-2'!$B$1,INDEX($AF$3:$AF$16,MATCH(design_loads!$E$8,$AE$3:$AE$16))-1,0),$AI70-1,0)))</f>
        <v/>
      </c>
    </row>
    <row r="71" spans="2:39" x14ac:dyDescent="0.2">
      <c r="B71" s="66" t="s">
        <v>374</v>
      </c>
      <c r="C71" s="67" t="s">
        <v>247</v>
      </c>
      <c r="D71" s="68">
        <v>67</v>
      </c>
      <c r="F71" s="66" t="s">
        <v>375</v>
      </c>
      <c r="G71" s="67" t="s">
        <v>264</v>
      </c>
      <c r="H71" s="68">
        <v>17</v>
      </c>
      <c r="I71" s="70">
        <v>310</v>
      </c>
      <c r="J71" s="70">
        <v>-26</v>
      </c>
      <c r="K71" s="70">
        <v>-28</v>
      </c>
      <c r="L71" s="70">
        <v>29</v>
      </c>
      <c r="M71" s="70">
        <v>22</v>
      </c>
      <c r="N71" s="70">
        <v>4850</v>
      </c>
      <c r="O71" s="70">
        <v>25</v>
      </c>
      <c r="P71" s="71">
        <v>103</v>
      </c>
      <c r="Q71" s="71">
        <v>830</v>
      </c>
      <c r="R71" s="72">
        <v>0.95</v>
      </c>
      <c r="S71" s="71">
        <v>1050</v>
      </c>
      <c r="T71" s="71">
        <v>120</v>
      </c>
      <c r="U71" s="73">
        <v>3.1</v>
      </c>
      <c r="V71" s="73">
        <v>0.4</v>
      </c>
      <c r="W71" s="72">
        <v>0.26</v>
      </c>
      <c r="X71" s="72">
        <v>0.35</v>
      </c>
      <c r="Y71" s="72">
        <v>0.18</v>
      </c>
      <c r="Z71" s="74">
        <v>0.11</v>
      </c>
      <c r="AA71" s="74">
        <v>5.2999999999999999E-2</v>
      </c>
      <c r="AB71" s="74">
        <v>1.6E-2</v>
      </c>
      <c r="AC71" s="74">
        <v>7.8E-2</v>
      </c>
      <c r="AE71" s="59"/>
      <c r="AF71" s="59"/>
      <c r="AG71" s="59"/>
      <c r="AH71" s="59"/>
      <c r="AI71" s="62">
        <v>69</v>
      </c>
      <c r="AJ71" s="63" t="str">
        <f ca="1">IF(design_loads!$E$5="","",IF($AI71&gt;INDEX($AG$3:$AG$16,MATCH(design_loads!$E$5,$AE$3:$AE$16)),"&lt;scroll up&gt;",OFFSET(OFFSET('NBCC_C-2'!$B$1,INDEX($AF$3:$AF$16,MATCH(design_loads!$E$5,$AE$3:$AE$16))-1,0),$AI71-1,0)))</f>
        <v>Richmond</v>
      </c>
      <c r="AK71" s="63" t="str">
        <f ca="1">IF(design_loads!$E$6="","",IF($AI71&gt;INDEX($AG$3:$AG$16,MATCH(design_loads!$E$6,$AE$3:$AE$16)),"&lt;scroll up&gt;",OFFSET(OFFSET('NBCC_C-2'!$B$1,INDEX($AF$3:$AF$16,MATCH(design_loads!$E$6,$AE$3:$AE$16))-1,0),$AI71-1,0)))</f>
        <v/>
      </c>
      <c r="AL71" s="63" t="str">
        <f ca="1">IF(design_loads!$E$7="","",IF($AI71&gt;INDEX($AG$3:$AG$16,MATCH(design_loads!$E$7,$AE$3:$AE$16)),"&lt;scroll up&gt;",OFFSET(OFFSET('NBCC_C-2'!$B$1,INDEX($AF$3:$AF$16,MATCH(design_loads!$E$7,$AE$3:$AE$16))-1,0),$AI71-1,0)))</f>
        <v/>
      </c>
      <c r="AM71" s="63" t="str">
        <f ca="1">IF(design_loads!$E$8="","",IF($AI71&gt;INDEX($AG$3:$AG$16,MATCH(design_loads!$E$8,$AE$3:$AE$16)),"&lt;scroll up&gt;",OFFSET(OFFSET('NBCC_C-2'!$B$1,INDEX($AF$3:$AF$16,MATCH(design_loads!$E$8,$AE$3:$AE$16))-1,0),$AI71-1,0)))</f>
        <v/>
      </c>
    </row>
    <row r="72" spans="2:39" x14ac:dyDescent="0.2">
      <c r="B72" s="66" t="s">
        <v>376</v>
      </c>
      <c r="C72" s="67" t="s">
        <v>247</v>
      </c>
      <c r="D72" s="68">
        <v>68</v>
      </c>
      <c r="F72" s="66" t="s">
        <v>377</v>
      </c>
      <c r="G72" s="67" t="s">
        <v>264</v>
      </c>
      <c r="H72" s="68">
        <v>18</v>
      </c>
      <c r="I72" s="70">
        <v>240</v>
      </c>
      <c r="J72" s="70">
        <v>-23</v>
      </c>
      <c r="K72" s="70">
        <v>-25</v>
      </c>
      <c r="L72" s="70">
        <v>30</v>
      </c>
      <c r="M72" s="70">
        <v>23</v>
      </c>
      <c r="N72" s="70">
        <v>4400</v>
      </c>
      <c r="O72" s="70">
        <v>28</v>
      </c>
      <c r="P72" s="71">
        <v>108</v>
      </c>
      <c r="Q72" s="71">
        <v>680</v>
      </c>
      <c r="R72" s="72">
        <v>0.8</v>
      </c>
      <c r="S72" s="71">
        <v>800</v>
      </c>
      <c r="T72" s="71">
        <v>120</v>
      </c>
      <c r="U72" s="73">
        <v>2.1</v>
      </c>
      <c r="V72" s="73">
        <v>0.4</v>
      </c>
      <c r="W72" s="72">
        <v>0.24</v>
      </c>
      <c r="X72" s="72">
        <v>0.36</v>
      </c>
      <c r="Y72" s="72">
        <v>0.18</v>
      </c>
      <c r="Z72" s="74">
        <v>9.7000000000000003E-2</v>
      </c>
      <c r="AA72" s="74">
        <v>0.05</v>
      </c>
      <c r="AB72" s="74">
        <v>1.4E-2</v>
      </c>
      <c r="AC72" s="74">
        <v>9.2999999999999999E-2</v>
      </c>
      <c r="AE72" s="59"/>
      <c r="AF72" s="59"/>
      <c r="AG72" s="59"/>
      <c r="AH72" s="59"/>
      <c r="AI72" s="62">
        <v>70</v>
      </c>
      <c r="AJ72" s="63" t="str">
        <f ca="1">IF(design_loads!$E$5="","",IF($AI72&gt;INDEX($AG$3:$AG$16,MATCH(design_loads!$E$5,$AE$3:$AE$16)),"&lt;scroll up&gt;",OFFSET(OFFSET('NBCC_C-2'!$B$1,INDEX($AF$3:$AF$16,MATCH(design_loads!$E$5,$AE$3:$AE$16))-1,0),$AI72-1,0)))</f>
        <v>Salmon Arm</v>
      </c>
      <c r="AK72" s="63" t="str">
        <f ca="1">IF(design_loads!$E$6="","",IF($AI72&gt;INDEX($AG$3:$AG$16,MATCH(design_loads!$E$6,$AE$3:$AE$16)),"&lt;scroll up&gt;",OFFSET(OFFSET('NBCC_C-2'!$B$1,INDEX($AF$3:$AF$16,MATCH(design_loads!$E$6,$AE$3:$AE$16))-1,0),$AI72-1,0)))</f>
        <v/>
      </c>
      <c r="AL72" s="63" t="str">
        <f ca="1">IF(design_loads!$E$7="","",IF($AI72&gt;INDEX($AG$3:$AG$16,MATCH(design_loads!$E$7,$AE$3:$AE$16)),"&lt;scroll up&gt;",OFFSET(OFFSET('NBCC_C-2'!$B$1,INDEX($AF$3:$AF$16,MATCH(design_loads!$E$7,$AE$3:$AE$16))-1,0),$AI72-1,0)))</f>
        <v/>
      </c>
      <c r="AM72" s="63" t="str">
        <f ca="1">IF(design_loads!$E$8="","",IF($AI72&gt;INDEX($AG$3:$AG$16,MATCH(design_loads!$E$8,$AE$3:$AE$16)),"&lt;scroll up&gt;",OFFSET(OFFSET('NBCC_C-2'!$B$1,INDEX($AF$3:$AF$16,MATCH(design_loads!$E$8,$AE$3:$AE$16))-1,0),$AI72-1,0)))</f>
        <v/>
      </c>
    </row>
    <row r="73" spans="2:39" x14ac:dyDescent="0.2">
      <c r="B73" s="66" t="s">
        <v>378</v>
      </c>
      <c r="C73" s="67" t="s">
        <v>247</v>
      </c>
      <c r="D73" s="68">
        <v>69</v>
      </c>
      <c r="F73" s="66" t="s">
        <v>379</v>
      </c>
      <c r="G73" s="67" t="s">
        <v>264</v>
      </c>
      <c r="H73" s="68">
        <v>19</v>
      </c>
      <c r="I73" s="70">
        <v>215</v>
      </c>
      <c r="J73" s="70">
        <v>-19</v>
      </c>
      <c r="K73" s="70">
        <v>-21</v>
      </c>
      <c r="L73" s="70">
        <v>30</v>
      </c>
      <c r="M73" s="70">
        <v>23</v>
      </c>
      <c r="N73" s="70">
        <v>4250</v>
      </c>
      <c r="O73" s="70">
        <v>28</v>
      </c>
      <c r="P73" s="71">
        <v>119</v>
      </c>
      <c r="Q73" s="71">
        <v>720</v>
      </c>
      <c r="R73" s="72">
        <v>0.81</v>
      </c>
      <c r="S73" s="71">
        <v>820</v>
      </c>
      <c r="T73" s="71">
        <v>140</v>
      </c>
      <c r="U73" s="73">
        <v>1.3</v>
      </c>
      <c r="V73" s="73">
        <v>0.4</v>
      </c>
      <c r="W73" s="72">
        <v>0.32</v>
      </c>
      <c r="X73" s="72">
        <v>0.44</v>
      </c>
      <c r="Y73" s="72">
        <v>0.26</v>
      </c>
      <c r="Z73" s="74">
        <v>0.12</v>
      </c>
      <c r="AA73" s="74">
        <v>5.1999999999999998E-2</v>
      </c>
      <c r="AB73" s="74">
        <v>1.4999999999999999E-2</v>
      </c>
      <c r="AC73" s="74">
        <v>0.18</v>
      </c>
      <c r="AE73" s="59"/>
      <c r="AF73" s="59"/>
      <c r="AG73" s="59"/>
      <c r="AH73" s="59"/>
      <c r="AI73" s="62">
        <v>71</v>
      </c>
      <c r="AJ73" s="63" t="str">
        <f ca="1">IF(design_loads!$E$5="","",IF($AI73&gt;INDEX($AG$3:$AG$16,MATCH(design_loads!$E$5,$AE$3:$AE$16)),"&lt;scroll up&gt;",OFFSET(OFFSET('NBCC_C-2'!$B$1,INDEX($AF$3:$AF$16,MATCH(design_loads!$E$5,$AE$3:$AE$16))-1,0),$AI73-1,0)))</f>
        <v>Sandspit</v>
      </c>
      <c r="AK73" s="63" t="str">
        <f ca="1">IF(design_loads!$E$6="","",IF($AI73&gt;INDEX($AG$3:$AG$16,MATCH(design_loads!$E$6,$AE$3:$AE$16)),"&lt;scroll up&gt;",OFFSET(OFFSET('NBCC_C-2'!$B$1,INDEX($AF$3:$AF$16,MATCH(design_loads!$E$6,$AE$3:$AE$16))-1,0),$AI73-1,0)))</f>
        <v/>
      </c>
      <c r="AL73" s="63" t="str">
        <f ca="1">IF(design_loads!$E$7="","",IF($AI73&gt;INDEX($AG$3:$AG$16,MATCH(design_loads!$E$7,$AE$3:$AE$16)),"&lt;scroll up&gt;",OFFSET(OFFSET('NBCC_C-2'!$B$1,INDEX($AF$3:$AF$16,MATCH(design_loads!$E$7,$AE$3:$AE$16))-1,0),$AI73-1,0)))</f>
        <v/>
      </c>
      <c r="AM73" s="63" t="str">
        <f ca="1">IF(design_loads!$E$8="","",IF($AI73&gt;INDEX($AG$3:$AG$16,MATCH(design_loads!$E$8,$AE$3:$AE$16)),"&lt;scroll up&gt;",OFFSET(OFFSET('NBCC_C-2'!$B$1,INDEX($AF$3:$AF$16,MATCH(design_loads!$E$8,$AE$3:$AE$16))-1,0),$AI73-1,0)))</f>
        <v/>
      </c>
    </row>
    <row r="74" spans="2:39" x14ac:dyDescent="0.2">
      <c r="B74" s="66" t="s">
        <v>380</v>
      </c>
      <c r="C74" s="67" t="s">
        <v>247</v>
      </c>
      <c r="D74" s="68">
        <v>70</v>
      </c>
      <c r="F74" s="66" t="s">
        <v>381</v>
      </c>
      <c r="G74" s="67" t="s">
        <v>252</v>
      </c>
      <c r="H74" s="68">
        <v>3</v>
      </c>
      <c r="I74" s="70">
        <v>395</v>
      </c>
      <c r="J74" s="70">
        <v>-33</v>
      </c>
      <c r="K74" s="70">
        <v>-35</v>
      </c>
      <c r="L74" s="70">
        <v>31</v>
      </c>
      <c r="M74" s="70">
        <v>22</v>
      </c>
      <c r="N74" s="70">
        <v>6000</v>
      </c>
      <c r="O74" s="70">
        <v>36</v>
      </c>
      <c r="P74" s="71">
        <v>108</v>
      </c>
      <c r="Q74" s="71">
        <v>375</v>
      </c>
      <c r="R74" s="72">
        <v>0.56000000000000005</v>
      </c>
      <c r="S74" s="71">
        <v>460</v>
      </c>
      <c r="T74" s="71">
        <v>180</v>
      </c>
      <c r="U74" s="73">
        <v>2.1</v>
      </c>
      <c r="V74" s="73">
        <v>0.2</v>
      </c>
      <c r="W74" s="72">
        <v>0.37</v>
      </c>
      <c r="X74" s="72">
        <v>0.49</v>
      </c>
      <c r="Y74" s="72">
        <v>0.12</v>
      </c>
      <c r="Z74" s="74">
        <v>5.6000000000000001E-2</v>
      </c>
      <c r="AA74" s="74">
        <v>2.3E-2</v>
      </c>
      <c r="AB74" s="74">
        <v>6.0000000000000001E-3</v>
      </c>
      <c r="AC74" s="74">
        <v>5.8999999999999997E-2</v>
      </c>
      <c r="AE74" s="59"/>
      <c r="AF74" s="59"/>
      <c r="AG74" s="59"/>
      <c r="AH74" s="59"/>
      <c r="AI74" s="62">
        <v>72</v>
      </c>
      <c r="AJ74" s="63" t="str">
        <f ca="1">IF(design_loads!$E$5="","",IF($AI74&gt;INDEX($AG$3:$AG$16,MATCH(design_loads!$E$5,$AE$3:$AE$16)),"&lt;scroll up&gt;",OFFSET(OFFSET('NBCC_C-2'!$B$1,INDEX($AF$3:$AF$16,MATCH(design_loads!$E$5,$AE$3:$AE$16))-1,0),$AI74-1,0)))</f>
        <v>Sidney</v>
      </c>
      <c r="AK74" s="63" t="str">
        <f ca="1">IF(design_loads!$E$6="","",IF($AI74&gt;INDEX($AG$3:$AG$16,MATCH(design_loads!$E$6,$AE$3:$AE$16)),"&lt;scroll up&gt;",OFFSET(OFFSET('NBCC_C-2'!$B$1,INDEX($AF$3:$AF$16,MATCH(design_loads!$E$6,$AE$3:$AE$16))-1,0),$AI74-1,0)))</f>
        <v/>
      </c>
      <c r="AL74" s="63" t="str">
        <f ca="1">IF(design_loads!$E$7="","",IF($AI74&gt;INDEX($AG$3:$AG$16,MATCH(design_loads!$E$7,$AE$3:$AE$16)),"&lt;scroll up&gt;",OFFSET(OFFSET('NBCC_C-2'!$B$1,INDEX($AF$3:$AF$16,MATCH(design_loads!$E$7,$AE$3:$AE$16))-1,0),$AI74-1,0)))</f>
        <v/>
      </c>
      <c r="AM74" s="63" t="str">
        <f ca="1">IF(design_loads!$E$8="","",IF($AI74&gt;INDEX($AG$3:$AG$16,MATCH(design_loads!$E$8,$AE$3:$AE$16)),"&lt;scroll up&gt;",OFFSET(OFFSET('NBCC_C-2'!$B$1,INDEX($AF$3:$AF$16,MATCH(design_loads!$E$8,$AE$3:$AE$16))-1,0),$AI74-1,0)))</f>
        <v/>
      </c>
    </row>
    <row r="75" spans="2:39" x14ac:dyDescent="0.2">
      <c r="B75" s="66" t="s">
        <v>382</v>
      </c>
      <c r="C75" s="67" t="s">
        <v>247</v>
      </c>
      <c r="D75" s="68">
        <v>71</v>
      </c>
      <c r="F75" s="66" t="s">
        <v>383</v>
      </c>
      <c r="G75" s="67" t="s">
        <v>264</v>
      </c>
      <c r="H75" s="68">
        <v>20</v>
      </c>
      <c r="I75" s="70">
        <v>205</v>
      </c>
      <c r="J75" s="70">
        <v>-17</v>
      </c>
      <c r="K75" s="70">
        <v>-19</v>
      </c>
      <c r="L75" s="70">
        <v>30</v>
      </c>
      <c r="M75" s="70">
        <v>23</v>
      </c>
      <c r="N75" s="70">
        <v>3950</v>
      </c>
      <c r="O75" s="70">
        <v>23</v>
      </c>
      <c r="P75" s="71">
        <v>103</v>
      </c>
      <c r="Q75" s="71">
        <v>780</v>
      </c>
      <c r="R75" s="72">
        <v>0.89</v>
      </c>
      <c r="S75" s="71">
        <v>850</v>
      </c>
      <c r="T75" s="71">
        <v>160</v>
      </c>
      <c r="U75" s="73">
        <v>1.3</v>
      </c>
      <c r="V75" s="73">
        <v>0.4</v>
      </c>
      <c r="W75" s="72">
        <v>0.31</v>
      </c>
      <c r="X75" s="72">
        <v>0.4</v>
      </c>
      <c r="Y75" s="72">
        <v>0.24</v>
      </c>
      <c r="Z75" s="74">
        <v>0.12</v>
      </c>
      <c r="AA75" s="74">
        <v>5.1999999999999998E-2</v>
      </c>
      <c r="AB75" s="74">
        <v>1.4E-2</v>
      </c>
      <c r="AC75" s="74">
        <v>0.16</v>
      </c>
      <c r="AE75" s="59"/>
      <c r="AF75" s="59"/>
      <c r="AG75" s="59"/>
      <c r="AH75" s="59"/>
      <c r="AI75" s="62">
        <v>73</v>
      </c>
      <c r="AJ75" s="63" t="str">
        <f ca="1">IF(design_loads!$E$5="","",IF($AI75&gt;INDEX($AG$3:$AG$16,MATCH(design_loads!$E$5,$AE$3:$AE$16)),"&lt;scroll up&gt;",OFFSET(OFFSET('NBCC_C-2'!$B$1,INDEX($AF$3:$AF$16,MATCH(design_loads!$E$5,$AE$3:$AE$16))-1,0),$AI75-1,0)))</f>
        <v>Smith River</v>
      </c>
      <c r="AK75" s="63" t="str">
        <f ca="1">IF(design_loads!$E$6="","",IF($AI75&gt;INDEX($AG$3:$AG$16,MATCH(design_loads!$E$6,$AE$3:$AE$16)),"&lt;scroll up&gt;",OFFSET(OFFSET('NBCC_C-2'!$B$1,INDEX($AF$3:$AF$16,MATCH(design_loads!$E$6,$AE$3:$AE$16))-1,0),$AI75-1,0)))</f>
        <v/>
      </c>
      <c r="AL75" s="63" t="str">
        <f ca="1">IF(design_loads!$E$7="","",IF($AI75&gt;INDEX($AG$3:$AG$16,MATCH(design_loads!$E$7,$AE$3:$AE$16)),"&lt;scroll up&gt;",OFFSET(OFFSET('NBCC_C-2'!$B$1,INDEX($AF$3:$AF$16,MATCH(design_loads!$E$7,$AE$3:$AE$16))-1,0),$AI75-1,0)))</f>
        <v/>
      </c>
      <c r="AM75" s="63" t="str">
        <f ca="1">IF(design_loads!$E$8="","",IF($AI75&gt;INDEX($AG$3:$AG$16,MATCH(design_loads!$E$8,$AE$3:$AE$16)),"&lt;scroll up&gt;",OFFSET(OFFSET('NBCC_C-2'!$B$1,INDEX($AF$3:$AF$16,MATCH(design_loads!$E$8,$AE$3:$AE$16))-1,0),$AI75-1,0)))</f>
        <v/>
      </c>
    </row>
    <row r="76" spans="2:39" x14ac:dyDescent="0.2">
      <c r="B76" s="66" t="s">
        <v>384</v>
      </c>
      <c r="C76" s="67" t="s">
        <v>247</v>
      </c>
      <c r="D76" s="68">
        <v>72</v>
      </c>
      <c r="F76" s="66" t="s">
        <v>385</v>
      </c>
      <c r="G76" s="67" t="s">
        <v>261</v>
      </c>
      <c r="H76" s="68">
        <v>3</v>
      </c>
      <c r="I76" s="70">
        <v>10</v>
      </c>
      <c r="J76" s="70">
        <v>-15</v>
      </c>
      <c r="K76" s="70">
        <v>-17</v>
      </c>
      <c r="L76" s="70">
        <v>27</v>
      </c>
      <c r="M76" s="70">
        <v>20</v>
      </c>
      <c r="N76" s="70">
        <v>4250</v>
      </c>
      <c r="O76" s="70">
        <v>15</v>
      </c>
      <c r="P76" s="71">
        <v>144</v>
      </c>
      <c r="Q76" s="71">
        <v>1300</v>
      </c>
      <c r="R76" s="72">
        <v>1.45</v>
      </c>
      <c r="S76" s="71">
        <v>1475</v>
      </c>
      <c r="T76" s="71">
        <v>260</v>
      </c>
      <c r="U76" s="73">
        <v>1.9</v>
      </c>
      <c r="V76" s="73">
        <v>0.6</v>
      </c>
      <c r="W76" s="72">
        <v>0.41</v>
      </c>
      <c r="X76" s="72">
        <v>0.59</v>
      </c>
      <c r="Y76" s="72">
        <v>0.23</v>
      </c>
      <c r="Z76" s="74">
        <v>0.13</v>
      </c>
      <c r="AA76" s="74">
        <v>6.9000000000000006E-2</v>
      </c>
      <c r="AB76" s="74">
        <v>1.9E-2</v>
      </c>
      <c r="AC76" s="74">
        <v>0.12</v>
      </c>
      <c r="AE76" s="59"/>
      <c r="AF76" s="59"/>
      <c r="AG76" s="59"/>
      <c r="AH76" s="59"/>
      <c r="AI76" s="62">
        <v>74</v>
      </c>
      <c r="AJ76" s="63" t="str">
        <f ca="1">IF(design_loads!$E$5="","",IF($AI76&gt;INDEX($AG$3:$AG$16,MATCH(design_loads!$E$5,$AE$3:$AE$16)),"&lt;scroll up&gt;",OFFSET(OFFSET('NBCC_C-2'!$B$1,INDEX($AF$3:$AF$16,MATCH(design_loads!$E$5,$AE$3:$AE$16))-1,0),$AI76-1,0)))</f>
        <v>Smithers</v>
      </c>
      <c r="AK76" s="63" t="str">
        <f ca="1">IF(design_loads!$E$6="","",IF($AI76&gt;INDEX($AG$3:$AG$16,MATCH(design_loads!$E$6,$AE$3:$AE$16)),"&lt;scroll up&gt;",OFFSET(OFFSET('NBCC_C-2'!$B$1,INDEX($AF$3:$AF$16,MATCH(design_loads!$E$6,$AE$3:$AE$16))-1,0),$AI76-1,0)))</f>
        <v/>
      </c>
      <c r="AL76" s="63" t="str">
        <f ca="1">IF(design_loads!$E$7="","",IF($AI76&gt;INDEX($AG$3:$AG$16,MATCH(design_loads!$E$7,$AE$3:$AE$16)),"&lt;scroll up&gt;",OFFSET(OFFSET('NBCC_C-2'!$B$1,INDEX($AF$3:$AF$16,MATCH(design_loads!$E$7,$AE$3:$AE$16))-1,0),$AI76-1,0)))</f>
        <v/>
      </c>
      <c r="AM76" s="63" t="str">
        <f ca="1">IF(design_loads!$E$8="","",IF($AI76&gt;INDEX($AG$3:$AG$16,MATCH(design_loads!$E$8,$AE$3:$AE$16)),"&lt;scroll up&gt;",OFFSET(OFFSET('NBCC_C-2'!$B$1,INDEX($AF$3:$AF$16,MATCH(design_loads!$E$8,$AE$3:$AE$16))-1,0),$AI76-1,0)))</f>
        <v/>
      </c>
    </row>
    <row r="77" spans="2:39" x14ac:dyDescent="0.2">
      <c r="B77" s="66" t="s">
        <v>386</v>
      </c>
      <c r="C77" s="67" t="s">
        <v>247</v>
      </c>
      <c r="D77" s="68">
        <v>73</v>
      </c>
      <c r="F77" s="66" t="s">
        <v>387</v>
      </c>
      <c r="G77" s="67" t="s">
        <v>264</v>
      </c>
      <c r="H77" s="68">
        <v>21</v>
      </c>
      <c r="I77" s="70">
        <v>95</v>
      </c>
      <c r="J77" s="70">
        <v>-21</v>
      </c>
      <c r="K77" s="70">
        <v>-23</v>
      </c>
      <c r="L77" s="70">
        <v>29</v>
      </c>
      <c r="M77" s="70">
        <v>23</v>
      </c>
      <c r="N77" s="70">
        <v>4200</v>
      </c>
      <c r="O77" s="70">
        <v>23</v>
      </c>
      <c r="P77" s="71">
        <v>97</v>
      </c>
      <c r="Q77" s="71">
        <v>760</v>
      </c>
      <c r="R77" s="72">
        <v>0.9</v>
      </c>
      <c r="S77" s="71">
        <v>850</v>
      </c>
      <c r="T77" s="71">
        <v>160</v>
      </c>
      <c r="U77" s="73">
        <v>1.6</v>
      </c>
      <c r="V77" s="73">
        <v>0.4</v>
      </c>
      <c r="W77" s="72">
        <v>0.42</v>
      </c>
      <c r="X77" s="72">
        <v>0.54</v>
      </c>
      <c r="Y77" s="72">
        <v>0.25</v>
      </c>
      <c r="Z77" s="74">
        <v>0.13</v>
      </c>
      <c r="AA77" s="74">
        <v>6.8000000000000005E-2</v>
      </c>
      <c r="AB77" s="74">
        <v>1.7999999999999999E-2</v>
      </c>
      <c r="AC77" s="74">
        <v>0.14000000000000001</v>
      </c>
      <c r="AE77" s="59"/>
      <c r="AF77" s="59"/>
      <c r="AG77" s="59"/>
      <c r="AH77" s="59"/>
      <c r="AI77" s="62">
        <v>75</v>
      </c>
      <c r="AJ77" s="63" t="str">
        <f ca="1">IF(design_loads!$E$5="","",IF($AI77&gt;INDEX($AG$3:$AG$16,MATCH(design_loads!$E$5,$AE$3:$AE$16)),"&lt;scroll up&gt;",OFFSET(OFFSET('NBCC_C-2'!$B$1,INDEX($AF$3:$AF$16,MATCH(design_loads!$E$5,$AE$3:$AE$16))-1,0),$AI77-1,0)))</f>
        <v>Squamish</v>
      </c>
      <c r="AK77" s="63" t="str">
        <f ca="1">IF(design_loads!$E$6="","",IF($AI77&gt;INDEX($AG$3:$AG$16,MATCH(design_loads!$E$6,$AE$3:$AE$16)),"&lt;scroll up&gt;",OFFSET(OFFSET('NBCC_C-2'!$B$1,INDEX($AF$3:$AF$16,MATCH(design_loads!$E$6,$AE$3:$AE$16))-1,0),$AI77-1,0)))</f>
        <v/>
      </c>
      <c r="AL77" s="63" t="str">
        <f ca="1">IF(design_loads!$E$7="","",IF($AI77&gt;INDEX($AG$3:$AG$16,MATCH(design_loads!$E$7,$AE$3:$AE$16)),"&lt;scroll up&gt;",OFFSET(OFFSET('NBCC_C-2'!$B$1,INDEX($AF$3:$AF$16,MATCH(design_loads!$E$7,$AE$3:$AE$16))-1,0),$AI77-1,0)))</f>
        <v/>
      </c>
      <c r="AM77" s="63" t="str">
        <f ca="1">IF(design_loads!$E$8="","",IF($AI77&gt;INDEX($AG$3:$AG$16,MATCH(design_loads!$E$8,$AE$3:$AE$16)),"&lt;scroll up&gt;",OFFSET(OFFSET('NBCC_C-2'!$B$1,INDEX($AF$3:$AF$16,MATCH(design_loads!$E$8,$AE$3:$AE$16))-1,0),$AI77-1,0)))</f>
        <v/>
      </c>
    </row>
    <row r="78" spans="2:39" x14ac:dyDescent="0.2">
      <c r="B78" s="66" t="s">
        <v>388</v>
      </c>
      <c r="C78" s="67" t="s">
        <v>247</v>
      </c>
      <c r="D78" s="68">
        <v>74</v>
      </c>
      <c r="F78" s="66" t="s">
        <v>389</v>
      </c>
      <c r="G78" s="67" t="s">
        <v>278</v>
      </c>
      <c r="H78" s="68">
        <v>4</v>
      </c>
      <c r="I78" s="70">
        <v>600</v>
      </c>
      <c r="J78" s="70">
        <v>-34</v>
      </c>
      <c r="K78" s="70">
        <v>-36</v>
      </c>
      <c r="L78" s="70">
        <v>30</v>
      </c>
      <c r="M78" s="70">
        <v>22</v>
      </c>
      <c r="N78" s="70">
        <v>6000</v>
      </c>
      <c r="O78" s="70">
        <v>25</v>
      </c>
      <c r="P78" s="71">
        <v>108</v>
      </c>
      <c r="Q78" s="71">
        <v>320</v>
      </c>
      <c r="R78" s="72">
        <v>0.49</v>
      </c>
      <c r="S78" s="71">
        <v>420</v>
      </c>
      <c r="T78" s="71">
        <v>160</v>
      </c>
      <c r="U78" s="73">
        <v>1.7</v>
      </c>
      <c r="V78" s="73">
        <v>0.1</v>
      </c>
      <c r="W78" s="72">
        <v>0.32</v>
      </c>
      <c r="X78" s="72">
        <v>0.42</v>
      </c>
      <c r="Y78" s="72">
        <v>0.12</v>
      </c>
      <c r="Z78" s="74">
        <v>5.6000000000000001E-2</v>
      </c>
      <c r="AA78" s="74">
        <v>2.3E-2</v>
      </c>
      <c r="AB78" s="74">
        <v>6.0000000000000001E-3</v>
      </c>
      <c r="AC78" s="74">
        <v>5.8999999999999997E-2</v>
      </c>
      <c r="AE78" s="59"/>
      <c r="AF78" s="59"/>
      <c r="AG78" s="59"/>
      <c r="AH78" s="59"/>
      <c r="AI78" s="62">
        <v>76</v>
      </c>
      <c r="AJ78" s="63" t="str">
        <f ca="1">IF(design_loads!$E$5="","",IF($AI78&gt;INDEX($AG$3:$AG$16,MATCH(design_loads!$E$5,$AE$3:$AE$16)),"&lt;scroll up&gt;",OFFSET(OFFSET('NBCC_C-2'!$B$1,INDEX($AF$3:$AF$16,MATCH(design_loads!$E$5,$AE$3:$AE$16))-1,0),$AI78-1,0)))</f>
        <v>Stewart</v>
      </c>
      <c r="AK78" s="63" t="str">
        <f ca="1">IF(design_loads!$E$6="","",IF($AI78&gt;INDEX($AG$3:$AG$16,MATCH(design_loads!$E$6,$AE$3:$AE$16)),"&lt;scroll up&gt;",OFFSET(OFFSET('NBCC_C-2'!$B$1,INDEX($AF$3:$AF$16,MATCH(design_loads!$E$6,$AE$3:$AE$16))-1,0),$AI78-1,0)))</f>
        <v/>
      </c>
      <c r="AL78" s="63" t="str">
        <f ca="1">IF(design_loads!$E$7="","",IF($AI78&gt;INDEX($AG$3:$AG$16,MATCH(design_loads!$E$7,$AE$3:$AE$16)),"&lt;scroll up&gt;",OFFSET(OFFSET('NBCC_C-2'!$B$1,INDEX($AF$3:$AF$16,MATCH(design_loads!$E$7,$AE$3:$AE$16))-1,0),$AI78-1,0)))</f>
        <v/>
      </c>
      <c r="AM78" s="63" t="str">
        <f ca="1">IF(design_loads!$E$8="","",IF($AI78&gt;INDEX($AG$3:$AG$16,MATCH(design_loads!$E$8,$AE$3:$AE$16)),"&lt;scroll up&gt;",OFFSET(OFFSET('NBCC_C-2'!$B$1,INDEX($AF$3:$AF$16,MATCH(design_loads!$E$8,$AE$3:$AE$16))-1,0),$AI78-1,0)))</f>
        <v/>
      </c>
    </row>
    <row r="79" spans="2:39" x14ac:dyDescent="0.2">
      <c r="B79" s="66" t="s">
        <v>390</v>
      </c>
      <c r="C79" s="67" t="s">
        <v>247</v>
      </c>
      <c r="D79" s="68">
        <v>75</v>
      </c>
      <c r="F79" s="66" t="s">
        <v>391</v>
      </c>
      <c r="G79" s="67" t="s">
        <v>264</v>
      </c>
      <c r="H79" s="68">
        <v>22</v>
      </c>
      <c r="I79" s="70">
        <v>85</v>
      </c>
      <c r="J79" s="70">
        <v>-23</v>
      </c>
      <c r="K79" s="70">
        <v>-25</v>
      </c>
      <c r="L79" s="70">
        <v>29</v>
      </c>
      <c r="M79" s="70">
        <v>23</v>
      </c>
      <c r="N79" s="70">
        <v>4275</v>
      </c>
      <c r="O79" s="70">
        <v>25</v>
      </c>
      <c r="P79" s="71">
        <v>103</v>
      </c>
      <c r="Q79" s="71">
        <v>770</v>
      </c>
      <c r="R79" s="72">
        <v>0.89</v>
      </c>
      <c r="S79" s="71">
        <v>975</v>
      </c>
      <c r="T79" s="71">
        <v>180</v>
      </c>
      <c r="U79" s="73">
        <v>2.2000000000000002</v>
      </c>
      <c r="V79" s="73">
        <v>0.4</v>
      </c>
      <c r="W79" s="72">
        <v>0.32</v>
      </c>
      <c r="X79" s="72">
        <v>0.44</v>
      </c>
      <c r="Y79" s="72">
        <v>0.4</v>
      </c>
      <c r="Z79" s="74">
        <v>0.2</v>
      </c>
      <c r="AA79" s="74">
        <v>0.1</v>
      </c>
      <c r="AB79" s="74">
        <v>0.03</v>
      </c>
      <c r="AC79" s="74">
        <v>0.22</v>
      </c>
      <c r="AE79" s="59"/>
      <c r="AF79" s="59"/>
      <c r="AG79" s="59"/>
      <c r="AH79" s="59"/>
      <c r="AI79" s="62">
        <v>77</v>
      </c>
      <c r="AJ79" s="63" t="str">
        <f ca="1">IF(design_loads!$E$5="","",IF($AI79&gt;INDEX($AG$3:$AG$16,MATCH(design_loads!$E$5,$AE$3:$AE$16)),"&lt;scroll up&gt;",OFFSET(OFFSET('NBCC_C-2'!$B$1,INDEX($AF$3:$AF$16,MATCH(design_loads!$E$5,$AE$3:$AE$16))-1,0),$AI79-1,0)))</f>
        <v>Surrey (88 Ave &amp; 156 St.)</v>
      </c>
      <c r="AK79" s="63" t="str">
        <f ca="1">IF(design_loads!$E$6="","",IF($AI79&gt;INDEX($AG$3:$AG$16,MATCH(design_loads!$E$6,$AE$3:$AE$16)),"&lt;scroll up&gt;",OFFSET(OFFSET('NBCC_C-2'!$B$1,INDEX($AF$3:$AF$16,MATCH(design_loads!$E$6,$AE$3:$AE$16))-1,0),$AI79-1,0)))</f>
        <v/>
      </c>
      <c r="AL79" s="63" t="str">
        <f ca="1">IF(design_loads!$E$7="","",IF($AI79&gt;INDEX($AG$3:$AG$16,MATCH(design_loads!$E$7,$AE$3:$AE$16)),"&lt;scroll up&gt;",OFFSET(OFFSET('NBCC_C-2'!$B$1,INDEX($AF$3:$AF$16,MATCH(design_loads!$E$7,$AE$3:$AE$16))-1,0),$AI79-1,0)))</f>
        <v/>
      </c>
      <c r="AM79" s="63" t="str">
        <f ca="1">IF(design_loads!$E$8="","",IF($AI79&gt;INDEX($AG$3:$AG$16,MATCH(design_loads!$E$8,$AE$3:$AE$16)),"&lt;scroll up&gt;",OFFSET(OFFSET('NBCC_C-2'!$B$1,INDEX($AF$3:$AF$16,MATCH(design_loads!$E$8,$AE$3:$AE$16))-1,0),$AI79-1,0)))</f>
        <v/>
      </c>
    </row>
    <row r="80" spans="2:39" x14ac:dyDescent="0.2">
      <c r="B80" s="66" t="s">
        <v>392</v>
      </c>
      <c r="C80" s="67" t="s">
        <v>247</v>
      </c>
      <c r="D80" s="68">
        <v>76</v>
      </c>
      <c r="F80" s="66" t="s">
        <v>393</v>
      </c>
      <c r="G80" s="67" t="s">
        <v>257</v>
      </c>
      <c r="H80" s="68">
        <v>12</v>
      </c>
      <c r="I80" s="70">
        <v>210</v>
      </c>
      <c r="J80" s="70">
        <v>-24</v>
      </c>
      <c r="K80" s="70">
        <v>-26</v>
      </c>
      <c r="L80" s="70">
        <v>29</v>
      </c>
      <c r="M80" s="70">
        <v>22</v>
      </c>
      <c r="N80" s="70">
        <v>4800</v>
      </c>
      <c r="O80" s="70">
        <v>23</v>
      </c>
      <c r="P80" s="71">
        <v>96</v>
      </c>
      <c r="Q80" s="71">
        <v>990</v>
      </c>
      <c r="R80" s="72">
        <v>1.0900000000000001</v>
      </c>
      <c r="S80" s="71">
        <v>1240</v>
      </c>
      <c r="T80" s="71">
        <v>160</v>
      </c>
      <c r="U80" s="73">
        <v>2.5</v>
      </c>
      <c r="V80" s="73">
        <v>0.4</v>
      </c>
      <c r="W80" s="72">
        <v>0.28000000000000003</v>
      </c>
      <c r="X80" s="72">
        <v>0.37</v>
      </c>
      <c r="Y80" s="72">
        <v>0.42</v>
      </c>
      <c r="Z80" s="74">
        <v>0.22</v>
      </c>
      <c r="AA80" s="74">
        <v>9.7000000000000003E-2</v>
      </c>
      <c r="AB80" s="74">
        <v>3.4000000000000002E-2</v>
      </c>
      <c r="AC80" s="74">
        <v>0.25</v>
      </c>
      <c r="AE80" s="59"/>
      <c r="AF80" s="59"/>
      <c r="AG80" s="59"/>
      <c r="AH80" s="59"/>
      <c r="AI80" s="62">
        <v>78</v>
      </c>
      <c r="AJ80" s="63" t="str">
        <f ca="1">IF(design_loads!$E$5="","",IF($AI80&gt;INDEX($AG$3:$AG$16,MATCH(design_loads!$E$5,$AE$3:$AE$16)),"&lt;scroll up&gt;",OFFSET(OFFSET('NBCC_C-2'!$B$1,INDEX($AF$3:$AF$16,MATCH(design_loads!$E$5,$AE$3:$AE$16))-1,0),$AI80-1,0)))</f>
        <v>Taylor</v>
      </c>
      <c r="AK80" s="63" t="str">
        <f ca="1">IF(design_loads!$E$6="","",IF($AI80&gt;INDEX($AG$3:$AG$16,MATCH(design_loads!$E$6,$AE$3:$AE$16)),"&lt;scroll up&gt;",OFFSET(OFFSET('NBCC_C-2'!$B$1,INDEX($AF$3:$AF$16,MATCH(design_loads!$E$6,$AE$3:$AE$16))-1,0),$AI80-1,0)))</f>
        <v/>
      </c>
      <c r="AL80" s="63" t="str">
        <f ca="1">IF(design_loads!$E$7="","",IF($AI80&gt;INDEX($AG$3:$AG$16,MATCH(design_loads!$E$7,$AE$3:$AE$16)),"&lt;scroll up&gt;",OFFSET(OFFSET('NBCC_C-2'!$B$1,INDEX($AF$3:$AF$16,MATCH(design_loads!$E$7,$AE$3:$AE$16))-1,0),$AI80-1,0)))</f>
        <v/>
      </c>
      <c r="AM80" s="63" t="str">
        <f ca="1">IF(design_loads!$E$8="","",IF($AI80&gt;INDEX($AG$3:$AG$16,MATCH(design_loads!$E$8,$AE$3:$AE$16)),"&lt;scroll up&gt;",OFFSET(OFFSET('NBCC_C-2'!$B$1,INDEX($AF$3:$AF$16,MATCH(design_loads!$E$8,$AE$3:$AE$16))-1,0),$AI80-1,0)))</f>
        <v/>
      </c>
    </row>
    <row r="81" spans="2:39" x14ac:dyDescent="0.2">
      <c r="B81" s="66" t="s">
        <v>394</v>
      </c>
      <c r="C81" s="67" t="s">
        <v>247</v>
      </c>
      <c r="D81" s="68">
        <v>77</v>
      </c>
      <c r="F81" s="66" t="s">
        <v>288</v>
      </c>
      <c r="G81" s="67" t="s">
        <v>247</v>
      </c>
      <c r="H81" s="68">
        <v>17</v>
      </c>
      <c r="I81" s="76">
        <v>760</v>
      </c>
      <c r="J81" s="70">
        <v>-32</v>
      </c>
      <c r="K81" s="70">
        <v>-34</v>
      </c>
      <c r="L81" s="70">
        <v>32</v>
      </c>
      <c r="M81" s="70">
        <v>19</v>
      </c>
      <c r="N81" s="76">
        <v>5200</v>
      </c>
      <c r="O81" s="76">
        <v>18</v>
      </c>
      <c r="P81" s="77">
        <v>86</v>
      </c>
      <c r="Q81" s="77">
        <v>260</v>
      </c>
      <c r="R81" s="72">
        <v>0.26</v>
      </c>
      <c r="S81" s="77">
        <v>340</v>
      </c>
      <c r="T81" s="77">
        <v>220</v>
      </c>
      <c r="U81" s="73">
        <v>1.2</v>
      </c>
      <c r="V81" s="73">
        <v>0.1</v>
      </c>
      <c r="W81" s="72">
        <v>0.39</v>
      </c>
      <c r="X81" s="72">
        <v>0.52</v>
      </c>
      <c r="Y81" s="72">
        <v>0.12</v>
      </c>
      <c r="Z81" s="74">
        <v>5.6000000000000001E-2</v>
      </c>
      <c r="AA81" s="74">
        <v>2.3E-2</v>
      </c>
      <c r="AB81" s="74">
        <v>1.2E-2</v>
      </c>
      <c r="AC81" s="74">
        <v>5.8999999999999997E-2</v>
      </c>
      <c r="AE81" s="59"/>
      <c r="AF81" s="59"/>
      <c r="AG81" s="59"/>
      <c r="AH81" s="59"/>
      <c r="AI81" s="62">
        <v>79</v>
      </c>
      <c r="AJ81" s="63" t="str">
        <f ca="1">IF(design_loads!$E$5="","",IF($AI81&gt;INDEX($AG$3:$AG$16,MATCH(design_loads!$E$5,$AE$3:$AE$16)),"&lt;scroll up&gt;",OFFSET(OFFSET('NBCC_C-2'!$B$1,INDEX($AF$3:$AF$16,MATCH(design_loads!$E$5,$AE$3:$AE$16))-1,0),$AI81-1,0)))</f>
        <v>Terrace</v>
      </c>
      <c r="AK81" s="63" t="str">
        <f ca="1">IF(design_loads!$E$6="","",IF($AI81&gt;INDEX($AG$3:$AG$16,MATCH(design_loads!$E$6,$AE$3:$AE$16)),"&lt;scroll up&gt;",OFFSET(OFFSET('NBCC_C-2'!$B$1,INDEX($AF$3:$AF$16,MATCH(design_loads!$E$6,$AE$3:$AE$16))-1,0),$AI81-1,0)))</f>
        <v/>
      </c>
      <c r="AL81" s="63" t="str">
        <f ca="1">IF(design_loads!$E$7="","",IF($AI81&gt;INDEX($AG$3:$AG$16,MATCH(design_loads!$E$7,$AE$3:$AE$16)),"&lt;scroll up&gt;",OFFSET(OFFSET('NBCC_C-2'!$B$1,INDEX($AF$3:$AF$16,MATCH(design_loads!$E$7,$AE$3:$AE$16))-1,0),$AI81-1,0)))</f>
        <v/>
      </c>
      <c r="AM81" s="63" t="str">
        <f ca="1">IF(design_loads!$E$8="","",IF($AI81&gt;INDEX($AG$3:$AG$16,MATCH(design_loads!$E$8,$AE$3:$AE$16)),"&lt;scroll up&gt;",OFFSET(OFFSET('NBCC_C-2'!$B$1,INDEX($AF$3:$AF$16,MATCH(design_loads!$E$8,$AE$3:$AE$16))-1,0),$AI81-1,0)))</f>
        <v/>
      </c>
    </row>
    <row r="82" spans="2:39" x14ac:dyDescent="0.2">
      <c r="B82" s="66" t="s">
        <v>395</v>
      </c>
      <c r="C82" s="67" t="s">
        <v>247</v>
      </c>
      <c r="D82" s="68">
        <v>78</v>
      </c>
      <c r="F82" s="66" t="s">
        <v>396</v>
      </c>
      <c r="G82" s="67" t="s">
        <v>257</v>
      </c>
      <c r="H82" s="68">
        <v>13</v>
      </c>
      <c r="I82" s="70">
        <v>15</v>
      </c>
      <c r="J82" s="70">
        <v>-24</v>
      </c>
      <c r="K82" s="70">
        <v>-26</v>
      </c>
      <c r="L82" s="70">
        <v>30</v>
      </c>
      <c r="M82" s="70">
        <v>23</v>
      </c>
      <c r="N82" s="70">
        <v>4550</v>
      </c>
      <c r="O82" s="70">
        <v>23</v>
      </c>
      <c r="P82" s="71">
        <v>91</v>
      </c>
      <c r="Q82" s="71">
        <v>800</v>
      </c>
      <c r="R82" s="72">
        <v>0.9</v>
      </c>
      <c r="S82" s="71">
        <v>1025</v>
      </c>
      <c r="T82" s="71">
        <v>180</v>
      </c>
      <c r="U82" s="73">
        <v>2.4</v>
      </c>
      <c r="V82" s="73">
        <v>0.4</v>
      </c>
      <c r="W82" s="72">
        <v>0.31</v>
      </c>
      <c r="X82" s="72">
        <v>0.4</v>
      </c>
      <c r="Y82" s="72">
        <v>0.68</v>
      </c>
      <c r="Z82" s="74">
        <v>0.34</v>
      </c>
      <c r="AA82" s="74">
        <v>0.14000000000000001</v>
      </c>
      <c r="AB82" s="74">
        <v>4.7E-2</v>
      </c>
      <c r="AC82" s="74">
        <v>0.43</v>
      </c>
      <c r="AE82" s="59"/>
      <c r="AF82" s="59"/>
      <c r="AG82" s="59"/>
      <c r="AH82" s="59"/>
      <c r="AI82" s="62">
        <v>80</v>
      </c>
      <c r="AJ82" s="63" t="str">
        <f ca="1">IF(design_loads!$E$5="","",IF($AI82&gt;INDEX($AG$3:$AG$16,MATCH(design_loads!$E$5,$AE$3:$AE$16)),"&lt;scroll up&gt;",OFFSET(OFFSET('NBCC_C-2'!$B$1,INDEX($AF$3:$AF$16,MATCH(design_loads!$E$5,$AE$3:$AE$16))-1,0),$AI82-1,0)))</f>
        <v>Tofino</v>
      </c>
      <c r="AK82" s="63" t="str">
        <f ca="1">IF(design_loads!$E$6="","",IF($AI82&gt;INDEX($AG$3:$AG$16,MATCH(design_loads!$E$6,$AE$3:$AE$16)),"&lt;scroll up&gt;",OFFSET(OFFSET('NBCC_C-2'!$B$1,INDEX($AF$3:$AF$16,MATCH(design_loads!$E$6,$AE$3:$AE$16))-1,0),$AI82-1,0)))</f>
        <v/>
      </c>
      <c r="AL82" s="63" t="str">
        <f ca="1">IF(design_loads!$E$7="","",IF($AI82&gt;INDEX($AG$3:$AG$16,MATCH(design_loads!$E$7,$AE$3:$AE$16)),"&lt;scroll up&gt;",OFFSET(OFFSET('NBCC_C-2'!$B$1,INDEX($AF$3:$AF$16,MATCH(design_loads!$E$7,$AE$3:$AE$16))-1,0),$AI82-1,0)))</f>
        <v/>
      </c>
      <c r="AM82" s="63" t="str">
        <f ca="1">IF(design_loads!$E$8="","",IF($AI82&gt;INDEX($AG$3:$AG$16,MATCH(design_loads!$E$8,$AE$3:$AE$16)),"&lt;scroll up&gt;",OFFSET(OFFSET('NBCC_C-2'!$B$1,INDEX($AF$3:$AF$16,MATCH(design_loads!$E$8,$AE$3:$AE$16))-1,0),$AI82-1,0)))</f>
        <v/>
      </c>
    </row>
    <row r="83" spans="2:39" x14ac:dyDescent="0.2">
      <c r="B83" s="66" t="s">
        <v>397</v>
      </c>
      <c r="C83" s="67" t="s">
        <v>247</v>
      </c>
      <c r="D83" s="68">
        <v>79</v>
      </c>
      <c r="F83" s="66" t="s">
        <v>290</v>
      </c>
      <c r="G83" s="67" t="s">
        <v>247</v>
      </c>
      <c r="H83" s="68">
        <v>18</v>
      </c>
      <c r="I83" s="76">
        <v>637</v>
      </c>
      <c r="J83" s="70">
        <v>-37</v>
      </c>
      <c r="K83" s="70">
        <v>-40</v>
      </c>
      <c r="L83" s="70">
        <v>27</v>
      </c>
      <c r="M83" s="70">
        <v>19</v>
      </c>
      <c r="N83" s="76">
        <v>5800</v>
      </c>
      <c r="O83" s="76">
        <v>19</v>
      </c>
      <c r="P83" s="77">
        <v>95</v>
      </c>
      <c r="Q83" s="77">
        <v>345</v>
      </c>
      <c r="R83" s="72">
        <v>0.5</v>
      </c>
      <c r="S83" s="77">
        <v>480</v>
      </c>
      <c r="T83" s="77">
        <v>130</v>
      </c>
      <c r="U83" s="73">
        <v>1.8</v>
      </c>
      <c r="V83" s="73">
        <v>0.1</v>
      </c>
      <c r="W83" s="72">
        <v>0.31</v>
      </c>
      <c r="X83" s="72">
        <v>0.42</v>
      </c>
      <c r="Y83" s="72">
        <v>0.12</v>
      </c>
      <c r="Z83" s="74">
        <v>0.06</v>
      </c>
      <c r="AA83" s="74">
        <v>0.02</v>
      </c>
      <c r="AB83" s="74">
        <v>0.01</v>
      </c>
      <c r="AC83" s="74">
        <v>0.06</v>
      </c>
      <c r="AE83" s="59"/>
      <c r="AF83" s="59"/>
      <c r="AG83" s="59"/>
      <c r="AH83" s="59"/>
      <c r="AI83" s="62">
        <v>81</v>
      </c>
      <c r="AJ83" s="63" t="str">
        <f ca="1">IF(design_loads!$E$5="","",IF($AI83&gt;INDEX($AG$3:$AG$16,MATCH(design_loads!$E$5,$AE$3:$AE$16)),"&lt;scroll up&gt;",OFFSET(OFFSET('NBCC_C-2'!$B$1,INDEX($AF$3:$AF$16,MATCH(design_loads!$E$5,$AE$3:$AE$16))-1,0),$AI83-1,0)))</f>
        <v>Trail</v>
      </c>
      <c r="AK83" s="63" t="str">
        <f ca="1">IF(design_loads!$E$6="","",IF($AI83&gt;INDEX($AG$3:$AG$16,MATCH(design_loads!$E$6,$AE$3:$AE$16)),"&lt;scroll up&gt;",OFFSET(OFFSET('NBCC_C-2'!$B$1,INDEX($AF$3:$AF$16,MATCH(design_loads!$E$6,$AE$3:$AE$16))-1,0),$AI83-1,0)))</f>
        <v/>
      </c>
      <c r="AL83" s="63" t="str">
        <f ca="1">IF(design_loads!$E$7="","",IF($AI83&gt;INDEX($AG$3:$AG$16,MATCH(design_loads!$E$7,$AE$3:$AE$16)),"&lt;scroll up&gt;",OFFSET(OFFSET('NBCC_C-2'!$B$1,INDEX($AF$3:$AF$16,MATCH(design_loads!$E$7,$AE$3:$AE$16))-1,0),$AI83-1,0)))</f>
        <v/>
      </c>
      <c r="AM83" s="63" t="str">
        <f ca="1">IF(design_loads!$E$8="","",IF($AI83&gt;INDEX($AG$3:$AG$16,MATCH(design_loads!$E$8,$AE$3:$AE$16)),"&lt;scroll up&gt;",OFFSET(OFFSET('NBCC_C-2'!$B$1,INDEX($AF$3:$AF$16,MATCH(design_loads!$E$8,$AE$3:$AE$16))-1,0),$AI83-1,0)))</f>
        <v/>
      </c>
    </row>
    <row r="84" spans="2:39" x14ac:dyDescent="0.2">
      <c r="B84" s="66" t="s">
        <v>398</v>
      </c>
      <c r="C84" s="67" t="s">
        <v>247</v>
      </c>
      <c r="D84" s="68">
        <v>80</v>
      </c>
      <c r="F84" s="66" t="s">
        <v>399</v>
      </c>
      <c r="G84" s="67" t="s">
        <v>258</v>
      </c>
      <c r="H84" s="68">
        <v>3</v>
      </c>
      <c r="I84" s="70">
        <v>255</v>
      </c>
      <c r="J84" s="70">
        <v>-21</v>
      </c>
      <c r="K84" s="70">
        <v>-24</v>
      </c>
      <c r="L84" s="70">
        <v>26</v>
      </c>
      <c r="M84" s="70">
        <v>19</v>
      </c>
      <c r="N84" s="70">
        <v>5400</v>
      </c>
      <c r="O84" s="70">
        <v>13</v>
      </c>
      <c r="P84" s="71">
        <v>107</v>
      </c>
      <c r="Q84" s="71">
        <v>850</v>
      </c>
      <c r="R84" s="72">
        <v>1.04</v>
      </c>
      <c r="S84" s="71">
        <v>1125</v>
      </c>
      <c r="T84" s="71">
        <v>200</v>
      </c>
      <c r="U84" s="73">
        <v>4.7</v>
      </c>
      <c r="V84" s="73">
        <v>0.6</v>
      </c>
      <c r="W84" s="72">
        <v>0.46</v>
      </c>
      <c r="X84" s="72">
        <v>0.6</v>
      </c>
      <c r="Y84" s="72">
        <v>0.15</v>
      </c>
      <c r="Z84" s="74">
        <v>8.8999999999999996E-2</v>
      </c>
      <c r="AA84" s="74">
        <v>4.9000000000000002E-2</v>
      </c>
      <c r="AB84" s="74">
        <v>1.2999999999999999E-2</v>
      </c>
      <c r="AC84" s="74">
        <v>8.4000000000000005E-2</v>
      </c>
      <c r="AE84" s="59"/>
      <c r="AF84" s="59"/>
      <c r="AG84" s="59"/>
      <c r="AH84" s="59"/>
      <c r="AI84" s="62">
        <v>82</v>
      </c>
      <c r="AJ84" s="63" t="str">
        <f ca="1">IF(design_loads!$E$5="","",IF($AI84&gt;INDEX($AG$3:$AG$16,MATCH(design_loads!$E$5,$AE$3:$AE$16)),"&lt;scroll up&gt;",OFFSET(OFFSET('NBCC_C-2'!$B$1,INDEX($AF$3:$AF$16,MATCH(design_loads!$E$5,$AE$3:$AE$16))-1,0),$AI84-1,0)))</f>
        <v>Ucluelet</v>
      </c>
      <c r="AK84" s="63" t="str">
        <f ca="1">IF(design_loads!$E$6="","",IF($AI84&gt;INDEX($AG$3:$AG$16,MATCH(design_loads!$E$6,$AE$3:$AE$16)),"&lt;scroll up&gt;",OFFSET(OFFSET('NBCC_C-2'!$B$1,INDEX($AF$3:$AF$16,MATCH(design_loads!$E$6,$AE$3:$AE$16))-1,0),$AI84-1,0)))</f>
        <v/>
      </c>
      <c r="AL84" s="63" t="str">
        <f ca="1">IF(design_loads!$E$7="","",IF($AI84&gt;INDEX($AG$3:$AG$16,MATCH(design_loads!$E$7,$AE$3:$AE$16)),"&lt;scroll up&gt;",OFFSET(OFFSET('NBCC_C-2'!$B$1,INDEX($AF$3:$AF$16,MATCH(design_loads!$E$7,$AE$3:$AE$16))-1,0),$AI84-1,0)))</f>
        <v/>
      </c>
      <c r="AM84" s="63" t="str">
        <f ca="1">IF(design_loads!$E$8="","",IF($AI84&gt;INDEX($AG$3:$AG$16,MATCH(design_loads!$E$8,$AE$3:$AE$16)),"&lt;scroll up&gt;",OFFSET(OFFSET('NBCC_C-2'!$B$1,INDEX($AF$3:$AF$16,MATCH(design_loads!$E$8,$AE$3:$AE$16))-1,0),$AI84-1,0)))</f>
        <v/>
      </c>
    </row>
    <row r="85" spans="2:39" x14ac:dyDescent="0.2">
      <c r="B85" s="66" t="s">
        <v>400</v>
      </c>
      <c r="C85" s="67" t="s">
        <v>247</v>
      </c>
      <c r="D85" s="68">
        <v>81</v>
      </c>
      <c r="F85" s="66" t="s">
        <v>401</v>
      </c>
      <c r="G85" s="67" t="s">
        <v>257</v>
      </c>
      <c r="H85" s="68">
        <v>14</v>
      </c>
      <c r="I85" s="70">
        <v>130</v>
      </c>
      <c r="J85" s="70">
        <v>-26</v>
      </c>
      <c r="K85" s="70">
        <v>-28</v>
      </c>
      <c r="L85" s="70">
        <v>30</v>
      </c>
      <c r="M85" s="70">
        <v>23</v>
      </c>
      <c r="N85" s="70">
        <v>4900</v>
      </c>
      <c r="O85" s="70">
        <v>23</v>
      </c>
      <c r="P85" s="71">
        <v>91</v>
      </c>
      <c r="Q85" s="71">
        <v>810</v>
      </c>
      <c r="R85" s="72">
        <v>0.94</v>
      </c>
      <c r="S85" s="71">
        <v>990</v>
      </c>
      <c r="T85" s="71">
        <v>160</v>
      </c>
      <c r="U85" s="73">
        <v>2.6</v>
      </c>
      <c r="V85" s="73">
        <v>0.4</v>
      </c>
      <c r="W85" s="72">
        <v>0.3</v>
      </c>
      <c r="X85" s="72">
        <v>0.4</v>
      </c>
      <c r="Y85" s="72">
        <v>0.68</v>
      </c>
      <c r="Z85" s="74">
        <v>0.31</v>
      </c>
      <c r="AA85" s="74">
        <v>0.14000000000000001</v>
      </c>
      <c r="AB85" s="74">
        <v>4.4999999999999998E-2</v>
      </c>
      <c r="AC85" s="74">
        <v>0.42</v>
      </c>
      <c r="AE85" s="59"/>
      <c r="AF85" s="59"/>
      <c r="AG85" s="59"/>
      <c r="AH85" s="59"/>
      <c r="AI85" s="62">
        <v>83</v>
      </c>
      <c r="AJ85" s="63" t="str">
        <f ca="1">IF(design_loads!$E$5="","",IF($AI85&gt;INDEX($AG$3:$AG$16,MATCH(design_loads!$E$5,$AE$3:$AE$16)),"&lt;scroll up&gt;",OFFSET(OFFSET('NBCC_C-2'!$B$1,INDEX($AF$3:$AF$16,MATCH(design_loads!$E$5,$AE$3:$AE$16))-1,0),$AI85-1,0)))</f>
        <v>Vancouver</v>
      </c>
      <c r="AK85" s="63" t="str">
        <f ca="1">IF(design_loads!$E$6="","",IF($AI85&gt;INDEX($AG$3:$AG$16,MATCH(design_loads!$E$6,$AE$3:$AE$16)),"&lt;scroll up&gt;",OFFSET(OFFSET('NBCC_C-2'!$B$1,INDEX($AF$3:$AF$16,MATCH(design_loads!$E$6,$AE$3:$AE$16))-1,0),$AI85-1,0)))</f>
        <v/>
      </c>
      <c r="AL85" s="63" t="str">
        <f ca="1">IF(design_loads!$E$7="","",IF($AI85&gt;INDEX($AG$3:$AG$16,MATCH(design_loads!$E$7,$AE$3:$AE$16)),"&lt;scroll up&gt;",OFFSET(OFFSET('NBCC_C-2'!$B$1,INDEX($AF$3:$AF$16,MATCH(design_loads!$E$7,$AE$3:$AE$16))-1,0),$AI85-1,0)))</f>
        <v/>
      </c>
      <c r="AM85" s="63" t="str">
        <f ca="1">IF(design_loads!$E$8="","",IF($AI85&gt;INDEX($AG$3:$AG$16,MATCH(design_loads!$E$8,$AE$3:$AE$16)),"&lt;scroll up&gt;",OFFSET(OFFSET('NBCC_C-2'!$B$1,INDEX($AF$3:$AF$16,MATCH(design_loads!$E$8,$AE$3:$AE$16))-1,0),$AI85-1,0)))</f>
        <v/>
      </c>
    </row>
    <row r="86" spans="2:39" x14ac:dyDescent="0.2">
      <c r="B86" s="66" t="s">
        <v>402</v>
      </c>
      <c r="C86" s="67" t="s">
        <v>247</v>
      </c>
      <c r="D86" s="68">
        <v>82</v>
      </c>
      <c r="F86" s="66" t="s">
        <v>403</v>
      </c>
      <c r="G86" s="67" t="s">
        <v>264</v>
      </c>
      <c r="H86" s="68">
        <v>23</v>
      </c>
      <c r="I86" s="70">
        <v>305</v>
      </c>
      <c r="J86" s="70">
        <v>-26</v>
      </c>
      <c r="K86" s="70">
        <v>-28</v>
      </c>
      <c r="L86" s="70">
        <v>29</v>
      </c>
      <c r="M86" s="70">
        <v>21</v>
      </c>
      <c r="N86" s="70">
        <v>5100</v>
      </c>
      <c r="O86" s="70">
        <v>25</v>
      </c>
      <c r="P86" s="71">
        <v>103</v>
      </c>
      <c r="Q86" s="71">
        <v>810</v>
      </c>
      <c r="R86" s="72">
        <v>0.94</v>
      </c>
      <c r="S86" s="71">
        <v>1010</v>
      </c>
      <c r="T86" s="71">
        <v>120</v>
      </c>
      <c r="U86" s="73">
        <v>2.7</v>
      </c>
      <c r="V86" s="73">
        <v>0.4</v>
      </c>
      <c r="W86" s="72">
        <v>0.26</v>
      </c>
      <c r="X86" s="72">
        <v>0.35</v>
      </c>
      <c r="Y86" s="72">
        <v>0.21</v>
      </c>
      <c r="Z86" s="74">
        <v>0.12</v>
      </c>
      <c r="AA86" s="74">
        <v>5.7000000000000002E-2</v>
      </c>
      <c r="AB86" s="74">
        <v>1.7999999999999999E-2</v>
      </c>
      <c r="AC86" s="74">
        <v>0.11</v>
      </c>
      <c r="AE86" s="59"/>
      <c r="AF86" s="59"/>
      <c r="AG86" s="59"/>
      <c r="AH86" s="59"/>
      <c r="AI86" s="62">
        <v>84</v>
      </c>
      <c r="AJ86" s="63" t="str">
        <f ca="1">IF(design_loads!$E$5="","",IF($AI86&gt;INDEX($AG$3:$AG$16,MATCH(design_loads!$E$5,$AE$3:$AE$16)),"&lt;scroll up&gt;",OFFSET(OFFSET('NBCC_C-2'!$B$1,INDEX($AF$3:$AF$16,MATCH(design_loads!$E$5,$AE$3:$AE$16))-1,0),$AI86-1,0)))</f>
        <v>Vancouver (Granville &amp; 41 Ave)</v>
      </c>
      <c r="AK86" s="63" t="str">
        <f ca="1">IF(design_loads!$E$6="","",IF($AI86&gt;INDEX($AG$3:$AG$16,MATCH(design_loads!$E$6,$AE$3:$AE$16)),"&lt;scroll up&gt;",OFFSET(OFFSET('NBCC_C-2'!$B$1,INDEX($AF$3:$AF$16,MATCH(design_loads!$E$6,$AE$3:$AE$16))-1,0),$AI86-1,0)))</f>
        <v/>
      </c>
      <c r="AL86" s="63" t="str">
        <f ca="1">IF(design_loads!$E$7="","",IF($AI86&gt;INDEX($AG$3:$AG$16,MATCH(design_loads!$E$7,$AE$3:$AE$16)),"&lt;scroll up&gt;",OFFSET(OFFSET('NBCC_C-2'!$B$1,INDEX($AF$3:$AF$16,MATCH(design_loads!$E$7,$AE$3:$AE$16))-1,0),$AI86-1,0)))</f>
        <v/>
      </c>
      <c r="AM86" s="63" t="str">
        <f ca="1">IF(design_loads!$E$8="","",IF($AI86&gt;INDEX($AG$3:$AG$16,MATCH(design_loads!$E$8,$AE$3:$AE$16)),"&lt;scroll up&gt;",OFFSET(OFFSET('NBCC_C-2'!$B$1,INDEX($AF$3:$AF$16,MATCH(design_loads!$E$8,$AE$3:$AE$16))-1,0),$AI86-1,0)))</f>
        <v/>
      </c>
    </row>
    <row r="87" spans="2:39" x14ac:dyDescent="0.2">
      <c r="B87" s="66" t="s">
        <v>404</v>
      </c>
      <c r="C87" s="67" t="s">
        <v>247</v>
      </c>
      <c r="D87" s="68">
        <v>83</v>
      </c>
      <c r="F87" s="66" t="s">
        <v>405</v>
      </c>
      <c r="G87" s="67" t="s">
        <v>264</v>
      </c>
      <c r="H87" s="68">
        <v>24</v>
      </c>
      <c r="I87" s="70">
        <v>80</v>
      </c>
      <c r="J87" s="70">
        <v>-17</v>
      </c>
      <c r="K87" s="70">
        <v>-19</v>
      </c>
      <c r="L87" s="70">
        <v>31</v>
      </c>
      <c r="M87" s="70">
        <v>23</v>
      </c>
      <c r="N87" s="70">
        <v>3775</v>
      </c>
      <c r="O87" s="70">
        <v>23</v>
      </c>
      <c r="P87" s="71">
        <v>103</v>
      </c>
      <c r="Q87" s="71">
        <v>770</v>
      </c>
      <c r="R87" s="72">
        <v>0.91</v>
      </c>
      <c r="S87" s="71">
        <v>850</v>
      </c>
      <c r="T87" s="71">
        <v>160</v>
      </c>
      <c r="U87" s="73">
        <v>0.9</v>
      </c>
      <c r="V87" s="73">
        <v>0.4</v>
      </c>
      <c r="W87" s="72">
        <v>0.36</v>
      </c>
      <c r="X87" s="72">
        <v>0.46</v>
      </c>
      <c r="Y87" s="72">
        <v>0.36</v>
      </c>
      <c r="Z87" s="74">
        <v>0.18</v>
      </c>
      <c r="AA87" s="74">
        <v>6.3E-2</v>
      </c>
      <c r="AB87" s="74">
        <v>0.02</v>
      </c>
      <c r="AC87" s="74">
        <v>0.27</v>
      </c>
      <c r="AE87" s="59"/>
      <c r="AF87" s="59"/>
      <c r="AG87" s="59"/>
      <c r="AH87" s="59"/>
      <c r="AI87" s="62">
        <v>85</v>
      </c>
      <c r="AJ87" s="63" t="str">
        <f ca="1">IF(design_loads!$E$5="","",IF($AI87&gt;INDEX($AG$3:$AG$16,MATCH(design_loads!$E$5,$AE$3:$AE$16)),"&lt;scroll up&gt;",OFFSET(OFFSET('NBCC_C-2'!$B$1,INDEX($AF$3:$AF$16,MATCH(design_loads!$E$5,$AE$3:$AE$16))-1,0),$AI87-1,0)))</f>
        <v>Vernon</v>
      </c>
      <c r="AK87" s="63" t="str">
        <f ca="1">IF(design_loads!$E$6="","",IF($AI87&gt;INDEX($AG$3:$AG$16,MATCH(design_loads!$E$6,$AE$3:$AE$16)),"&lt;scroll up&gt;",OFFSET(OFFSET('NBCC_C-2'!$B$1,INDEX($AF$3:$AF$16,MATCH(design_loads!$E$6,$AE$3:$AE$16))-1,0),$AI87-1,0)))</f>
        <v/>
      </c>
      <c r="AL87" s="63" t="str">
        <f ca="1">IF(design_loads!$E$7="","",IF($AI87&gt;INDEX($AG$3:$AG$16,MATCH(design_loads!$E$7,$AE$3:$AE$16)),"&lt;scroll up&gt;",OFFSET(OFFSET('NBCC_C-2'!$B$1,INDEX($AF$3:$AF$16,MATCH(design_loads!$E$7,$AE$3:$AE$16))-1,0),$AI87-1,0)))</f>
        <v/>
      </c>
      <c r="AM87" s="63" t="str">
        <f ca="1">IF(design_loads!$E$8="","",IF($AI87&gt;INDEX($AG$3:$AG$16,MATCH(design_loads!$E$8,$AE$3:$AE$16)),"&lt;scroll up&gt;",OFFSET(OFFSET('NBCC_C-2'!$B$1,INDEX($AF$3:$AF$16,MATCH(design_loads!$E$8,$AE$3:$AE$16))-1,0),$AI87-1,0)))</f>
        <v/>
      </c>
    </row>
    <row r="88" spans="2:39" x14ac:dyDescent="0.2">
      <c r="B88" s="66" t="s">
        <v>406</v>
      </c>
      <c r="C88" s="67" t="s">
        <v>247</v>
      </c>
      <c r="D88" s="68">
        <v>84</v>
      </c>
      <c r="F88" s="66" t="s">
        <v>407</v>
      </c>
      <c r="G88" s="67" t="s">
        <v>224</v>
      </c>
      <c r="H88" s="68">
        <v>7</v>
      </c>
      <c r="I88" s="70">
        <v>110</v>
      </c>
      <c r="J88" s="70">
        <v>-7</v>
      </c>
      <c r="K88" s="70">
        <v>-9</v>
      </c>
      <c r="L88" s="70">
        <v>25</v>
      </c>
      <c r="M88" s="70">
        <v>17</v>
      </c>
      <c r="N88" s="70">
        <v>3000</v>
      </c>
      <c r="O88" s="70">
        <v>10</v>
      </c>
      <c r="P88" s="71">
        <v>150</v>
      </c>
      <c r="Q88" s="71">
        <v>1850</v>
      </c>
      <c r="R88" s="72">
        <v>1.93</v>
      </c>
      <c r="S88" s="71">
        <v>1950</v>
      </c>
      <c r="T88" s="71">
        <v>160</v>
      </c>
      <c r="U88" s="73">
        <v>2.9</v>
      </c>
      <c r="V88" s="73">
        <v>0.7</v>
      </c>
      <c r="W88" s="72">
        <v>0.36</v>
      </c>
      <c r="X88" s="72">
        <v>0.48</v>
      </c>
      <c r="Y88" s="72">
        <v>0.94</v>
      </c>
      <c r="Z88" s="74">
        <v>0.63</v>
      </c>
      <c r="AA88" s="74">
        <v>0.33</v>
      </c>
      <c r="AB88" s="74">
        <v>0.17</v>
      </c>
      <c r="AC88" s="74">
        <v>0.47</v>
      </c>
      <c r="AE88" s="59"/>
      <c r="AF88" s="59"/>
      <c r="AG88" s="59"/>
      <c r="AH88" s="59"/>
      <c r="AI88" s="62">
        <v>86</v>
      </c>
      <c r="AJ88" s="63" t="str">
        <f ca="1">IF(design_loads!$E$5="","",IF($AI88&gt;INDEX($AG$3:$AG$16,MATCH(design_loads!$E$5,$AE$3:$AE$16)),"&lt;scroll up&gt;",OFFSET(OFFSET('NBCC_C-2'!$B$1,INDEX($AF$3:$AF$16,MATCH(design_loads!$E$5,$AE$3:$AE$16))-1,0),$AI88-1,0)))</f>
        <v>Victoria</v>
      </c>
      <c r="AK88" s="63" t="str">
        <f ca="1">IF(design_loads!$E$6="","",IF($AI88&gt;INDEX($AG$3:$AG$16,MATCH(design_loads!$E$6,$AE$3:$AE$16)),"&lt;scroll up&gt;",OFFSET(OFFSET('NBCC_C-2'!$B$1,INDEX($AF$3:$AF$16,MATCH(design_loads!$E$6,$AE$3:$AE$16))-1,0),$AI88-1,0)))</f>
        <v/>
      </c>
      <c r="AL88" s="63" t="str">
        <f ca="1">IF(design_loads!$E$7="","",IF($AI88&gt;INDEX($AG$3:$AG$16,MATCH(design_loads!$E$7,$AE$3:$AE$16)),"&lt;scroll up&gt;",OFFSET(OFFSET('NBCC_C-2'!$B$1,INDEX($AF$3:$AF$16,MATCH(design_loads!$E$7,$AE$3:$AE$16))-1,0),$AI88-1,0)))</f>
        <v/>
      </c>
      <c r="AM88" s="63" t="str">
        <f ca="1">IF(design_loads!$E$8="","",IF($AI88&gt;INDEX($AG$3:$AG$16,MATCH(design_loads!$E$8,$AE$3:$AE$16)),"&lt;scroll up&gt;",OFFSET(OFFSET('NBCC_C-2'!$B$1,INDEX($AF$3:$AF$16,MATCH(design_loads!$E$8,$AE$3:$AE$16))-1,0),$AI88-1,0)))</f>
        <v/>
      </c>
    </row>
    <row r="89" spans="2:39" x14ac:dyDescent="0.2">
      <c r="B89" s="66" t="s">
        <v>408</v>
      </c>
      <c r="C89" s="67" t="s">
        <v>247</v>
      </c>
      <c r="D89" s="68">
        <v>85</v>
      </c>
      <c r="F89" s="66" t="s">
        <v>409</v>
      </c>
      <c r="G89" s="67" t="s">
        <v>224</v>
      </c>
      <c r="H89" s="68">
        <v>8</v>
      </c>
      <c r="I89" s="70">
        <v>755</v>
      </c>
      <c r="J89" s="70">
        <v>-30</v>
      </c>
      <c r="K89" s="70">
        <v>-33</v>
      </c>
      <c r="L89" s="70">
        <v>25</v>
      </c>
      <c r="M89" s="70">
        <v>17</v>
      </c>
      <c r="N89" s="70">
        <v>5500</v>
      </c>
      <c r="O89" s="70">
        <v>10</v>
      </c>
      <c r="P89" s="71">
        <v>54</v>
      </c>
      <c r="Q89" s="71">
        <v>300</v>
      </c>
      <c r="R89" s="72">
        <v>0.56000000000000005</v>
      </c>
      <c r="S89" s="71">
        <v>450</v>
      </c>
      <c r="T89" s="71">
        <v>100</v>
      </c>
      <c r="U89" s="73">
        <v>3.4</v>
      </c>
      <c r="V89" s="73">
        <v>0.2</v>
      </c>
      <c r="W89" s="72">
        <v>0.3</v>
      </c>
      <c r="X89" s="72">
        <v>0.39</v>
      </c>
      <c r="Y89" s="72">
        <v>0.12</v>
      </c>
      <c r="Z89" s="74">
        <v>6.2E-2</v>
      </c>
      <c r="AA89" s="74">
        <v>4.2999999999999997E-2</v>
      </c>
      <c r="AB89" s="74">
        <v>2.8000000000000001E-2</v>
      </c>
      <c r="AC89" s="74">
        <v>5.8999999999999997E-2</v>
      </c>
      <c r="AE89" s="59"/>
      <c r="AF89" s="59"/>
      <c r="AG89" s="59"/>
      <c r="AH89" s="59"/>
      <c r="AI89" s="62">
        <v>87</v>
      </c>
      <c r="AJ89" s="63" t="str">
        <f ca="1">IF(design_loads!$E$5="","",IF($AI89&gt;INDEX($AG$3:$AG$16,MATCH(design_loads!$E$5,$AE$3:$AE$16)),"&lt;scroll up&gt;",OFFSET(OFFSET('NBCC_C-2'!$B$1,INDEX($AF$3:$AF$16,MATCH(design_loads!$E$5,$AE$3:$AE$16))-1,0),$AI89-1,0)))</f>
        <v>Victoria (Gonzales Hts)</v>
      </c>
      <c r="AK89" s="63" t="str">
        <f ca="1">IF(design_loads!$E$6="","",IF($AI89&gt;INDEX($AG$3:$AG$16,MATCH(design_loads!$E$6,$AE$3:$AE$16)),"&lt;scroll up&gt;",OFFSET(OFFSET('NBCC_C-2'!$B$1,INDEX($AF$3:$AF$16,MATCH(design_loads!$E$6,$AE$3:$AE$16))-1,0),$AI89-1,0)))</f>
        <v/>
      </c>
      <c r="AL89" s="63" t="str">
        <f ca="1">IF(design_loads!$E$7="","",IF($AI89&gt;INDEX($AG$3:$AG$16,MATCH(design_loads!$E$7,$AE$3:$AE$16)),"&lt;scroll up&gt;",OFFSET(OFFSET('NBCC_C-2'!$B$1,INDEX($AF$3:$AF$16,MATCH(design_loads!$E$7,$AE$3:$AE$16))-1,0),$AI89-1,0)))</f>
        <v/>
      </c>
      <c r="AM89" s="63" t="str">
        <f ca="1">IF(design_loads!$E$8="","",IF($AI89&gt;INDEX($AG$3:$AG$16,MATCH(design_loads!$E$8,$AE$3:$AE$16)),"&lt;scroll up&gt;",OFFSET(OFFSET('NBCC_C-2'!$B$1,INDEX($AF$3:$AF$16,MATCH(design_loads!$E$8,$AE$3:$AE$16))-1,0),$AI89-1,0)))</f>
        <v/>
      </c>
    </row>
    <row r="90" spans="2:39" x14ac:dyDescent="0.2">
      <c r="B90" s="66" t="s">
        <v>410</v>
      </c>
      <c r="C90" s="67" t="s">
        <v>247</v>
      </c>
      <c r="D90" s="68">
        <v>86</v>
      </c>
      <c r="F90" s="66" t="s">
        <v>411</v>
      </c>
      <c r="G90" s="67" t="s">
        <v>224</v>
      </c>
      <c r="H90" s="68">
        <v>9</v>
      </c>
      <c r="I90" s="70">
        <v>455</v>
      </c>
      <c r="J90" s="70">
        <v>-25</v>
      </c>
      <c r="K90" s="70">
        <v>-28</v>
      </c>
      <c r="L90" s="70">
        <v>34</v>
      </c>
      <c r="M90" s="70">
        <v>20</v>
      </c>
      <c r="N90" s="70">
        <v>3700</v>
      </c>
      <c r="O90" s="70">
        <v>10</v>
      </c>
      <c r="P90" s="71">
        <v>37</v>
      </c>
      <c r="Q90" s="71">
        <v>250</v>
      </c>
      <c r="R90" s="72">
        <v>0.25</v>
      </c>
      <c r="S90" s="71">
        <v>300</v>
      </c>
      <c r="T90" s="71">
        <v>80</v>
      </c>
      <c r="U90" s="73">
        <v>1.7</v>
      </c>
      <c r="V90" s="73">
        <v>0.2</v>
      </c>
      <c r="W90" s="72">
        <v>0.28999999999999998</v>
      </c>
      <c r="X90" s="72">
        <v>0.39</v>
      </c>
      <c r="Y90" s="72">
        <v>0.33</v>
      </c>
      <c r="Z90" s="74">
        <v>0.25</v>
      </c>
      <c r="AA90" s="74">
        <v>0.16</v>
      </c>
      <c r="AB90" s="74">
        <v>9.0999999999999998E-2</v>
      </c>
      <c r="AC90" s="74">
        <v>0.16</v>
      </c>
      <c r="AE90" s="59"/>
      <c r="AF90" s="59"/>
      <c r="AG90" s="59"/>
      <c r="AH90" s="59"/>
      <c r="AI90" s="62">
        <v>88</v>
      </c>
      <c r="AJ90" s="63" t="str">
        <f ca="1">IF(design_loads!$E$5="","",IF($AI90&gt;INDEX($AG$3:$AG$16,MATCH(design_loads!$E$5,$AE$3:$AE$16)),"&lt;scroll up&gt;",OFFSET(OFFSET('NBCC_C-2'!$B$1,INDEX($AF$3:$AF$16,MATCH(design_loads!$E$5,$AE$3:$AE$16))-1,0),$AI90-1,0)))</f>
        <v>Victoria (Mt Tolmie)</v>
      </c>
      <c r="AK90" s="63" t="str">
        <f ca="1">IF(design_loads!$E$6="","",IF($AI90&gt;INDEX($AG$3:$AG$16,MATCH(design_loads!$E$6,$AE$3:$AE$16)),"&lt;scroll up&gt;",OFFSET(OFFSET('NBCC_C-2'!$B$1,INDEX($AF$3:$AF$16,MATCH(design_loads!$E$6,$AE$3:$AE$16))-1,0),$AI90-1,0)))</f>
        <v/>
      </c>
      <c r="AL90" s="63" t="str">
        <f ca="1">IF(design_loads!$E$7="","",IF($AI90&gt;INDEX($AG$3:$AG$16,MATCH(design_loads!$E$7,$AE$3:$AE$16)),"&lt;scroll up&gt;",OFFSET(OFFSET('NBCC_C-2'!$B$1,INDEX($AF$3:$AF$16,MATCH(design_loads!$E$7,$AE$3:$AE$16))-1,0),$AI90-1,0)))</f>
        <v/>
      </c>
      <c r="AM90" s="63" t="str">
        <f ca="1">IF(design_loads!$E$8="","",IF($AI90&gt;INDEX($AG$3:$AG$16,MATCH(design_loads!$E$8,$AE$3:$AE$16)),"&lt;scroll up&gt;",OFFSET(OFFSET('NBCC_C-2'!$B$1,INDEX($AF$3:$AF$16,MATCH(design_loads!$E$8,$AE$3:$AE$16))-1,0),$AI90-1,0)))</f>
        <v/>
      </c>
    </row>
    <row r="91" spans="2:39" x14ac:dyDescent="0.2">
      <c r="B91" s="66" t="s">
        <v>412</v>
      </c>
      <c r="C91" s="67" t="s">
        <v>247</v>
      </c>
      <c r="D91" s="68">
        <v>87</v>
      </c>
      <c r="F91" s="66" t="s">
        <v>292</v>
      </c>
      <c r="G91" s="67" t="s">
        <v>247</v>
      </c>
      <c r="H91" s="68">
        <v>19</v>
      </c>
      <c r="I91" s="76">
        <v>1045</v>
      </c>
      <c r="J91" s="70">
        <v>-31</v>
      </c>
      <c r="K91" s="70">
        <v>-33</v>
      </c>
      <c r="L91" s="70">
        <v>29</v>
      </c>
      <c r="M91" s="70">
        <v>17</v>
      </c>
      <c r="N91" s="76">
        <v>5200</v>
      </c>
      <c r="O91" s="76">
        <v>23</v>
      </c>
      <c r="P91" s="77">
        <v>103</v>
      </c>
      <c r="Q91" s="77">
        <v>325</v>
      </c>
      <c r="R91" s="72">
        <v>0.37</v>
      </c>
      <c r="S91" s="77">
        <v>425</v>
      </c>
      <c r="T91" s="77">
        <v>220</v>
      </c>
      <c r="U91" s="73">
        <v>1.1000000000000001</v>
      </c>
      <c r="V91" s="73">
        <v>0.1</v>
      </c>
      <c r="W91" s="72">
        <v>0.4</v>
      </c>
      <c r="X91" s="72">
        <v>0.5</v>
      </c>
      <c r="Y91" s="72">
        <v>0.15</v>
      </c>
      <c r="Z91" s="74">
        <v>8.4000000000000005E-2</v>
      </c>
      <c r="AA91" s="74">
        <v>4.1000000000000002E-2</v>
      </c>
      <c r="AB91" s="74">
        <v>2.3E-2</v>
      </c>
      <c r="AC91" s="74">
        <v>8.7999999999999995E-2</v>
      </c>
      <c r="AE91" s="59"/>
      <c r="AF91" s="59"/>
      <c r="AG91" s="59"/>
      <c r="AH91" s="59"/>
      <c r="AI91" s="62">
        <v>89</v>
      </c>
      <c r="AJ91" s="63" t="str">
        <f ca="1">IF(design_loads!$E$5="","",IF($AI91&gt;INDEX($AG$3:$AG$16,MATCH(design_loads!$E$5,$AE$3:$AE$16)),"&lt;scroll up&gt;",OFFSET(OFFSET('NBCC_C-2'!$B$1,INDEX($AF$3:$AF$16,MATCH(design_loads!$E$5,$AE$3:$AE$16))-1,0),$AI91-1,0)))</f>
        <v>West Vancouver</v>
      </c>
      <c r="AK91" s="63" t="str">
        <f ca="1">IF(design_loads!$E$6="","",IF($AI91&gt;INDEX($AG$3:$AG$16,MATCH(design_loads!$E$6,$AE$3:$AE$16)),"&lt;scroll up&gt;",OFFSET(OFFSET('NBCC_C-2'!$B$1,INDEX($AF$3:$AF$16,MATCH(design_loads!$E$6,$AE$3:$AE$16))-1,0),$AI91-1,0)))</f>
        <v/>
      </c>
      <c r="AL91" s="63" t="str">
        <f ca="1">IF(design_loads!$E$7="","",IF($AI91&gt;INDEX($AG$3:$AG$16,MATCH(design_loads!$E$7,$AE$3:$AE$16)),"&lt;scroll up&gt;",OFFSET(OFFSET('NBCC_C-2'!$B$1,INDEX($AF$3:$AF$16,MATCH(design_loads!$E$7,$AE$3:$AE$16))-1,0),$AI91-1,0)))</f>
        <v/>
      </c>
      <c r="AM91" s="63" t="str">
        <f ca="1">IF(design_loads!$E$8="","",IF($AI91&gt;INDEX($AG$3:$AG$16,MATCH(design_loads!$E$8,$AE$3:$AE$16)),"&lt;scroll up&gt;",OFFSET(OFFSET('NBCC_C-2'!$B$1,INDEX($AF$3:$AF$16,MATCH(design_loads!$E$8,$AE$3:$AE$16))-1,0),$AI91-1,0)))</f>
        <v/>
      </c>
    </row>
    <row r="92" spans="2:39" x14ac:dyDescent="0.2">
      <c r="B92" s="66" t="s">
        <v>413</v>
      </c>
      <c r="C92" s="67" t="s">
        <v>247</v>
      </c>
      <c r="D92" s="68">
        <v>88</v>
      </c>
      <c r="F92" s="66" t="s">
        <v>294</v>
      </c>
      <c r="G92" s="67" t="s">
        <v>247</v>
      </c>
      <c r="H92" s="68">
        <v>20</v>
      </c>
      <c r="I92" s="76">
        <v>730</v>
      </c>
      <c r="J92" s="70">
        <v>-35</v>
      </c>
      <c r="K92" s="70">
        <v>-38</v>
      </c>
      <c r="L92" s="70">
        <v>27</v>
      </c>
      <c r="M92" s="70">
        <v>19</v>
      </c>
      <c r="N92" s="76">
        <v>5600</v>
      </c>
      <c r="O92" s="76">
        <v>20</v>
      </c>
      <c r="P92" s="77">
        <v>95</v>
      </c>
      <c r="Q92" s="77">
        <v>380</v>
      </c>
      <c r="R92" s="72">
        <v>0.52</v>
      </c>
      <c r="S92" s="77">
        <v>490</v>
      </c>
      <c r="T92" s="77">
        <v>150</v>
      </c>
      <c r="U92" s="73">
        <v>1.9</v>
      </c>
      <c r="V92" s="73">
        <v>0.1</v>
      </c>
      <c r="W92" s="72">
        <v>0.32</v>
      </c>
      <c r="X92" s="72">
        <v>0.45</v>
      </c>
      <c r="Y92" s="72">
        <v>0.12</v>
      </c>
      <c r="Z92" s="74">
        <v>0.06</v>
      </c>
      <c r="AA92" s="74">
        <v>0.02</v>
      </c>
      <c r="AB92" s="74">
        <v>0.01</v>
      </c>
      <c r="AC92" s="74">
        <v>0.06</v>
      </c>
      <c r="AE92" s="59"/>
      <c r="AF92" s="59"/>
      <c r="AG92" s="59"/>
      <c r="AH92" s="59"/>
      <c r="AI92" s="62">
        <v>90</v>
      </c>
      <c r="AJ92" s="63" t="str">
        <f ca="1">IF(design_loads!$E$5="","",IF($AI92&gt;INDEX($AG$3:$AG$16,MATCH(design_loads!$E$5,$AE$3:$AE$16)),"&lt;scroll up&gt;",OFFSET(OFFSET('NBCC_C-2'!$B$1,INDEX($AF$3:$AF$16,MATCH(design_loads!$E$5,$AE$3:$AE$16))-1,0),$AI92-1,0)))</f>
        <v>Williams Lake</v>
      </c>
      <c r="AK92" s="63" t="str">
        <f ca="1">IF(design_loads!$E$6="","",IF($AI92&gt;INDEX($AG$3:$AG$16,MATCH(design_loads!$E$6,$AE$3:$AE$16)),"&lt;scroll up&gt;",OFFSET(OFFSET('NBCC_C-2'!$B$1,INDEX($AF$3:$AF$16,MATCH(design_loads!$E$6,$AE$3:$AE$16))-1,0),$AI92-1,0)))</f>
        <v/>
      </c>
      <c r="AL92" s="63" t="str">
        <f ca="1">IF(design_loads!$E$7="","",IF($AI92&gt;INDEX($AG$3:$AG$16,MATCH(design_loads!$E$7,$AE$3:$AE$16)),"&lt;scroll up&gt;",OFFSET(OFFSET('NBCC_C-2'!$B$1,INDEX($AF$3:$AF$16,MATCH(design_loads!$E$7,$AE$3:$AE$16))-1,0),$AI92-1,0)))</f>
        <v/>
      </c>
      <c r="AM92" s="63" t="str">
        <f ca="1">IF(design_loads!$E$8="","",IF($AI92&gt;INDEX($AG$3:$AG$16,MATCH(design_loads!$E$8,$AE$3:$AE$16)),"&lt;scroll up&gt;",OFFSET(OFFSET('NBCC_C-2'!$B$1,INDEX($AF$3:$AF$16,MATCH(design_loads!$E$8,$AE$3:$AE$16))-1,0),$AI92-1,0)))</f>
        <v/>
      </c>
    </row>
    <row r="93" spans="2:39" x14ac:dyDescent="0.2">
      <c r="B93" s="66" t="s">
        <v>414</v>
      </c>
      <c r="C93" s="67" t="s">
        <v>247</v>
      </c>
      <c r="D93" s="68">
        <v>89</v>
      </c>
      <c r="F93" s="66" t="s">
        <v>415</v>
      </c>
      <c r="G93" s="67" t="s">
        <v>264</v>
      </c>
      <c r="H93" s="68">
        <v>25</v>
      </c>
      <c r="I93" s="70">
        <v>295</v>
      </c>
      <c r="J93" s="70">
        <v>-18</v>
      </c>
      <c r="K93" s="70">
        <v>-20</v>
      </c>
      <c r="L93" s="70">
        <v>29</v>
      </c>
      <c r="M93" s="70">
        <v>23</v>
      </c>
      <c r="N93" s="70">
        <v>4150</v>
      </c>
      <c r="O93" s="70">
        <v>25</v>
      </c>
      <c r="P93" s="71">
        <v>113</v>
      </c>
      <c r="Q93" s="71">
        <v>800</v>
      </c>
      <c r="R93" s="72">
        <v>0.91</v>
      </c>
      <c r="S93" s="71">
        <v>890</v>
      </c>
      <c r="T93" s="71">
        <v>160</v>
      </c>
      <c r="U93" s="73">
        <v>1.6</v>
      </c>
      <c r="V93" s="73">
        <v>0.4</v>
      </c>
      <c r="W93" s="72">
        <v>0.26</v>
      </c>
      <c r="X93" s="72">
        <v>0.35</v>
      </c>
      <c r="Y93" s="72">
        <v>0.22</v>
      </c>
      <c r="Z93" s="74">
        <v>0.11</v>
      </c>
      <c r="AA93" s="74">
        <v>0.05</v>
      </c>
      <c r="AB93" s="74">
        <v>1.2999999999999999E-2</v>
      </c>
      <c r="AC93" s="74">
        <v>0.14000000000000001</v>
      </c>
      <c r="AE93" s="59"/>
      <c r="AF93" s="59"/>
      <c r="AG93" s="59"/>
      <c r="AH93" s="59"/>
      <c r="AI93" s="62">
        <v>91</v>
      </c>
      <c r="AJ93" s="63" t="str">
        <f ca="1">IF(design_loads!$E$5="","",IF($AI93&gt;INDEX($AG$3:$AG$16,MATCH(design_loads!$E$5,$AE$3:$AE$16)),"&lt;scroll up&gt;",OFFSET(OFFSET('NBCC_C-2'!$B$1,INDEX($AF$3:$AF$16,MATCH(design_loads!$E$5,$AE$3:$AE$16))-1,0),$AI93-1,0)))</f>
        <v>Youbou</v>
      </c>
      <c r="AK93" s="63" t="str">
        <f ca="1">IF(design_loads!$E$6="","",IF($AI93&gt;INDEX($AG$3:$AG$16,MATCH(design_loads!$E$6,$AE$3:$AE$16)),"&lt;scroll up&gt;",OFFSET(OFFSET('NBCC_C-2'!$B$1,INDEX($AF$3:$AF$16,MATCH(design_loads!$E$6,$AE$3:$AE$16))-1,0),$AI93-1,0)))</f>
        <v/>
      </c>
      <c r="AL93" s="63" t="str">
        <f ca="1">IF(design_loads!$E$7="","",IF($AI93&gt;INDEX($AG$3:$AG$16,MATCH(design_loads!$E$7,$AE$3:$AE$16)),"&lt;scroll up&gt;",OFFSET(OFFSET('NBCC_C-2'!$B$1,INDEX($AF$3:$AF$16,MATCH(design_loads!$E$7,$AE$3:$AE$16))-1,0),$AI93-1,0)))</f>
        <v/>
      </c>
      <c r="AM93" s="63" t="str">
        <f ca="1">IF(design_loads!$E$8="","",IF($AI93&gt;INDEX($AG$3:$AG$16,MATCH(design_loads!$E$8,$AE$3:$AE$16)),"&lt;scroll up&gt;",OFFSET(OFFSET('NBCC_C-2'!$B$1,INDEX($AF$3:$AF$16,MATCH(design_loads!$E$8,$AE$3:$AE$16))-1,0),$AI93-1,0)))</f>
        <v/>
      </c>
    </row>
    <row r="94" spans="2:39" x14ac:dyDescent="0.2">
      <c r="B94" s="66" t="s">
        <v>416</v>
      </c>
      <c r="C94" s="67" t="s">
        <v>247</v>
      </c>
      <c r="D94" s="68">
        <v>90</v>
      </c>
      <c r="F94" s="66" t="s">
        <v>417</v>
      </c>
      <c r="G94" s="67" t="s">
        <v>267</v>
      </c>
      <c r="H94" s="68">
        <v>5</v>
      </c>
      <c r="I94" s="70">
        <v>15</v>
      </c>
      <c r="J94" s="70">
        <v>-45</v>
      </c>
      <c r="K94" s="70">
        <v>-46</v>
      </c>
      <c r="L94" s="70">
        <v>16</v>
      </c>
      <c r="M94" s="70">
        <v>13</v>
      </c>
      <c r="N94" s="70">
        <v>12000</v>
      </c>
      <c r="O94" s="70">
        <v>3</v>
      </c>
      <c r="P94" s="71">
        <v>38</v>
      </c>
      <c r="Q94" s="71">
        <v>70</v>
      </c>
      <c r="R94" s="72">
        <v>0.89</v>
      </c>
      <c r="S94" s="71">
        <v>140</v>
      </c>
      <c r="T94" s="71">
        <v>100</v>
      </c>
      <c r="U94" s="73">
        <v>1.6</v>
      </c>
      <c r="V94" s="73">
        <v>0.1</v>
      </c>
      <c r="W94" s="72">
        <v>0.41</v>
      </c>
      <c r="X94" s="72">
        <v>0.54</v>
      </c>
      <c r="Y94" s="72">
        <v>0.12</v>
      </c>
      <c r="Z94" s="74">
        <v>5.6000000000000001E-2</v>
      </c>
      <c r="AA94" s="74">
        <v>2.3E-2</v>
      </c>
      <c r="AB94" s="74">
        <v>6.0000000000000001E-3</v>
      </c>
      <c r="AC94" s="74">
        <v>5.8999999999999997E-2</v>
      </c>
      <c r="AE94" s="59"/>
      <c r="AF94" s="59"/>
      <c r="AG94" s="59"/>
      <c r="AH94" s="59"/>
      <c r="AI94" s="62">
        <v>92</v>
      </c>
      <c r="AJ94" s="63" t="str">
        <f ca="1">IF(design_loads!$E$5="","",IF($AI94&gt;INDEX($AG$3:$AG$16,MATCH(design_loads!$E$5,$AE$3:$AE$16)),"&lt;scroll up&gt;",OFFSET(OFFSET('NBCC_C-2'!$B$1,INDEX($AF$3:$AF$16,MATCH(design_loads!$E$5,$AE$3:$AE$16))-1,0),$AI94-1,0)))</f>
        <v>&lt;scroll up&gt;</v>
      </c>
      <c r="AK94" s="63" t="str">
        <f ca="1">IF(design_loads!$E$6="","",IF($AI94&gt;INDEX($AG$3:$AG$16,MATCH(design_loads!$E$6,$AE$3:$AE$16)),"&lt;scroll up&gt;",OFFSET(OFFSET('NBCC_C-2'!$B$1,INDEX($AF$3:$AF$16,MATCH(design_loads!$E$6,$AE$3:$AE$16))-1,0),$AI94-1,0)))</f>
        <v/>
      </c>
      <c r="AL94" s="63" t="str">
        <f ca="1">IF(design_loads!$E$7="","",IF($AI94&gt;INDEX($AG$3:$AG$16,MATCH(design_loads!$E$7,$AE$3:$AE$16)),"&lt;scroll up&gt;",OFFSET(OFFSET('NBCC_C-2'!$B$1,INDEX($AF$3:$AF$16,MATCH(design_loads!$E$7,$AE$3:$AE$16))-1,0),$AI94-1,0)))</f>
        <v/>
      </c>
      <c r="AM94" s="63" t="str">
        <f ca="1">IF(design_loads!$E$8="","",IF($AI94&gt;INDEX($AG$3:$AG$16,MATCH(design_loads!$E$8,$AE$3:$AE$16)),"&lt;scroll up&gt;",OFFSET(OFFSET('NBCC_C-2'!$B$1,INDEX($AF$3:$AF$16,MATCH(design_loads!$E$8,$AE$3:$AE$16))-1,0),$AI94-1,0)))</f>
        <v/>
      </c>
    </row>
    <row r="95" spans="2:39" x14ac:dyDescent="0.2">
      <c r="B95" s="66" t="s">
        <v>418</v>
      </c>
      <c r="C95" s="67" t="s">
        <v>247</v>
      </c>
      <c r="D95" s="68">
        <v>91</v>
      </c>
      <c r="F95" s="66" t="s">
        <v>419</v>
      </c>
      <c r="G95" s="67" t="s">
        <v>224</v>
      </c>
      <c r="H95" s="68">
        <v>10</v>
      </c>
      <c r="I95" s="70">
        <v>20</v>
      </c>
      <c r="J95" s="70">
        <v>-7</v>
      </c>
      <c r="K95" s="70">
        <v>-9</v>
      </c>
      <c r="L95" s="70">
        <v>26</v>
      </c>
      <c r="M95" s="70">
        <v>18</v>
      </c>
      <c r="N95" s="70">
        <v>3400</v>
      </c>
      <c r="O95" s="70">
        <v>10</v>
      </c>
      <c r="P95" s="71">
        <v>123</v>
      </c>
      <c r="Q95" s="71">
        <v>1500</v>
      </c>
      <c r="R95" s="72">
        <v>1.59</v>
      </c>
      <c r="S95" s="71">
        <v>1600</v>
      </c>
      <c r="T95" s="71">
        <v>260</v>
      </c>
      <c r="U95" s="73">
        <v>3.3</v>
      </c>
      <c r="V95" s="73">
        <v>0.4</v>
      </c>
      <c r="W95" s="72">
        <v>0.46</v>
      </c>
      <c r="X95" s="72">
        <v>0.64</v>
      </c>
      <c r="Y95" s="72">
        <v>0.62</v>
      </c>
      <c r="Z95" s="74">
        <v>0.46</v>
      </c>
      <c r="AA95" s="74">
        <v>0.28000000000000003</v>
      </c>
      <c r="AB95" s="74">
        <v>0.15</v>
      </c>
      <c r="AC95" s="74">
        <v>0.28000000000000003</v>
      </c>
      <c r="AE95" s="59"/>
      <c r="AF95" s="59"/>
      <c r="AG95" s="59"/>
      <c r="AH95" s="59"/>
      <c r="AI95" s="62">
        <v>93</v>
      </c>
      <c r="AJ95" s="63" t="str">
        <f ca="1">IF(design_loads!$E$5="","",IF($AI95&gt;INDEX($AG$3:$AG$16,MATCH(design_loads!$E$5,$AE$3:$AE$16)),"&lt;scroll up&gt;",OFFSET(OFFSET('NBCC_C-2'!$B$1,INDEX($AF$3:$AF$16,MATCH(design_loads!$E$5,$AE$3:$AE$16))-1,0),$AI95-1,0)))</f>
        <v>&lt;scroll up&gt;</v>
      </c>
      <c r="AK95" s="63" t="str">
        <f ca="1">IF(design_loads!$E$6="","",IF($AI95&gt;INDEX($AG$3:$AG$16,MATCH(design_loads!$E$6,$AE$3:$AE$16)),"&lt;scroll up&gt;",OFFSET(OFFSET('NBCC_C-2'!$B$1,INDEX($AF$3:$AF$16,MATCH(design_loads!$E$6,$AE$3:$AE$16))-1,0),$AI95-1,0)))</f>
        <v/>
      </c>
      <c r="AL95" s="63" t="str">
        <f ca="1">IF(design_loads!$E$7="","",IF($AI95&gt;INDEX($AG$3:$AG$16,MATCH(design_loads!$E$7,$AE$3:$AE$16)),"&lt;scroll up&gt;",OFFSET(OFFSET('NBCC_C-2'!$B$1,INDEX($AF$3:$AF$16,MATCH(design_loads!$E$7,$AE$3:$AE$16))-1,0),$AI95-1,0)))</f>
        <v/>
      </c>
      <c r="AM95" s="63" t="str">
        <f ca="1">IF(design_loads!$E$8="","",IF($AI95&gt;INDEX($AG$3:$AG$16,MATCH(design_loads!$E$8,$AE$3:$AE$16)),"&lt;scroll up&gt;",OFFSET(OFFSET('NBCC_C-2'!$B$1,INDEX($AF$3:$AF$16,MATCH(design_loads!$E$8,$AE$3:$AE$16))-1,0),$AI95-1,0)))</f>
        <v/>
      </c>
    </row>
    <row r="96" spans="2:39" x14ac:dyDescent="0.2">
      <c r="B96" s="66" t="s">
        <v>420</v>
      </c>
      <c r="C96" s="67" t="s">
        <v>247</v>
      </c>
      <c r="D96" s="68">
        <v>92</v>
      </c>
      <c r="F96" s="66" t="s">
        <v>421</v>
      </c>
      <c r="G96" s="67" t="s">
        <v>264</v>
      </c>
      <c r="H96" s="68">
        <v>26</v>
      </c>
      <c r="I96" s="70">
        <v>150</v>
      </c>
      <c r="J96" s="70">
        <v>-23</v>
      </c>
      <c r="K96" s="70">
        <v>-26</v>
      </c>
      <c r="L96" s="70">
        <v>30</v>
      </c>
      <c r="M96" s="70">
        <v>23</v>
      </c>
      <c r="N96" s="70">
        <v>4450</v>
      </c>
      <c r="O96" s="70">
        <v>25</v>
      </c>
      <c r="P96" s="71">
        <v>97</v>
      </c>
      <c r="Q96" s="71">
        <v>730</v>
      </c>
      <c r="R96" s="72">
        <v>0.85</v>
      </c>
      <c r="S96" s="71">
        <v>850</v>
      </c>
      <c r="T96" s="71">
        <v>160</v>
      </c>
      <c r="U96" s="73">
        <v>1.7</v>
      </c>
      <c r="V96" s="73">
        <v>0.4</v>
      </c>
      <c r="W96" s="72">
        <v>0.28999999999999998</v>
      </c>
      <c r="X96" s="72">
        <v>0.41</v>
      </c>
      <c r="Y96" s="72">
        <v>0.23</v>
      </c>
      <c r="Z96" s="74">
        <v>0.13</v>
      </c>
      <c r="AA96" s="74">
        <v>6.7000000000000004E-2</v>
      </c>
      <c r="AB96" s="74">
        <v>1.9E-2</v>
      </c>
      <c r="AC96" s="74">
        <v>0.12</v>
      </c>
      <c r="AE96" s="59"/>
      <c r="AF96" s="59"/>
      <c r="AG96" s="59"/>
      <c r="AH96" s="59"/>
      <c r="AI96" s="62">
        <v>94</v>
      </c>
      <c r="AJ96" s="63" t="str">
        <f ca="1">IF(design_loads!$E$5="","",IF($AI96&gt;INDEX($AG$3:$AG$16,MATCH(design_loads!$E$5,$AE$3:$AE$16)),"&lt;scroll up&gt;",OFFSET(OFFSET('NBCC_C-2'!$B$1,INDEX($AF$3:$AF$16,MATCH(design_loads!$E$5,$AE$3:$AE$16))-1,0),$AI96-1,0)))</f>
        <v>&lt;scroll up&gt;</v>
      </c>
      <c r="AK96" s="63" t="str">
        <f ca="1">IF(design_loads!$E$6="","",IF($AI96&gt;INDEX($AG$3:$AG$16,MATCH(design_loads!$E$6,$AE$3:$AE$16)),"&lt;scroll up&gt;",OFFSET(OFFSET('NBCC_C-2'!$B$1,INDEX($AF$3:$AF$16,MATCH(design_loads!$E$6,$AE$3:$AE$16))-1,0),$AI96-1,0)))</f>
        <v/>
      </c>
      <c r="AL96" s="63" t="str">
        <f ca="1">IF(design_loads!$E$7="","",IF($AI96&gt;INDEX($AG$3:$AG$16,MATCH(design_loads!$E$7,$AE$3:$AE$16)),"&lt;scroll up&gt;",OFFSET(OFFSET('NBCC_C-2'!$B$1,INDEX($AF$3:$AF$16,MATCH(design_loads!$E$7,$AE$3:$AE$16))-1,0),$AI96-1,0)))</f>
        <v/>
      </c>
      <c r="AM96" s="63" t="str">
        <f ca="1">IF(design_loads!$E$8="","",IF($AI96&gt;INDEX($AG$3:$AG$16,MATCH(design_loads!$E$8,$AE$3:$AE$16)),"&lt;scroll up&gt;",OFFSET(OFFSET('NBCC_C-2'!$B$1,INDEX($AF$3:$AF$16,MATCH(design_loads!$E$8,$AE$3:$AE$16))-1,0),$AI96-1,0)))</f>
        <v/>
      </c>
    </row>
    <row r="97" spans="2:39" x14ac:dyDescent="0.2">
      <c r="B97" s="66" t="s">
        <v>422</v>
      </c>
      <c r="C97" s="67" t="s">
        <v>247</v>
      </c>
      <c r="D97" s="68">
        <v>93</v>
      </c>
      <c r="F97" s="66" t="s">
        <v>423</v>
      </c>
      <c r="G97" s="67" t="s">
        <v>257</v>
      </c>
      <c r="H97" s="68">
        <v>15</v>
      </c>
      <c r="I97" s="70">
        <v>115</v>
      </c>
      <c r="J97" s="70">
        <v>-28</v>
      </c>
      <c r="K97" s="70">
        <v>-30</v>
      </c>
      <c r="L97" s="70">
        <v>30</v>
      </c>
      <c r="M97" s="70">
        <v>23</v>
      </c>
      <c r="N97" s="70">
        <v>5000</v>
      </c>
      <c r="O97" s="70">
        <v>23</v>
      </c>
      <c r="P97" s="71">
        <v>102</v>
      </c>
      <c r="Q97" s="71">
        <v>700</v>
      </c>
      <c r="R97" s="72">
        <v>0.83</v>
      </c>
      <c r="S97" s="71">
        <v>850</v>
      </c>
      <c r="T97" s="71">
        <v>140</v>
      </c>
      <c r="U97" s="73">
        <v>2.6</v>
      </c>
      <c r="V97" s="73">
        <v>0.4</v>
      </c>
      <c r="W97" s="72">
        <v>0.24</v>
      </c>
      <c r="X97" s="72">
        <v>0.32</v>
      </c>
      <c r="Y97" s="72">
        <v>0.67</v>
      </c>
      <c r="Z97" s="74">
        <v>0.32</v>
      </c>
      <c r="AA97" s="74">
        <v>0.13</v>
      </c>
      <c r="AB97" s="74">
        <v>4.3999999999999997E-2</v>
      </c>
      <c r="AC97" s="74">
        <v>0.42</v>
      </c>
      <c r="AE97" s="59"/>
      <c r="AF97" s="59"/>
      <c r="AG97" s="59"/>
      <c r="AH97" s="59"/>
      <c r="AI97" s="62">
        <v>95</v>
      </c>
      <c r="AJ97" s="63" t="str">
        <f ca="1">IF(design_loads!$E$5="","",IF($AI97&gt;INDEX($AG$3:$AG$16,MATCH(design_loads!$E$5,$AE$3:$AE$16)),"&lt;scroll up&gt;",OFFSET(OFFSET('NBCC_C-2'!$B$1,INDEX($AF$3:$AF$16,MATCH(design_loads!$E$5,$AE$3:$AE$16))-1,0),$AI97-1,0)))</f>
        <v>&lt;scroll up&gt;</v>
      </c>
      <c r="AK97" s="63" t="str">
        <f ca="1">IF(design_loads!$E$6="","",IF($AI97&gt;INDEX($AG$3:$AG$16,MATCH(design_loads!$E$6,$AE$3:$AE$16)),"&lt;scroll up&gt;",OFFSET(OFFSET('NBCC_C-2'!$B$1,INDEX($AF$3:$AF$16,MATCH(design_loads!$E$6,$AE$3:$AE$16))-1,0),$AI97-1,0)))</f>
        <v/>
      </c>
      <c r="AL97" s="63" t="str">
        <f ca="1">IF(design_loads!$E$7="","",IF($AI97&gt;INDEX($AG$3:$AG$16,MATCH(design_loads!$E$7,$AE$3:$AE$16)),"&lt;scroll up&gt;",OFFSET(OFFSET('NBCC_C-2'!$B$1,INDEX($AF$3:$AF$16,MATCH(design_loads!$E$7,$AE$3:$AE$16))-1,0),$AI97-1,0)))</f>
        <v/>
      </c>
      <c r="AM97" s="63" t="str">
        <f ca="1">IF(design_loads!$E$8="","",IF($AI97&gt;INDEX($AG$3:$AG$16,MATCH(design_loads!$E$8,$AE$3:$AE$16)),"&lt;scroll up&gt;",OFFSET(OFFSET('NBCC_C-2'!$B$1,INDEX($AF$3:$AF$16,MATCH(design_loads!$E$8,$AE$3:$AE$16))-1,0),$AI97-1,0)))</f>
        <v/>
      </c>
    </row>
    <row r="98" spans="2:39" x14ac:dyDescent="0.2">
      <c r="B98" s="66" t="s">
        <v>424</v>
      </c>
      <c r="C98" s="67" t="s">
        <v>247</v>
      </c>
      <c r="D98" s="68">
        <v>94</v>
      </c>
      <c r="F98" s="66" t="s">
        <v>425</v>
      </c>
      <c r="G98" s="67" t="s">
        <v>254</v>
      </c>
      <c r="H98" s="68">
        <v>3</v>
      </c>
      <c r="I98" s="70">
        <v>30</v>
      </c>
      <c r="J98" s="70">
        <v>-26</v>
      </c>
      <c r="K98" s="70">
        <v>-28</v>
      </c>
      <c r="L98" s="70">
        <v>29</v>
      </c>
      <c r="M98" s="70">
        <v>22</v>
      </c>
      <c r="N98" s="70">
        <v>5500</v>
      </c>
      <c r="O98" s="70">
        <v>20</v>
      </c>
      <c r="P98" s="71">
        <v>107</v>
      </c>
      <c r="Q98" s="71">
        <v>725</v>
      </c>
      <c r="R98" s="72">
        <v>0.93</v>
      </c>
      <c r="S98" s="71">
        <v>1025</v>
      </c>
      <c r="T98" s="71">
        <v>180</v>
      </c>
      <c r="U98" s="73">
        <v>3.6</v>
      </c>
      <c r="V98" s="73">
        <v>0.4</v>
      </c>
      <c r="W98" s="72">
        <v>0.37</v>
      </c>
      <c r="X98" s="72">
        <v>0.53</v>
      </c>
      <c r="Y98" s="72">
        <v>0.39</v>
      </c>
      <c r="Z98" s="74">
        <v>0.21</v>
      </c>
      <c r="AA98" s="74">
        <v>9.5000000000000001E-2</v>
      </c>
      <c r="AB98" s="74">
        <v>3.1E-2</v>
      </c>
      <c r="AC98" s="74">
        <v>0.26</v>
      </c>
      <c r="AE98" s="59"/>
      <c r="AF98" s="59"/>
      <c r="AG98" s="59"/>
      <c r="AH98" s="59"/>
      <c r="AI98" s="62">
        <v>96</v>
      </c>
      <c r="AJ98" s="63" t="str">
        <f ca="1">IF(design_loads!$E$5="","",IF($AI98&gt;INDEX($AG$3:$AG$16,MATCH(design_loads!$E$5,$AE$3:$AE$16)),"&lt;scroll up&gt;",OFFSET(OFFSET('NBCC_C-2'!$B$1,INDEX($AF$3:$AF$16,MATCH(design_loads!$E$5,$AE$3:$AE$16))-1,0),$AI98-1,0)))</f>
        <v>&lt;scroll up&gt;</v>
      </c>
      <c r="AK98" s="63" t="str">
        <f ca="1">IF(design_loads!$E$6="","",IF($AI98&gt;INDEX($AG$3:$AG$16,MATCH(design_loads!$E$6,$AE$3:$AE$16)),"&lt;scroll up&gt;",OFFSET(OFFSET('NBCC_C-2'!$B$1,INDEX($AF$3:$AF$16,MATCH(design_loads!$E$6,$AE$3:$AE$16))-1,0),$AI98-1,0)))</f>
        <v/>
      </c>
      <c r="AL98" s="63" t="str">
        <f ca="1">IF(design_loads!$E$7="","",IF($AI98&gt;INDEX($AG$3:$AG$16,MATCH(design_loads!$E$7,$AE$3:$AE$16)),"&lt;scroll up&gt;",OFFSET(OFFSET('NBCC_C-2'!$B$1,INDEX($AF$3:$AF$16,MATCH(design_loads!$E$7,$AE$3:$AE$16))-1,0),$AI98-1,0)))</f>
        <v/>
      </c>
      <c r="AM98" s="63" t="str">
        <f ca="1">IF(design_loads!$E$8="","",IF($AI98&gt;INDEX($AG$3:$AG$16,MATCH(design_loads!$E$8,$AE$3:$AE$16)),"&lt;scroll up&gt;",OFFSET(OFFSET('NBCC_C-2'!$B$1,INDEX($AF$3:$AF$16,MATCH(design_loads!$E$8,$AE$3:$AE$16))-1,0),$AI98-1,0)))</f>
        <v/>
      </c>
    </row>
    <row r="99" spans="2:39" x14ac:dyDescent="0.2">
      <c r="B99" s="66" t="s">
        <v>426</v>
      </c>
      <c r="C99" s="67" t="s">
        <v>247</v>
      </c>
      <c r="D99" s="68">
        <v>95</v>
      </c>
      <c r="F99" s="66" t="s">
        <v>296</v>
      </c>
      <c r="G99" s="67" t="s">
        <v>247</v>
      </c>
      <c r="H99" s="68">
        <v>21</v>
      </c>
      <c r="I99" s="76">
        <v>660</v>
      </c>
      <c r="J99" s="70">
        <v>-34</v>
      </c>
      <c r="K99" s="70">
        <v>-37</v>
      </c>
      <c r="L99" s="70">
        <v>28</v>
      </c>
      <c r="M99" s="70">
        <v>19</v>
      </c>
      <c r="N99" s="76">
        <v>6000</v>
      </c>
      <c r="O99" s="76">
        <v>20</v>
      </c>
      <c r="P99" s="77">
        <v>86</v>
      </c>
      <c r="Q99" s="77">
        <v>375</v>
      </c>
      <c r="R99" s="72">
        <v>0.57999999999999996</v>
      </c>
      <c r="S99" s="77">
        <v>475</v>
      </c>
      <c r="T99" s="77">
        <v>100</v>
      </c>
      <c r="U99" s="73">
        <v>1.7</v>
      </c>
      <c r="V99" s="73">
        <v>0.1</v>
      </c>
      <c r="W99" s="72">
        <v>0.32</v>
      </c>
      <c r="X99" s="72">
        <v>0.44</v>
      </c>
      <c r="Y99" s="72">
        <v>0.12</v>
      </c>
      <c r="Z99" s="74">
        <v>5.6000000000000001E-2</v>
      </c>
      <c r="AA99" s="74">
        <v>2.3E-2</v>
      </c>
      <c r="AB99" s="74">
        <v>8.9999999999999993E-3</v>
      </c>
      <c r="AC99" s="74">
        <v>5.8999999999999997E-2</v>
      </c>
      <c r="AE99" s="59"/>
      <c r="AF99" s="59"/>
      <c r="AG99" s="59"/>
      <c r="AH99" s="59"/>
      <c r="AI99" s="62">
        <v>97</v>
      </c>
      <c r="AJ99" s="63" t="str">
        <f ca="1">IF(design_loads!$E$5="","",IF($AI99&gt;INDEX($AG$3:$AG$16,MATCH(design_loads!$E$5,$AE$3:$AE$16)),"&lt;scroll up&gt;",OFFSET(OFFSET('NBCC_C-2'!$B$1,INDEX($AF$3:$AF$16,MATCH(design_loads!$E$5,$AE$3:$AE$16))-1,0),$AI99-1,0)))</f>
        <v>&lt;scroll up&gt;</v>
      </c>
      <c r="AK99" s="63" t="str">
        <f ca="1">IF(design_loads!$E$6="","",IF($AI99&gt;INDEX($AG$3:$AG$16,MATCH(design_loads!$E$6,$AE$3:$AE$16)),"&lt;scroll up&gt;",OFFSET(OFFSET('NBCC_C-2'!$B$1,INDEX($AF$3:$AF$16,MATCH(design_loads!$E$6,$AE$3:$AE$16))-1,0),$AI99-1,0)))</f>
        <v/>
      </c>
      <c r="AL99" s="63" t="str">
        <f ca="1">IF(design_loads!$E$7="","",IF($AI99&gt;INDEX($AG$3:$AG$16,MATCH(design_loads!$E$7,$AE$3:$AE$16)),"&lt;scroll up&gt;",OFFSET(OFFSET('NBCC_C-2'!$B$1,INDEX($AF$3:$AF$16,MATCH(design_loads!$E$7,$AE$3:$AE$16))-1,0),$AI99-1,0)))</f>
        <v/>
      </c>
      <c r="AM99" s="63" t="str">
        <f ca="1">IF(design_loads!$E$8="","",IF($AI99&gt;INDEX($AG$3:$AG$16,MATCH(design_loads!$E$8,$AE$3:$AE$16)),"&lt;scroll up&gt;",OFFSET(OFFSET('NBCC_C-2'!$B$1,INDEX($AF$3:$AF$16,MATCH(design_loads!$E$8,$AE$3:$AE$16))-1,0),$AI99-1,0)))</f>
        <v/>
      </c>
    </row>
    <row r="100" spans="2:39" x14ac:dyDescent="0.2">
      <c r="B100" s="66" t="s">
        <v>427</v>
      </c>
      <c r="C100" s="67" t="s">
        <v>247</v>
      </c>
      <c r="D100" s="68">
        <v>96</v>
      </c>
      <c r="F100" s="66" t="s">
        <v>298</v>
      </c>
      <c r="G100" s="67" t="s">
        <v>247</v>
      </c>
      <c r="H100" s="68">
        <v>22</v>
      </c>
      <c r="I100" s="76">
        <v>740</v>
      </c>
      <c r="J100" s="70">
        <v>-33</v>
      </c>
      <c r="K100" s="70">
        <v>-35</v>
      </c>
      <c r="L100" s="70">
        <v>29</v>
      </c>
      <c r="M100" s="70">
        <v>19</v>
      </c>
      <c r="N100" s="76">
        <v>5700</v>
      </c>
      <c r="O100" s="76">
        <v>20</v>
      </c>
      <c r="P100" s="77">
        <v>92</v>
      </c>
      <c r="Q100" s="77">
        <v>355</v>
      </c>
      <c r="R100" s="72">
        <v>0.54</v>
      </c>
      <c r="S100" s="77">
        <v>470</v>
      </c>
      <c r="T100" s="77">
        <v>160</v>
      </c>
      <c r="U100" s="73">
        <v>2</v>
      </c>
      <c r="V100" s="73">
        <v>0.1</v>
      </c>
      <c r="W100" s="72">
        <v>0.3</v>
      </c>
      <c r="X100" s="72">
        <v>0.4</v>
      </c>
      <c r="Y100" s="72">
        <v>0.12</v>
      </c>
      <c r="Z100" s="74">
        <v>5.6000000000000001E-2</v>
      </c>
      <c r="AA100" s="74">
        <v>2.3E-2</v>
      </c>
      <c r="AB100" s="74">
        <v>7.0000000000000001E-3</v>
      </c>
      <c r="AC100" s="74">
        <v>5.8999999999999997E-2</v>
      </c>
      <c r="AE100" s="59"/>
      <c r="AF100" s="59"/>
      <c r="AG100" s="59"/>
      <c r="AH100" s="59"/>
      <c r="AI100" s="62">
        <v>98</v>
      </c>
      <c r="AJ100" s="63" t="str">
        <f ca="1">IF(design_loads!$E$5="","",IF($AI100&gt;INDEX($AG$3:$AG$16,MATCH(design_loads!$E$5,$AE$3:$AE$16)),"&lt;scroll up&gt;",OFFSET(OFFSET('NBCC_C-2'!$B$1,INDEX($AF$3:$AF$16,MATCH(design_loads!$E$5,$AE$3:$AE$16))-1,0),$AI100-1,0)))</f>
        <v>&lt;scroll up&gt;</v>
      </c>
      <c r="AK100" s="63" t="str">
        <f ca="1">IF(design_loads!$E$6="","",IF($AI100&gt;INDEX($AG$3:$AG$16,MATCH(design_loads!$E$6,$AE$3:$AE$16)),"&lt;scroll up&gt;",OFFSET(OFFSET('NBCC_C-2'!$B$1,INDEX($AF$3:$AF$16,MATCH(design_loads!$E$6,$AE$3:$AE$16))-1,0),$AI100-1,0)))</f>
        <v/>
      </c>
      <c r="AL100" s="63" t="str">
        <f ca="1">IF(design_loads!$E$7="","",IF($AI100&gt;INDEX($AG$3:$AG$16,MATCH(design_loads!$E$7,$AE$3:$AE$16)),"&lt;scroll up&gt;",OFFSET(OFFSET('NBCC_C-2'!$B$1,INDEX($AF$3:$AF$16,MATCH(design_loads!$E$7,$AE$3:$AE$16))-1,0),$AI100-1,0)))</f>
        <v/>
      </c>
      <c r="AM100" s="63" t="str">
        <f ca="1">IF(design_loads!$E$8="","",IF($AI100&gt;INDEX($AG$3:$AG$16,MATCH(design_loads!$E$8,$AE$3:$AE$16)),"&lt;scroll up&gt;",OFFSET(OFFSET('NBCC_C-2'!$B$1,INDEX($AF$3:$AF$16,MATCH(design_loads!$E$8,$AE$3:$AE$16))-1,0),$AI100-1,0)))</f>
        <v/>
      </c>
    </row>
    <row r="101" spans="2:39" x14ac:dyDescent="0.2">
      <c r="B101" s="66" t="s">
        <v>428</v>
      </c>
      <c r="C101" s="67" t="s">
        <v>247</v>
      </c>
      <c r="D101" s="68">
        <v>97</v>
      </c>
      <c r="F101" s="66" t="s">
        <v>300</v>
      </c>
      <c r="G101" s="67" t="s">
        <v>247</v>
      </c>
      <c r="H101" s="68">
        <v>23</v>
      </c>
      <c r="I101" s="76">
        <v>1375</v>
      </c>
      <c r="J101" s="70">
        <v>-31</v>
      </c>
      <c r="K101" s="70">
        <v>-32</v>
      </c>
      <c r="L101" s="70">
        <v>27</v>
      </c>
      <c r="M101" s="70">
        <v>17</v>
      </c>
      <c r="N101" s="76">
        <v>5500</v>
      </c>
      <c r="O101" s="76">
        <v>18</v>
      </c>
      <c r="P101" s="77">
        <v>65</v>
      </c>
      <c r="Q101" s="77">
        <v>325</v>
      </c>
      <c r="R101" s="72">
        <v>0.56999999999999995</v>
      </c>
      <c r="S101" s="77">
        <v>500</v>
      </c>
      <c r="T101" s="77">
        <v>120</v>
      </c>
      <c r="U101" s="73">
        <v>3.5</v>
      </c>
      <c r="V101" s="73">
        <v>0.1</v>
      </c>
      <c r="W101" s="72">
        <v>0.37</v>
      </c>
      <c r="X101" s="72">
        <v>0.5</v>
      </c>
      <c r="Y101" s="72">
        <v>0.24</v>
      </c>
      <c r="Z101" s="74">
        <v>0.14000000000000001</v>
      </c>
      <c r="AA101" s="74">
        <v>7.0000000000000007E-2</v>
      </c>
      <c r="AB101" s="74">
        <v>0.04</v>
      </c>
      <c r="AC101" s="74">
        <v>0.12</v>
      </c>
      <c r="AE101" s="59"/>
      <c r="AF101" s="59"/>
      <c r="AG101" s="59"/>
      <c r="AH101" s="59"/>
      <c r="AI101" s="62">
        <v>99</v>
      </c>
      <c r="AJ101" s="63" t="str">
        <f ca="1">IF(design_loads!$E$5="","",IF($AI101&gt;INDEX($AG$3:$AG$16,MATCH(design_loads!$E$5,$AE$3:$AE$16)),"&lt;scroll up&gt;",OFFSET(OFFSET('NBCC_C-2'!$B$1,INDEX($AF$3:$AF$16,MATCH(design_loads!$E$5,$AE$3:$AE$16))-1,0),$AI101-1,0)))</f>
        <v>&lt;scroll up&gt;</v>
      </c>
      <c r="AK101" s="63" t="str">
        <f ca="1">IF(design_loads!$E$6="","",IF($AI101&gt;INDEX($AG$3:$AG$16,MATCH(design_loads!$E$6,$AE$3:$AE$16)),"&lt;scroll up&gt;",OFFSET(OFFSET('NBCC_C-2'!$B$1,INDEX($AF$3:$AF$16,MATCH(design_loads!$E$6,$AE$3:$AE$16))-1,0),$AI101-1,0)))</f>
        <v/>
      </c>
      <c r="AL101" s="63" t="str">
        <f ca="1">IF(design_loads!$E$7="","",IF($AI101&gt;INDEX($AG$3:$AG$16,MATCH(design_loads!$E$7,$AE$3:$AE$16)),"&lt;scroll up&gt;",OFFSET(OFFSET('NBCC_C-2'!$B$1,INDEX($AF$3:$AF$16,MATCH(design_loads!$E$7,$AE$3:$AE$16))-1,0),$AI101-1,0)))</f>
        <v/>
      </c>
      <c r="AM101" s="63" t="str">
        <f ca="1">IF(design_loads!$E$8="","",IF($AI101&gt;INDEX($AG$3:$AG$16,MATCH(design_loads!$E$8,$AE$3:$AE$16)),"&lt;scroll up&gt;",OFFSET(OFFSET('NBCC_C-2'!$B$1,INDEX($AF$3:$AF$16,MATCH(design_loads!$E$8,$AE$3:$AE$16))-1,0),$AI101-1,0)))</f>
        <v/>
      </c>
    </row>
    <row r="102" spans="2:39" x14ac:dyDescent="0.2">
      <c r="B102" s="66" t="s">
        <v>429</v>
      </c>
      <c r="C102" s="67" t="s">
        <v>247</v>
      </c>
      <c r="D102" s="68">
        <v>98</v>
      </c>
      <c r="F102" s="66" t="s">
        <v>430</v>
      </c>
      <c r="G102" s="67" t="s">
        <v>264</v>
      </c>
      <c r="H102" s="68">
        <v>27</v>
      </c>
      <c r="I102" s="70">
        <v>255</v>
      </c>
      <c r="J102" s="70">
        <v>-24</v>
      </c>
      <c r="K102" s="70">
        <v>-26</v>
      </c>
      <c r="L102" s="70">
        <v>30</v>
      </c>
      <c r="M102" s="70">
        <v>23</v>
      </c>
      <c r="N102" s="70">
        <v>4550</v>
      </c>
      <c r="O102" s="70">
        <v>28</v>
      </c>
      <c r="P102" s="71">
        <v>108</v>
      </c>
      <c r="Q102" s="71">
        <v>740</v>
      </c>
      <c r="R102" s="72">
        <v>0.85</v>
      </c>
      <c r="S102" s="71">
        <v>950</v>
      </c>
      <c r="T102" s="71">
        <v>120</v>
      </c>
      <c r="U102" s="73">
        <v>2.2000000000000002</v>
      </c>
      <c r="V102" s="73">
        <v>0.4</v>
      </c>
      <c r="W102" s="72">
        <v>0.24</v>
      </c>
      <c r="X102" s="72">
        <v>0.36</v>
      </c>
      <c r="Y102" s="72">
        <v>0.17</v>
      </c>
      <c r="Z102" s="74">
        <v>0.1</v>
      </c>
      <c r="AA102" s="74">
        <v>5.3999999999999999E-2</v>
      </c>
      <c r="AB102" s="74">
        <v>1.4999999999999999E-2</v>
      </c>
      <c r="AC102" s="74">
        <v>8.1000000000000003E-2</v>
      </c>
      <c r="AE102" s="59"/>
      <c r="AF102" s="59"/>
      <c r="AG102" s="59"/>
      <c r="AH102" s="59"/>
      <c r="AI102" s="62">
        <v>100</v>
      </c>
      <c r="AJ102" s="63" t="str">
        <f ca="1">IF(design_loads!$E$5="","",IF($AI102&gt;INDEX($AG$3:$AG$16,MATCH(design_loads!$E$5,$AE$3:$AE$16)),"&lt;scroll up&gt;",OFFSET(OFFSET('NBCC_C-2'!$B$1,INDEX($AF$3:$AF$16,MATCH(design_loads!$E$5,$AE$3:$AE$16))-1,0),$AI102-1,0)))</f>
        <v>&lt;scroll up&gt;</v>
      </c>
      <c r="AK102" s="63" t="str">
        <f ca="1">IF(design_loads!$E$6="","",IF($AI102&gt;INDEX($AG$3:$AG$16,MATCH(design_loads!$E$6,$AE$3:$AE$16)),"&lt;scroll up&gt;",OFFSET(OFFSET('NBCC_C-2'!$B$1,INDEX($AF$3:$AF$16,MATCH(design_loads!$E$6,$AE$3:$AE$16))-1,0),$AI102-1,0)))</f>
        <v/>
      </c>
      <c r="AL102" s="63" t="str">
        <f ca="1">IF(design_loads!$E$7="","",IF($AI102&gt;INDEX($AG$3:$AG$16,MATCH(design_loads!$E$7,$AE$3:$AE$16)),"&lt;scroll up&gt;",OFFSET(OFFSET('NBCC_C-2'!$B$1,INDEX($AF$3:$AF$16,MATCH(design_loads!$E$7,$AE$3:$AE$16))-1,0),$AI102-1,0)))</f>
        <v/>
      </c>
      <c r="AM102" s="63" t="str">
        <f ca="1">IF(design_loads!$E$8="","",IF($AI102&gt;INDEX($AG$3:$AG$16,MATCH(design_loads!$E$8,$AE$3:$AE$16)),"&lt;scroll up&gt;",OFFSET(OFFSET('NBCC_C-2'!$B$1,INDEX($AF$3:$AF$16,MATCH(design_loads!$E$8,$AE$3:$AE$16))-1,0),$AI102-1,0)))</f>
        <v/>
      </c>
    </row>
    <row r="103" spans="2:39" x14ac:dyDescent="0.2">
      <c r="B103" s="66" t="s">
        <v>431</v>
      </c>
      <c r="C103" s="67" t="s">
        <v>247</v>
      </c>
      <c r="D103" s="68">
        <v>99</v>
      </c>
      <c r="F103" s="66" t="s">
        <v>432</v>
      </c>
      <c r="G103" s="67" t="s">
        <v>261</v>
      </c>
      <c r="H103" s="68">
        <v>4</v>
      </c>
      <c r="I103" s="70">
        <v>5</v>
      </c>
      <c r="J103" s="70">
        <v>-17</v>
      </c>
      <c r="K103" s="70">
        <v>-19</v>
      </c>
      <c r="L103" s="70">
        <v>25</v>
      </c>
      <c r="M103" s="70">
        <v>20</v>
      </c>
      <c r="N103" s="70">
        <v>4500</v>
      </c>
      <c r="O103" s="70">
        <v>15</v>
      </c>
      <c r="P103" s="71">
        <v>123</v>
      </c>
      <c r="Q103" s="71">
        <v>1325</v>
      </c>
      <c r="R103" s="72">
        <v>1.48</v>
      </c>
      <c r="S103" s="71">
        <v>1400</v>
      </c>
      <c r="T103" s="71">
        <v>260</v>
      </c>
      <c r="U103" s="73">
        <v>1.7</v>
      </c>
      <c r="V103" s="73">
        <v>0.6</v>
      </c>
      <c r="W103" s="72">
        <v>0.49</v>
      </c>
      <c r="X103" s="72">
        <v>0.62</v>
      </c>
      <c r="Y103" s="72">
        <v>0.24</v>
      </c>
      <c r="Z103" s="74">
        <v>0.14000000000000001</v>
      </c>
      <c r="AA103" s="74">
        <v>7.0999999999999994E-2</v>
      </c>
      <c r="AB103" s="74">
        <v>0.02</v>
      </c>
      <c r="AC103" s="74">
        <v>0.13</v>
      </c>
      <c r="AE103" s="59"/>
      <c r="AF103" s="59"/>
      <c r="AG103" s="59"/>
      <c r="AH103" s="59"/>
      <c r="AI103" s="62">
        <v>101</v>
      </c>
      <c r="AJ103" s="63" t="str">
        <f ca="1">IF(design_loads!$E$5="","",IF($AI103&gt;INDEX($AG$3:$AG$16,MATCH(design_loads!$E$5,$AE$3:$AE$16)),"&lt;scroll up&gt;",OFFSET(OFFSET('NBCC_C-2'!$B$1,INDEX($AF$3:$AF$16,MATCH(design_loads!$E$5,$AE$3:$AE$16))-1,0),$AI103-1,0)))</f>
        <v>&lt;scroll up&gt;</v>
      </c>
      <c r="AK103" s="63" t="str">
        <f ca="1">IF(design_loads!$E$6="","",IF($AI103&gt;INDEX($AG$3:$AG$16,MATCH(design_loads!$E$6,$AE$3:$AE$16)),"&lt;scroll up&gt;",OFFSET(OFFSET('NBCC_C-2'!$B$1,INDEX($AF$3:$AF$16,MATCH(design_loads!$E$6,$AE$3:$AE$16))-1,0),$AI103-1,0)))</f>
        <v/>
      </c>
      <c r="AL103" s="63" t="str">
        <f ca="1">IF(design_loads!$E$7="","",IF($AI103&gt;INDEX($AG$3:$AG$16,MATCH(design_loads!$E$7,$AE$3:$AE$16)),"&lt;scroll up&gt;",OFFSET(OFFSET('NBCC_C-2'!$B$1,INDEX($AF$3:$AF$16,MATCH(design_loads!$E$7,$AE$3:$AE$16))-1,0),$AI103-1,0)))</f>
        <v/>
      </c>
      <c r="AM103" s="63" t="str">
        <f ca="1">IF(design_loads!$E$8="","",IF($AI103&gt;INDEX($AG$3:$AG$16,MATCH(design_loads!$E$8,$AE$3:$AE$16)),"&lt;scroll up&gt;",OFFSET(OFFSET('NBCC_C-2'!$B$1,INDEX($AF$3:$AF$16,MATCH(design_loads!$E$8,$AE$3:$AE$16))-1,0),$AI103-1,0)))</f>
        <v/>
      </c>
    </row>
    <row r="104" spans="2:39" x14ac:dyDescent="0.2">
      <c r="B104" s="66" t="s">
        <v>433</v>
      </c>
      <c r="C104" s="67" t="s">
        <v>247</v>
      </c>
      <c r="D104" s="68">
        <v>100</v>
      </c>
      <c r="F104" s="66" t="s">
        <v>434</v>
      </c>
      <c r="G104" s="67" t="s">
        <v>258</v>
      </c>
      <c r="H104" s="68">
        <v>4</v>
      </c>
      <c r="I104" s="70">
        <v>5</v>
      </c>
      <c r="J104" s="70">
        <v>-29</v>
      </c>
      <c r="K104" s="70">
        <v>-31</v>
      </c>
      <c r="L104" s="70">
        <v>27</v>
      </c>
      <c r="M104" s="70">
        <v>16</v>
      </c>
      <c r="N104" s="70">
        <v>6900</v>
      </c>
      <c r="O104" s="70">
        <v>15</v>
      </c>
      <c r="P104" s="71">
        <v>112</v>
      </c>
      <c r="Q104" s="71">
        <v>475</v>
      </c>
      <c r="R104" s="72">
        <v>0.94</v>
      </c>
      <c r="S104" s="71">
        <v>950</v>
      </c>
      <c r="T104" s="71">
        <v>350</v>
      </c>
      <c r="U104" s="73">
        <v>6.3</v>
      </c>
      <c r="V104" s="73">
        <v>0.4</v>
      </c>
      <c r="W104" s="72">
        <v>0.46</v>
      </c>
      <c r="X104" s="72">
        <v>0.6</v>
      </c>
      <c r="Y104" s="72">
        <v>0.24</v>
      </c>
      <c r="Z104" s="74">
        <v>0.14000000000000001</v>
      </c>
      <c r="AA104" s="74">
        <v>6.4000000000000001E-2</v>
      </c>
      <c r="AB104" s="74">
        <v>1.9E-2</v>
      </c>
      <c r="AC104" s="74">
        <v>0.11</v>
      </c>
      <c r="AE104" s="59"/>
      <c r="AF104" s="59"/>
      <c r="AG104" s="59"/>
      <c r="AH104" s="59"/>
      <c r="AI104" s="62">
        <v>102</v>
      </c>
      <c r="AJ104" s="63" t="str">
        <f ca="1">IF(design_loads!$E$5="","",IF($AI104&gt;INDEX($AG$3:$AG$16,MATCH(design_loads!$E$5,$AE$3:$AE$16)),"&lt;scroll up&gt;",OFFSET(OFFSET('NBCC_C-2'!$B$1,INDEX($AF$3:$AF$16,MATCH(design_loads!$E$5,$AE$3:$AE$16))-1,0),$AI104-1,0)))</f>
        <v>&lt;scroll up&gt;</v>
      </c>
      <c r="AK104" s="63" t="str">
        <f ca="1">IF(design_loads!$E$6="","",IF($AI104&gt;INDEX($AG$3:$AG$16,MATCH(design_loads!$E$6,$AE$3:$AE$16)),"&lt;scroll up&gt;",OFFSET(OFFSET('NBCC_C-2'!$B$1,INDEX($AF$3:$AF$16,MATCH(design_loads!$E$6,$AE$3:$AE$16))-1,0),$AI104-1,0)))</f>
        <v/>
      </c>
      <c r="AL104" s="63" t="str">
        <f ca="1">IF(design_loads!$E$7="","",IF($AI104&gt;INDEX($AG$3:$AG$16,MATCH(design_loads!$E$7,$AE$3:$AE$16)),"&lt;scroll up&gt;",OFFSET(OFFSET('NBCC_C-2'!$B$1,INDEX($AF$3:$AF$16,MATCH(design_loads!$E$7,$AE$3:$AE$16))-1,0),$AI104-1,0)))</f>
        <v/>
      </c>
      <c r="AM104" s="63" t="str">
        <f ca="1">IF(design_loads!$E$8="","",IF($AI104&gt;INDEX($AG$3:$AG$16,MATCH(design_loads!$E$8,$AE$3:$AE$16)),"&lt;scroll up&gt;",OFFSET(OFFSET('NBCC_C-2'!$B$1,INDEX($AF$3:$AF$16,MATCH(design_loads!$E$8,$AE$3:$AE$16))-1,0),$AI104-1,0)))</f>
        <v/>
      </c>
    </row>
    <row r="105" spans="2:39" x14ac:dyDescent="0.2">
      <c r="B105" s="66" t="s">
        <v>435</v>
      </c>
      <c r="C105" s="67" t="s">
        <v>247</v>
      </c>
      <c r="D105" s="68">
        <v>101</v>
      </c>
      <c r="F105" s="66" t="s">
        <v>436</v>
      </c>
      <c r="G105" s="67" t="s">
        <v>258</v>
      </c>
      <c r="H105" s="68">
        <v>5</v>
      </c>
      <c r="I105" s="70">
        <v>5</v>
      </c>
      <c r="J105" s="70">
        <v>-14</v>
      </c>
      <c r="K105" s="70">
        <v>-16</v>
      </c>
      <c r="L105" s="70">
        <v>19</v>
      </c>
      <c r="M105" s="70">
        <v>18</v>
      </c>
      <c r="N105" s="70">
        <v>4900</v>
      </c>
      <c r="O105" s="70">
        <v>18</v>
      </c>
      <c r="P105" s="71">
        <v>139</v>
      </c>
      <c r="Q105" s="71">
        <v>1425</v>
      </c>
      <c r="R105" s="72">
        <v>1.66</v>
      </c>
      <c r="S105" s="71">
        <v>1550</v>
      </c>
      <c r="T105" s="71">
        <v>400</v>
      </c>
      <c r="U105" s="73">
        <v>2.2999999999999998</v>
      </c>
      <c r="V105" s="73">
        <v>0.7</v>
      </c>
      <c r="W105" s="72">
        <v>0.79</v>
      </c>
      <c r="X105" s="72">
        <v>1.05</v>
      </c>
      <c r="Y105" s="72">
        <v>0.2</v>
      </c>
      <c r="Z105" s="74">
        <v>0.12</v>
      </c>
      <c r="AA105" s="74">
        <v>6.6000000000000003E-2</v>
      </c>
      <c r="AB105" s="74">
        <v>1.7999999999999999E-2</v>
      </c>
      <c r="AC105" s="74">
        <v>0.1</v>
      </c>
      <c r="AE105" s="59"/>
      <c r="AF105" s="59"/>
      <c r="AG105" s="59"/>
      <c r="AH105" s="59"/>
      <c r="AI105" s="62">
        <v>103</v>
      </c>
      <c r="AJ105" s="63" t="str">
        <f ca="1">IF(design_loads!$E$5="","",IF($AI105&gt;INDEX($AG$3:$AG$16,MATCH(design_loads!$E$5,$AE$3:$AE$16)),"&lt;scroll up&gt;",OFFSET(OFFSET('NBCC_C-2'!$B$1,INDEX($AF$3:$AF$16,MATCH(design_loads!$E$5,$AE$3:$AE$16))-1,0),$AI105-1,0)))</f>
        <v>&lt;scroll up&gt;</v>
      </c>
      <c r="AK105" s="63" t="str">
        <f ca="1">IF(design_loads!$E$6="","",IF($AI105&gt;INDEX($AG$3:$AG$16,MATCH(design_loads!$E$6,$AE$3:$AE$16)),"&lt;scroll up&gt;",OFFSET(OFFSET('NBCC_C-2'!$B$1,INDEX($AF$3:$AF$16,MATCH(design_loads!$E$6,$AE$3:$AE$16))-1,0),$AI105-1,0)))</f>
        <v/>
      </c>
      <c r="AL105" s="63" t="str">
        <f ca="1">IF(design_loads!$E$7="","",IF($AI105&gt;INDEX($AG$3:$AG$16,MATCH(design_loads!$E$7,$AE$3:$AE$16)),"&lt;scroll up&gt;",OFFSET(OFFSET('NBCC_C-2'!$B$1,INDEX($AF$3:$AF$16,MATCH(design_loads!$E$7,$AE$3:$AE$16))-1,0),$AI105-1,0)))</f>
        <v/>
      </c>
      <c r="AM105" s="63" t="str">
        <f ca="1">IF(design_loads!$E$8="","",IF($AI105&gt;INDEX($AG$3:$AG$16,MATCH(design_loads!$E$8,$AE$3:$AE$16)),"&lt;scroll up&gt;",OFFSET(OFFSET('NBCC_C-2'!$B$1,INDEX($AF$3:$AF$16,MATCH(design_loads!$E$8,$AE$3:$AE$16))-1,0),$AI105-1,0)))</f>
        <v/>
      </c>
    </row>
    <row r="106" spans="2:39" x14ac:dyDescent="0.2">
      <c r="B106" s="66" t="s">
        <v>437</v>
      </c>
      <c r="C106" s="67" t="s">
        <v>247</v>
      </c>
      <c r="D106" s="68">
        <v>102</v>
      </c>
      <c r="F106" s="66" t="s">
        <v>302</v>
      </c>
      <c r="G106" s="67" t="s">
        <v>247</v>
      </c>
      <c r="H106" s="68">
        <v>24</v>
      </c>
      <c r="I106" s="76">
        <v>1130</v>
      </c>
      <c r="J106" s="70">
        <v>-30</v>
      </c>
      <c r="K106" s="70">
        <v>-33</v>
      </c>
      <c r="L106" s="70">
        <v>29</v>
      </c>
      <c r="M106" s="70">
        <v>18</v>
      </c>
      <c r="N106" s="76">
        <v>4750</v>
      </c>
      <c r="O106" s="76">
        <v>20</v>
      </c>
      <c r="P106" s="77">
        <v>108</v>
      </c>
      <c r="Q106" s="77">
        <v>340</v>
      </c>
      <c r="R106" s="72">
        <v>0.38</v>
      </c>
      <c r="S106" s="77">
        <v>550</v>
      </c>
      <c r="T106" s="77">
        <v>140</v>
      </c>
      <c r="U106" s="73">
        <v>1.5</v>
      </c>
      <c r="V106" s="73">
        <v>0.1</v>
      </c>
      <c r="W106" s="72">
        <v>0.74</v>
      </c>
      <c r="X106" s="72">
        <v>1.02</v>
      </c>
      <c r="Y106" s="72">
        <v>0.18</v>
      </c>
      <c r="Z106" s="74">
        <v>0.11</v>
      </c>
      <c r="AA106" s="74">
        <v>5.3999999999999999E-2</v>
      </c>
      <c r="AB106" s="74">
        <v>3.1E-2</v>
      </c>
      <c r="AC106" s="74">
        <v>9.5000000000000001E-2</v>
      </c>
      <c r="AE106" s="59"/>
      <c r="AF106" s="59"/>
      <c r="AG106" s="59"/>
      <c r="AH106" s="59"/>
      <c r="AI106" s="62">
        <v>104</v>
      </c>
      <c r="AJ106" s="63" t="str">
        <f ca="1">IF(design_loads!$E$5="","",IF($AI106&gt;INDEX($AG$3:$AG$16,MATCH(design_loads!$E$5,$AE$3:$AE$16)),"&lt;scroll up&gt;",OFFSET(OFFSET('NBCC_C-2'!$B$1,INDEX($AF$3:$AF$16,MATCH(design_loads!$E$5,$AE$3:$AE$16))-1,0),$AI106-1,0)))</f>
        <v>&lt;scroll up&gt;</v>
      </c>
      <c r="AK106" s="63" t="str">
        <f ca="1">IF(design_loads!$E$6="","",IF($AI106&gt;INDEX($AG$3:$AG$16,MATCH(design_loads!$E$6,$AE$3:$AE$16)),"&lt;scroll up&gt;",OFFSET(OFFSET('NBCC_C-2'!$B$1,INDEX($AF$3:$AF$16,MATCH(design_loads!$E$6,$AE$3:$AE$16))-1,0),$AI106-1,0)))</f>
        <v/>
      </c>
      <c r="AL106" s="63" t="str">
        <f ca="1">IF(design_loads!$E$7="","",IF($AI106&gt;INDEX($AG$3:$AG$16,MATCH(design_loads!$E$7,$AE$3:$AE$16)),"&lt;scroll up&gt;",OFFSET(OFFSET('NBCC_C-2'!$B$1,INDEX($AF$3:$AF$16,MATCH(design_loads!$E$7,$AE$3:$AE$16))-1,0),$AI106-1,0)))</f>
        <v/>
      </c>
      <c r="AM106" s="63" t="str">
        <f ca="1">IF(design_loads!$E$8="","",IF($AI106&gt;INDEX($AG$3:$AG$16,MATCH(design_loads!$E$8,$AE$3:$AE$16)),"&lt;scroll up&gt;",OFFSET(OFFSET('NBCC_C-2'!$B$1,INDEX($AF$3:$AF$16,MATCH(design_loads!$E$8,$AE$3:$AE$16))-1,0),$AI106-1,0)))</f>
        <v/>
      </c>
    </row>
    <row r="107" spans="2:39" x14ac:dyDescent="0.2">
      <c r="B107" s="66" t="s">
        <v>438</v>
      </c>
      <c r="C107" s="67" t="s">
        <v>247</v>
      </c>
      <c r="D107" s="68">
        <v>103</v>
      </c>
      <c r="F107" s="66" t="s">
        <v>439</v>
      </c>
      <c r="G107" s="67" t="s">
        <v>264</v>
      </c>
      <c r="H107" s="68">
        <v>28</v>
      </c>
      <c r="I107" s="70">
        <v>135</v>
      </c>
      <c r="J107" s="70">
        <v>-25</v>
      </c>
      <c r="K107" s="70">
        <v>-27</v>
      </c>
      <c r="L107" s="70">
        <v>30</v>
      </c>
      <c r="M107" s="70">
        <v>23</v>
      </c>
      <c r="N107" s="70">
        <v>4800</v>
      </c>
      <c r="O107" s="70">
        <v>25</v>
      </c>
      <c r="P107" s="71">
        <v>86</v>
      </c>
      <c r="Q107" s="71">
        <v>730</v>
      </c>
      <c r="R107" s="72">
        <v>0.84</v>
      </c>
      <c r="S107" s="71">
        <v>850</v>
      </c>
      <c r="T107" s="71">
        <v>160</v>
      </c>
      <c r="U107" s="73">
        <v>2.5</v>
      </c>
      <c r="V107" s="73">
        <v>0.4</v>
      </c>
      <c r="W107" s="72">
        <v>0.3</v>
      </c>
      <c r="X107" s="72">
        <v>0.41</v>
      </c>
      <c r="Y107" s="72">
        <v>0.52</v>
      </c>
      <c r="Z107" s="74">
        <v>0.25</v>
      </c>
      <c r="AA107" s="74">
        <v>0.11</v>
      </c>
      <c r="AB107" s="74">
        <v>3.5999999999999997E-2</v>
      </c>
      <c r="AC107" s="74">
        <v>0.34</v>
      </c>
      <c r="AE107" s="59"/>
      <c r="AF107" s="59"/>
      <c r="AG107" s="59"/>
      <c r="AH107" s="59"/>
      <c r="AI107" s="62">
        <v>105</v>
      </c>
      <c r="AJ107" s="63" t="str">
        <f ca="1">IF(design_loads!$E$5="","",IF($AI107&gt;INDEX($AG$3:$AG$16,MATCH(design_loads!$E$5,$AE$3:$AE$16)),"&lt;scroll up&gt;",OFFSET(OFFSET('NBCC_C-2'!$B$1,INDEX($AF$3:$AF$16,MATCH(design_loads!$E$5,$AE$3:$AE$16))-1,0),$AI107-1,0)))</f>
        <v>&lt;scroll up&gt;</v>
      </c>
      <c r="AK107" s="63" t="str">
        <f ca="1">IF(design_loads!$E$6="","",IF($AI107&gt;INDEX($AG$3:$AG$16,MATCH(design_loads!$E$6,$AE$3:$AE$16)),"&lt;scroll up&gt;",OFFSET(OFFSET('NBCC_C-2'!$B$1,INDEX($AF$3:$AF$16,MATCH(design_loads!$E$6,$AE$3:$AE$16))-1,0),$AI107-1,0)))</f>
        <v/>
      </c>
      <c r="AL107" s="63" t="str">
        <f ca="1">IF(design_loads!$E$7="","",IF($AI107&gt;INDEX($AG$3:$AG$16,MATCH(design_loads!$E$7,$AE$3:$AE$16)),"&lt;scroll up&gt;",OFFSET(OFFSET('NBCC_C-2'!$B$1,INDEX($AF$3:$AF$16,MATCH(design_loads!$E$7,$AE$3:$AE$16))-1,0),$AI107-1,0)))</f>
        <v/>
      </c>
      <c r="AM107" s="63" t="str">
        <f ca="1">IF(design_loads!$E$8="","",IF($AI107&gt;INDEX($AG$3:$AG$16,MATCH(design_loads!$E$8,$AE$3:$AE$16)),"&lt;scroll up&gt;",OFFSET(OFFSET('NBCC_C-2'!$B$1,INDEX($AF$3:$AF$16,MATCH(design_loads!$E$8,$AE$3:$AE$16))-1,0),$AI107-1,0)))</f>
        <v/>
      </c>
    </row>
    <row r="108" spans="2:39" x14ac:dyDescent="0.2">
      <c r="B108" s="66" t="s">
        <v>440</v>
      </c>
      <c r="C108" s="67" t="s">
        <v>247</v>
      </c>
      <c r="D108" s="68">
        <v>104</v>
      </c>
      <c r="F108" s="66" t="s">
        <v>441</v>
      </c>
      <c r="G108" s="67" t="s">
        <v>224</v>
      </c>
      <c r="H108" s="68">
        <v>11</v>
      </c>
      <c r="I108" s="70">
        <v>845</v>
      </c>
      <c r="J108" s="70">
        <v>-24</v>
      </c>
      <c r="K108" s="70">
        <v>-26</v>
      </c>
      <c r="L108" s="70">
        <v>33</v>
      </c>
      <c r="M108" s="70">
        <v>20</v>
      </c>
      <c r="N108" s="70">
        <v>4900</v>
      </c>
      <c r="O108" s="70">
        <v>10</v>
      </c>
      <c r="P108" s="71">
        <v>64</v>
      </c>
      <c r="Q108" s="71">
        <v>325</v>
      </c>
      <c r="R108" s="72">
        <v>0.38</v>
      </c>
      <c r="S108" s="71">
        <v>550</v>
      </c>
      <c r="T108" s="71">
        <v>60</v>
      </c>
      <c r="U108" s="73">
        <v>3.9</v>
      </c>
      <c r="V108" s="73">
        <v>0.2</v>
      </c>
      <c r="W108" s="72">
        <v>0.24</v>
      </c>
      <c r="X108" s="72">
        <v>0.38</v>
      </c>
      <c r="Y108" s="72">
        <v>0.28000000000000003</v>
      </c>
      <c r="Z108" s="74">
        <v>0.17</v>
      </c>
      <c r="AA108" s="74">
        <v>0.09</v>
      </c>
      <c r="AB108" s="74">
        <v>5.2999999999999999E-2</v>
      </c>
      <c r="AC108" s="74">
        <v>0.14000000000000001</v>
      </c>
      <c r="AE108" s="59"/>
      <c r="AF108" s="59"/>
      <c r="AG108" s="59"/>
      <c r="AH108" s="59"/>
      <c r="AI108" s="62">
        <v>106</v>
      </c>
      <c r="AJ108" s="63" t="str">
        <f ca="1">IF(design_loads!$E$5="","",IF($AI108&gt;INDEX($AG$3:$AG$16,MATCH(design_loads!$E$5,$AE$3:$AE$16)),"&lt;scroll up&gt;",OFFSET(OFFSET('NBCC_C-2'!$B$1,INDEX($AF$3:$AF$16,MATCH(design_loads!$E$5,$AE$3:$AE$16))-1,0),$AI108-1,0)))</f>
        <v>&lt;scroll up&gt;</v>
      </c>
      <c r="AK108" s="63" t="str">
        <f ca="1">IF(design_loads!$E$6="","",IF($AI108&gt;INDEX($AG$3:$AG$16,MATCH(design_loads!$E$6,$AE$3:$AE$16)),"&lt;scroll up&gt;",OFFSET(OFFSET('NBCC_C-2'!$B$1,INDEX($AF$3:$AF$16,MATCH(design_loads!$E$6,$AE$3:$AE$16))-1,0),$AI108-1,0)))</f>
        <v/>
      </c>
      <c r="AL108" s="63" t="str">
        <f ca="1">IF(design_loads!$E$7="","",IF($AI108&gt;INDEX($AG$3:$AG$16,MATCH(design_loads!$E$7,$AE$3:$AE$16)),"&lt;scroll up&gt;",OFFSET(OFFSET('NBCC_C-2'!$B$1,INDEX($AF$3:$AF$16,MATCH(design_loads!$E$7,$AE$3:$AE$16))-1,0),$AI108-1,0)))</f>
        <v/>
      </c>
      <c r="AM108" s="63" t="str">
        <f ca="1">IF(design_loads!$E$8="","",IF($AI108&gt;INDEX($AG$3:$AG$16,MATCH(design_loads!$E$8,$AE$3:$AE$16)),"&lt;scroll up&gt;",OFFSET(OFFSET('NBCC_C-2'!$B$1,INDEX($AF$3:$AF$16,MATCH(design_loads!$E$8,$AE$3:$AE$16))-1,0),$AI108-1,0)))</f>
        <v/>
      </c>
    </row>
    <row r="109" spans="2:39" x14ac:dyDescent="0.2">
      <c r="B109" s="66" t="s">
        <v>442</v>
      </c>
      <c r="C109" s="67" t="s">
        <v>247</v>
      </c>
      <c r="D109" s="68">
        <v>105</v>
      </c>
      <c r="F109" s="66" t="s">
        <v>304</v>
      </c>
      <c r="G109" s="67" t="s">
        <v>247</v>
      </c>
      <c r="H109" s="68">
        <v>25</v>
      </c>
      <c r="I109" s="76">
        <v>1060</v>
      </c>
      <c r="J109" s="70">
        <v>-33</v>
      </c>
      <c r="K109" s="70">
        <v>-36</v>
      </c>
      <c r="L109" s="70">
        <v>28</v>
      </c>
      <c r="M109" s="70">
        <v>18</v>
      </c>
      <c r="N109" s="76">
        <v>5600</v>
      </c>
      <c r="O109" s="76">
        <v>17</v>
      </c>
      <c r="P109" s="77">
        <v>105</v>
      </c>
      <c r="Q109" s="77">
        <v>380</v>
      </c>
      <c r="R109" s="72">
        <v>0.49</v>
      </c>
      <c r="S109" s="77">
        <v>475</v>
      </c>
      <c r="T109" s="77">
        <v>190</v>
      </c>
      <c r="U109" s="73">
        <v>1.7</v>
      </c>
      <c r="V109" s="73">
        <v>0.1</v>
      </c>
      <c r="W109" s="72">
        <v>0.33</v>
      </c>
      <c r="X109" s="72">
        <v>0.43</v>
      </c>
      <c r="Y109" s="72">
        <v>0.15</v>
      </c>
      <c r="Z109" s="74">
        <v>0.08</v>
      </c>
      <c r="AA109" s="74">
        <v>0.04</v>
      </c>
      <c r="AB109" s="74">
        <v>0.02</v>
      </c>
      <c r="AC109" s="74">
        <v>0.08</v>
      </c>
      <c r="AE109" s="59"/>
      <c r="AF109" s="59"/>
      <c r="AG109" s="59"/>
      <c r="AH109" s="59"/>
      <c r="AI109" s="62">
        <v>107</v>
      </c>
      <c r="AJ109" s="63" t="str">
        <f ca="1">IF(design_loads!$E$5="","",IF($AI109&gt;INDEX($AG$3:$AG$16,MATCH(design_loads!$E$5,$AE$3:$AE$16)),"&lt;scroll up&gt;",OFFSET(OFFSET('NBCC_C-2'!$B$1,INDEX($AF$3:$AF$16,MATCH(design_loads!$E$5,$AE$3:$AE$16))-1,0),$AI109-1,0)))</f>
        <v>&lt;scroll up&gt;</v>
      </c>
      <c r="AK109" s="63" t="str">
        <f ca="1">IF(design_loads!$E$6="","",IF($AI109&gt;INDEX($AG$3:$AG$16,MATCH(design_loads!$E$6,$AE$3:$AE$16)),"&lt;scroll up&gt;",OFFSET(OFFSET('NBCC_C-2'!$B$1,INDEX($AF$3:$AF$16,MATCH(design_loads!$E$6,$AE$3:$AE$16))-1,0),$AI109-1,0)))</f>
        <v/>
      </c>
      <c r="AL109" s="63" t="str">
        <f ca="1">IF(design_loads!$E$7="","",IF($AI109&gt;INDEX($AG$3:$AG$16,MATCH(design_loads!$E$7,$AE$3:$AE$16)),"&lt;scroll up&gt;",OFFSET(OFFSET('NBCC_C-2'!$B$1,INDEX($AF$3:$AF$16,MATCH(design_loads!$E$7,$AE$3:$AE$16))-1,0),$AI109-1,0)))</f>
        <v/>
      </c>
      <c r="AM109" s="63" t="str">
        <f ca="1">IF(design_loads!$E$8="","",IF($AI109&gt;INDEX($AG$3:$AG$16,MATCH(design_loads!$E$8,$AE$3:$AE$16)),"&lt;scroll up&gt;",OFFSET(OFFSET('NBCC_C-2'!$B$1,INDEX($AF$3:$AF$16,MATCH(design_loads!$E$8,$AE$3:$AE$16))-1,0),$AI109-1,0)))</f>
        <v/>
      </c>
    </row>
    <row r="110" spans="2:39" x14ac:dyDescent="0.2">
      <c r="B110" s="66" t="s">
        <v>443</v>
      </c>
      <c r="C110" s="67" t="s">
        <v>247</v>
      </c>
      <c r="D110" s="68">
        <v>106</v>
      </c>
      <c r="F110" s="66" t="s">
        <v>444</v>
      </c>
      <c r="G110" s="67" t="s">
        <v>224</v>
      </c>
      <c r="H110" s="68">
        <v>12</v>
      </c>
      <c r="I110" s="70">
        <v>430</v>
      </c>
      <c r="J110" s="70">
        <v>-19</v>
      </c>
      <c r="K110" s="70">
        <v>-22</v>
      </c>
      <c r="L110" s="70">
        <v>32</v>
      </c>
      <c r="M110" s="70">
        <v>20</v>
      </c>
      <c r="N110" s="70">
        <v>3700</v>
      </c>
      <c r="O110" s="70">
        <v>10</v>
      </c>
      <c r="P110" s="71">
        <v>54</v>
      </c>
      <c r="Q110" s="71">
        <v>560</v>
      </c>
      <c r="R110" s="72">
        <v>0.64</v>
      </c>
      <c r="S110" s="71">
        <v>700</v>
      </c>
      <c r="T110" s="71">
        <v>60</v>
      </c>
      <c r="U110" s="73">
        <v>4.2</v>
      </c>
      <c r="V110" s="73">
        <v>0.1</v>
      </c>
      <c r="W110" s="72">
        <v>0.23</v>
      </c>
      <c r="X110" s="72">
        <v>0.34</v>
      </c>
      <c r="Y110" s="72">
        <v>0.27</v>
      </c>
      <c r="Z110" s="74">
        <v>0.16</v>
      </c>
      <c r="AA110" s="74">
        <v>8.1000000000000003E-2</v>
      </c>
      <c r="AB110" s="74">
        <v>4.4999999999999998E-2</v>
      </c>
      <c r="AC110" s="74">
        <v>0.14000000000000001</v>
      </c>
      <c r="AE110" s="59"/>
      <c r="AF110" s="59"/>
      <c r="AG110" s="59"/>
      <c r="AH110" s="59"/>
      <c r="AI110" s="62">
        <v>108</v>
      </c>
      <c r="AJ110" s="63" t="str">
        <f ca="1">IF(design_loads!$E$5="","",IF($AI110&gt;INDEX($AG$3:$AG$16,MATCH(design_loads!$E$5,$AE$3:$AE$16)),"&lt;scroll up&gt;",OFFSET(OFFSET('NBCC_C-2'!$B$1,INDEX($AF$3:$AF$16,MATCH(design_loads!$E$5,$AE$3:$AE$16))-1,0),$AI110-1,0)))</f>
        <v>&lt;scroll up&gt;</v>
      </c>
      <c r="AK110" s="63" t="str">
        <f ca="1">IF(design_loads!$E$6="","",IF($AI110&gt;INDEX($AG$3:$AG$16,MATCH(design_loads!$E$6,$AE$3:$AE$16)),"&lt;scroll up&gt;",OFFSET(OFFSET('NBCC_C-2'!$B$1,INDEX($AF$3:$AF$16,MATCH(design_loads!$E$6,$AE$3:$AE$16))-1,0),$AI110-1,0)))</f>
        <v/>
      </c>
      <c r="AL110" s="63" t="str">
        <f ca="1">IF(design_loads!$E$7="","",IF($AI110&gt;INDEX($AG$3:$AG$16,MATCH(design_loads!$E$7,$AE$3:$AE$16)),"&lt;scroll up&gt;",OFFSET(OFFSET('NBCC_C-2'!$B$1,INDEX($AF$3:$AF$16,MATCH(design_loads!$E$7,$AE$3:$AE$16))-1,0),$AI110-1,0)))</f>
        <v/>
      </c>
      <c r="AM110" s="63" t="str">
        <f ca="1">IF(design_loads!$E$8="","",IF($AI110&gt;INDEX($AG$3:$AG$16,MATCH(design_loads!$E$8,$AE$3:$AE$16)),"&lt;scroll up&gt;",OFFSET(OFFSET('NBCC_C-2'!$B$1,INDEX($AF$3:$AF$16,MATCH(design_loads!$E$8,$AE$3:$AE$16))-1,0),$AI110-1,0)))</f>
        <v/>
      </c>
    </row>
    <row r="111" spans="2:39" x14ac:dyDescent="0.2">
      <c r="B111" s="66" t="s">
        <v>445</v>
      </c>
      <c r="C111" s="67" t="s">
        <v>247</v>
      </c>
      <c r="D111" s="68">
        <v>107</v>
      </c>
      <c r="F111" s="66" t="s">
        <v>306</v>
      </c>
      <c r="G111" s="67" t="s">
        <v>247</v>
      </c>
      <c r="H111" s="68">
        <v>26</v>
      </c>
      <c r="I111" s="76">
        <v>816</v>
      </c>
      <c r="J111" s="70">
        <v>-33</v>
      </c>
      <c r="K111" s="70">
        <v>-36</v>
      </c>
      <c r="L111" s="70">
        <v>29</v>
      </c>
      <c r="M111" s="70">
        <v>20</v>
      </c>
      <c r="N111" s="76">
        <v>5600</v>
      </c>
      <c r="O111" s="76">
        <v>21</v>
      </c>
      <c r="P111" s="77">
        <v>85</v>
      </c>
      <c r="Q111" s="77">
        <v>305</v>
      </c>
      <c r="R111" s="72">
        <v>0.47</v>
      </c>
      <c r="S111" s="77">
        <v>405</v>
      </c>
      <c r="T111" s="77">
        <v>200</v>
      </c>
      <c r="U111" s="73">
        <v>2.1</v>
      </c>
      <c r="V111" s="73">
        <v>0.1</v>
      </c>
      <c r="W111" s="72">
        <v>0.26</v>
      </c>
      <c r="X111" s="72">
        <v>0.34</v>
      </c>
      <c r="Y111" s="72">
        <v>0.12</v>
      </c>
      <c r="Z111" s="74">
        <v>0.06</v>
      </c>
      <c r="AA111" s="74">
        <v>0.02</v>
      </c>
      <c r="AB111" s="74">
        <v>0.01</v>
      </c>
      <c r="AC111" s="74">
        <v>0.06</v>
      </c>
      <c r="AE111" s="59"/>
      <c r="AF111" s="59"/>
      <c r="AG111" s="59"/>
      <c r="AH111" s="59"/>
      <c r="AI111" s="62">
        <v>109</v>
      </c>
      <c r="AJ111" s="63" t="str">
        <f ca="1">IF(design_loads!$E$5="","",IF($AI111&gt;INDEX($AG$3:$AG$16,MATCH(design_loads!$E$5,$AE$3:$AE$16)),"&lt;scroll up&gt;",OFFSET(OFFSET('NBCC_C-2'!$B$1,INDEX($AF$3:$AF$16,MATCH(design_loads!$E$5,$AE$3:$AE$16))-1,0),$AI111-1,0)))</f>
        <v>&lt;scroll up&gt;</v>
      </c>
      <c r="AK111" s="63" t="str">
        <f ca="1">IF(design_loads!$E$6="","",IF($AI111&gt;INDEX($AG$3:$AG$16,MATCH(design_loads!$E$6,$AE$3:$AE$16)),"&lt;scroll up&gt;",OFFSET(OFFSET('NBCC_C-2'!$B$1,INDEX($AF$3:$AF$16,MATCH(design_loads!$E$6,$AE$3:$AE$16))-1,0),$AI111-1,0)))</f>
        <v/>
      </c>
      <c r="AL111" s="63" t="str">
        <f ca="1">IF(design_loads!$E$7="","",IF($AI111&gt;INDEX($AG$3:$AG$16,MATCH(design_loads!$E$7,$AE$3:$AE$16)),"&lt;scroll up&gt;",OFFSET(OFFSET('NBCC_C-2'!$B$1,INDEX($AF$3:$AF$16,MATCH(design_loads!$E$7,$AE$3:$AE$16))-1,0),$AI111-1,0)))</f>
        <v/>
      </c>
      <c r="AM111" s="63" t="str">
        <f ca="1">IF(design_loads!$E$8="","",IF($AI111&gt;INDEX($AG$3:$AG$16,MATCH(design_loads!$E$8,$AE$3:$AE$16)),"&lt;scroll up&gt;",OFFSET(OFFSET('NBCC_C-2'!$B$1,INDEX($AF$3:$AF$16,MATCH(design_loads!$E$8,$AE$3:$AE$16))-1,0),$AI111-1,0)))</f>
        <v/>
      </c>
    </row>
    <row r="112" spans="2:39" x14ac:dyDescent="0.2">
      <c r="B112" s="66" t="s">
        <v>446</v>
      </c>
      <c r="C112" s="67" t="s">
        <v>247</v>
      </c>
      <c r="D112" s="68">
        <v>108</v>
      </c>
      <c r="F112" s="66" t="s">
        <v>447</v>
      </c>
      <c r="G112" s="67" t="s">
        <v>264</v>
      </c>
      <c r="H112" s="68">
        <v>29</v>
      </c>
      <c r="I112" s="70">
        <v>200</v>
      </c>
      <c r="J112" s="70">
        <v>-22</v>
      </c>
      <c r="K112" s="70">
        <v>-25</v>
      </c>
      <c r="L112" s="70">
        <v>30</v>
      </c>
      <c r="M112" s="70">
        <v>23</v>
      </c>
      <c r="N112" s="70">
        <v>4500</v>
      </c>
      <c r="O112" s="70">
        <v>28</v>
      </c>
      <c r="P112" s="71">
        <v>97</v>
      </c>
      <c r="Q112" s="71">
        <v>740</v>
      </c>
      <c r="R112" s="72">
        <v>0.86</v>
      </c>
      <c r="S112" s="71">
        <v>850</v>
      </c>
      <c r="T112" s="71">
        <v>140</v>
      </c>
      <c r="U112" s="73">
        <v>2</v>
      </c>
      <c r="V112" s="73">
        <v>0.4</v>
      </c>
      <c r="W112" s="72">
        <v>0.31</v>
      </c>
      <c r="X112" s="72">
        <v>0.44</v>
      </c>
      <c r="Y112" s="72">
        <v>0.2</v>
      </c>
      <c r="Z112" s="74">
        <v>0.12</v>
      </c>
      <c r="AA112" s="74">
        <v>0.06</v>
      </c>
      <c r="AB112" s="74">
        <v>1.7000000000000001E-2</v>
      </c>
      <c r="AC112" s="74">
        <v>0.1</v>
      </c>
      <c r="AE112" s="59"/>
      <c r="AF112" s="59"/>
      <c r="AG112" s="59"/>
      <c r="AH112" s="59"/>
      <c r="AI112" s="62">
        <v>110</v>
      </c>
      <c r="AJ112" s="63" t="str">
        <f ca="1">IF(design_loads!$E$5="","",IF($AI112&gt;INDEX($AG$3:$AG$16,MATCH(design_loads!$E$5,$AE$3:$AE$16)),"&lt;scroll up&gt;",OFFSET(OFFSET('NBCC_C-2'!$B$1,INDEX($AF$3:$AF$16,MATCH(design_loads!$E$5,$AE$3:$AE$16))-1,0),$AI112-1,0)))</f>
        <v>&lt;scroll up&gt;</v>
      </c>
      <c r="AK112" s="63" t="str">
        <f ca="1">IF(design_loads!$E$6="","",IF($AI112&gt;INDEX($AG$3:$AG$16,MATCH(design_loads!$E$6,$AE$3:$AE$16)),"&lt;scroll up&gt;",OFFSET(OFFSET('NBCC_C-2'!$B$1,INDEX($AF$3:$AF$16,MATCH(design_loads!$E$6,$AE$3:$AE$16))-1,0),$AI112-1,0)))</f>
        <v/>
      </c>
      <c r="AL112" s="63" t="str">
        <f ca="1">IF(design_loads!$E$7="","",IF($AI112&gt;INDEX($AG$3:$AG$16,MATCH(design_loads!$E$7,$AE$3:$AE$16)),"&lt;scroll up&gt;",OFFSET(OFFSET('NBCC_C-2'!$B$1,INDEX($AF$3:$AF$16,MATCH(design_loads!$E$7,$AE$3:$AE$16))-1,0),$AI112-1,0)))</f>
        <v/>
      </c>
      <c r="AM112" s="63" t="str">
        <f ca="1">IF(design_loads!$E$8="","",IF($AI112&gt;INDEX($AG$3:$AG$16,MATCH(design_loads!$E$8,$AE$3:$AE$16)),"&lt;scroll up&gt;",OFFSET(OFFSET('NBCC_C-2'!$B$1,INDEX($AF$3:$AF$16,MATCH(design_loads!$E$8,$AE$3:$AE$16))-1,0),$AI112-1,0)))</f>
        <v/>
      </c>
    </row>
    <row r="113" spans="2:39" x14ac:dyDescent="0.2">
      <c r="B113" s="66" t="s">
        <v>448</v>
      </c>
      <c r="C113" s="67" t="s">
        <v>247</v>
      </c>
      <c r="D113" s="68">
        <v>109</v>
      </c>
      <c r="F113" s="66" t="s">
        <v>449</v>
      </c>
      <c r="G113" s="67" t="s">
        <v>264</v>
      </c>
      <c r="H113" s="68">
        <v>30</v>
      </c>
      <c r="I113" s="70">
        <v>260</v>
      </c>
      <c r="J113" s="70">
        <v>-17</v>
      </c>
      <c r="K113" s="70">
        <v>-19</v>
      </c>
      <c r="L113" s="70">
        <v>30</v>
      </c>
      <c r="M113" s="70">
        <v>23</v>
      </c>
      <c r="N113" s="70">
        <v>4100</v>
      </c>
      <c r="O113" s="70">
        <v>25</v>
      </c>
      <c r="P113" s="71">
        <v>103</v>
      </c>
      <c r="Q113" s="71">
        <v>820</v>
      </c>
      <c r="R113" s="72">
        <v>0.95</v>
      </c>
      <c r="S113" s="71">
        <v>1000</v>
      </c>
      <c r="T113" s="71">
        <v>180</v>
      </c>
      <c r="U113" s="73">
        <v>2.2999999999999998</v>
      </c>
      <c r="V113" s="73">
        <v>0.4</v>
      </c>
      <c r="W113" s="72">
        <v>0.37</v>
      </c>
      <c r="X113" s="72">
        <v>0.53</v>
      </c>
      <c r="Y113" s="72">
        <v>0.14000000000000001</v>
      </c>
      <c r="Z113" s="74">
        <v>0.08</v>
      </c>
      <c r="AA113" s="74">
        <v>4.2999999999999997E-2</v>
      </c>
      <c r="AB113" s="74">
        <v>1.0999999999999999E-2</v>
      </c>
      <c r="AC113" s="74">
        <v>8.1000000000000003E-2</v>
      </c>
      <c r="AE113" s="59"/>
      <c r="AF113" s="59"/>
      <c r="AG113" s="59"/>
      <c r="AH113" s="59"/>
      <c r="AI113" s="62">
        <v>111</v>
      </c>
      <c r="AJ113" s="63" t="str">
        <f ca="1">IF(design_loads!$E$5="","",IF($AI113&gt;INDEX($AG$3:$AG$16,MATCH(design_loads!$E$5,$AE$3:$AE$16)),"&lt;scroll up&gt;",OFFSET(OFFSET('NBCC_C-2'!$B$1,INDEX($AF$3:$AF$16,MATCH(design_loads!$E$5,$AE$3:$AE$16))-1,0),$AI113-1,0)))</f>
        <v>&lt;scroll up&gt;</v>
      </c>
      <c r="AK113" s="63" t="str">
        <f ca="1">IF(design_loads!$E$6="","",IF($AI113&gt;INDEX($AG$3:$AG$16,MATCH(design_loads!$E$6,$AE$3:$AE$16)),"&lt;scroll up&gt;",OFFSET(OFFSET('NBCC_C-2'!$B$1,INDEX($AF$3:$AF$16,MATCH(design_loads!$E$6,$AE$3:$AE$16))-1,0),$AI113-1,0)))</f>
        <v/>
      </c>
      <c r="AL113" s="63" t="str">
        <f ca="1">IF(design_loads!$E$7="","",IF($AI113&gt;INDEX($AG$3:$AG$16,MATCH(design_loads!$E$7,$AE$3:$AE$16)),"&lt;scroll up&gt;",OFFSET(OFFSET('NBCC_C-2'!$B$1,INDEX($AF$3:$AF$16,MATCH(design_loads!$E$7,$AE$3:$AE$16))-1,0),$AI113-1,0)))</f>
        <v/>
      </c>
      <c r="AM113" s="63" t="str">
        <f ca="1">IF(design_loads!$E$8="","",IF($AI113&gt;INDEX($AG$3:$AG$16,MATCH(design_loads!$E$8,$AE$3:$AE$16)),"&lt;scroll up&gt;",OFFSET(OFFSET('NBCC_C-2'!$B$1,INDEX($AF$3:$AF$16,MATCH(design_loads!$E$8,$AE$3:$AE$16))-1,0),$AI113-1,0)))</f>
        <v/>
      </c>
    </row>
    <row r="114" spans="2:39" x14ac:dyDescent="0.2">
      <c r="B114" s="66" t="s">
        <v>450</v>
      </c>
      <c r="C114" s="67" t="s">
        <v>247</v>
      </c>
      <c r="D114" s="68">
        <v>110</v>
      </c>
      <c r="F114" s="66" t="s">
        <v>451</v>
      </c>
      <c r="G114" s="67" t="s">
        <v>264</v>
      </c>
      <c r="H114" s="68">
        <v>31</v>
      </c>
      <c r="I114" s="70">
        <v>225</v>
      </c>
      <c r="J114" s="70">
        <v>-23</v>
      </c>
      <c r="K114" s="70">
        <v>-25</v>
      </c>
      <c r="L114" s="70">
        <v>29</v>
      </c>
      <c r="M114" s="70">
        <v>22</v>
      </c>
      <c r="N114" s="70">
        <v>4550</v>
      </c>
      <c r="O114" s="70">
        <v>28</v>
      </c>
      <c r="P114" s="71">
        <v>113</v>
      </c>
      <c r="Q114" s="71">
        <v>690</v>
      </c>
      <c r="R114" s="72">
        <v>0.82</v>
      </c>
      <c r="S114" s="71">
        <v>875</v>
      </c>
      <c r="T114" s="71">
        <v>120</v>
      </c>
      <c r="U114" s="73">
        <v>2.2000000000000002</v>
      </c>
      <c r="V114" s="73">
        <v>0.4</v>
      </c>
      <c r="W114" s="72">
        <v>0.21</v>
      </c>
      <c r="X114" s="72">
        <v>0.33</v>
      </c>
      <c r="Y114" s="72">
        <v>0.16</v>
      </c>
      <c r="Z114" s="74">
        <v>0.09</v>
      </c>
      <c r="AA114" s="74">
        <v>4.8000000000000001E-2</v>
      </c>
      <c r="AB114" s="74">
        <v>1.2999999999999999E-2</v>
      </c>
      <c r="AC114" s="74">
        <v>8.1000000000000003E-2</v>
      </c>
      <c r="AE114" s="59"/>
      <c r="AF114" s="59"/>
      <c r="AG114" s="59"/>
      <c r="AH114" s="59"/>
      <c r="AI114" s="62">
        <v>112</v>
      </c>
      <c r="AJ114" s="63" t="str">
        <f ca="1">IF(design_loads!$E$5="","",IF($AI114&gt;INDEX($AG$3:$AG$16,MATCH(design_loads!$E$5,$AE$3:$AE$16)),"&lt;scroll up&gt;",OFFSET(OFFSET('NBCC_C-2'!$B$1,INDEX($AF$3:$AF$16,MATCH(design_loads!$E$5,$AE$3:$AE$16))-1,0),$AI114-1,0)))</f>
        <v>&lt;scroll up&gt;</v>
      </c>
      <c r="AK114" s="63" t="str">
        <f ca="1">IF(design_loads!$E$6="","",IF($AI114&gt;INDEX($AG$3:$AG$16,MATCH(design_loads!$E$6,$AE$3:$AE$16)),"&lt;scroll up&gt;",OFFSET(OFFSET('NBCC_C-2'!$B$1,INDEX($AF$3:$AF$16,MATCH(design_loads!$E$6,$AE$3:$AE$16))-1,0),$AI114-1,0)))</f>
        <v/>
      </c>
      <c r="AL114" s="63" t="str">
        <f ca="1">IF(design_loads!$E$7="","",IF($AI114&gt;INDEX($AG$3:$AG$16,MATCH(design_loads!$E$7,$AE$3:$AE$16)),"&lt;scroll up&gt;",OFFSET(OFFSET('NBCC_C-2'!$B$1,INDEX($AF$3:$AF$16,MATCH(design_loads!$E$7,$AE$3:$AE$16))-1,0),$AI114-1,0)))</f>
        <v/>
      </c>
      <c r="AM114" s="63" t="str">
        <f ca="1">IF(design_loads!$E$8="","",IF($AI114&gt;INDEX($AG$3:$AG$16,MATCH(design_loads!$E$8,$AE$3:$AE$16)),"&lt;scroll up&gt;",OFFSET(OFFSET('NBCC_C-2'!$B$1,INDEX($AF$3:$AF$16,MATCH(design_loads!$E$8,$AE$3:$AE$16))-1,0),$AI114-1,0)))</f>
        <v/>
      </c>
    </row>
    <row r="115" spans="2:39" x14ac:dyDescent="0.2">
      <c r="B115" s="66" t="s">
        <v>452</v>
      </c>
      <c r="C115" s="67" t="s">
        <v>247</v>
      </c>
      <c r="D115" s="68">
        <v>111</v>
      </c>
      <c r="F115" s="66" t="s">
        <v>453</v>
      </c>
      <c r="G115" s="67" t="s">
        <v>257</v>
      </c>
      <c r="H115" s="68">
        <v>16</v>
      </c>
      <c r="I115" s="70">
        <v>20</v>
      </c>
      <c r="J115" s="70">
        <v>-24</v>
      </c>
      <c r="K115" s="70">
        <v>-26</v>
      </c>
      <c r="L115" s="70">
        <v>30</v>
      </c>
      <c r="M115" s="70">
        <v>23</v>
      </c>
      <c r="N115" s="70">
        <v>4550</v>
      </c>
      <c r="O115" s="70">
        <v>23</v>
      </c>
      <c r="P115" s="71">
        <v>86</v>
      </c>
      <c r="Q115" s="71">
        <v>850</v>
      </c>
      <c r="R115" s="72">
        <v>0.96</v>
      </c>
      <c r="S115" s="71">
        <v>1000</v>
      </c>
      <c r="T115" s="71">
        <v>160</v>
      </c>
      <c r="U115" s="73">
        <v>2.2999999999999998</v>
      </c>
      <c r="V115" s="73">
        <v>0.4</v>
      </c>
      <c r="W115" s="72">
        <v>0.31</v>
      </c>
      <c r="X115" s="72">
        <v>0.4</v>
      </c>
      <c r="Y115" s="72">
        <v>0.67</v>
      </c>
      <c r="Z115" s="74">
        <v>0.33</v>
      </c>
      <c r="AA115" s="74">
        <v>0.14000000000000001</v>
      </c>
      <c r="AB115" s="74">
        <v>4.5999999999999999E-2</v>
      </c>
      <c r="AC115" s="74">
        <v>0.42</v>
      </c>
      <c r="AE115" s="59"/>
      <c r="AF115" s="59"/>
      <c r="AG115" s="59"/>
      <c r="AH115" s="59"/>
      <c r="AI115" s="62">
        <v>113</v>
      </c>
      <c r="AJ115" s="63" t="str">
        <f ca="1">IF(design_loads!$E$5="","",IF($AI115&gt;INDEX($AG$3:$AG$16,MATCH(design_loads!$E$5,$AE$3:$AE$16)),"&lt;scroll up&gt;",OFFSET(OFFSET('NBCC_C-2'!$B$1,INDEX($AF$3:$AF$16,MATCH(design_loads!$E$5,$AE$3:$AE$16))-1,0),$AI115-1,0)))</f>
        <v>&lt;scroll up&gt;</v>
      </c>
      <c r="AK115" s="63" t="str">
        <f ca="1">IF(design_loads!$E$6="","",IF($AI115&gt;INDEX($AG$3:$AG$16,MATCH(design_loads!$E$6,$AE$3:$AE$16)),"&lt;scroll up&gt;",OFFSET(OFFSET('NBCC_C-2'!$B$1,INDEX($AF$3:$AF$16,MATCH(design_loads!$E$6,$AE$3:$AE$16))-1,0),$AI115-1,0)))</f>
        <v/>
      </c>
      <c r="AL115" s="63" t="str">
        <f ca="1">IF(design_loads!$E$7="","",IF($AI115&gt;INDEX($AG$3:$AG$16,MATCH(design_loads!$E$7,$AE$3:$AE$16)),"&lt;scroll up&gt;",OFFSET(OFFSET('NBCC_C-2'!$B$1,INDEX($AF$3:$AF$16,MATCH(design_loads!$E$7,$AE$3:$AE$16))-1,0),$AI115-1,0)))</f>
        <v/>
      </c>
      <c r="AM115" s="63" t="str">
        <f ca="1">IF(design_loads!$E$8="","",IF($AI115&gt;INDEX($AG$3:$AG$16,MATCH(design_loads!$E$8,$AE$3:$AE$16)),"&lt;scroll up&gt;",OFFSET(OFFSET('NBCC_C-2'!$B$1,INDEX($AF$3:$AF$16,MATCH(design_loads!$E$8,$AE$3:$AE$16))-1,0),$AI115-1,0)))</f>
        <v/>
      </c>
    </row>
    <row r="116" spans="2:39" x14ac:dyDescent="0.2">
      <c r="B116" s="66" t="s">
        <v>454</v>
      </c>
      <c r="C116" s="67" t="s">
        <v>247</v>
      </c>
      <c r="D116" s="68">
        <v>112</v>
      </c>
      <c r="F116" s="66" t="s">
        <v>455</v>
      </c>
      <c r="G116" s="67" t="s">
        <v>258</v>
      </c>
      <c r="H116" s="68">
        <v>6</v>
      </c>
      <c r="I116" s="70">
        <v>5</v>
      </c>
      <c r="J116" s="70">
        <v>-15</v>
      </c>
      <c r="K116" s="70">
        <v>-17</v>
      </c>
      <c r="L116" s="70">
        <v>19</v>
      </c>
      <c r="M116" s="70">
        <v>18</v>
      </c>
      <c r="N116" s="70">
        <v>5000</v>
      </c>
      <c r="O116" s="70">
        <v>13</v>
      </c>
      <c r="P116" s="71">
        <v>123</v>
      </c>
      <c r="Q116" s="71">
        <v>1175</v>
      </c>
      <c r="R116" s="72">
        <v>1.43</v>
      </c>
      <c r="S116" s="71">
        <v>1520</v>
      </c>
      <c r="T116" s="71">
        <v>450</v>
      </c>
      <c r="U116" s="73">
        <v>3</v>
      </c>
      <c r="V116" s="73">
        <v>0.7</v>
      </c>
      <c r="W116" s="72">
        <v>0.55000000000000004</v>
      </c>
      <c r="X116" s="72">
        <v>0.67</v>
      </c>
      <c r="Y116" s="72">
        <v>0.15</v>
      </c>
      <c r="Z116" s="74">
        <v>9.4E-2</v>
      </c>
      <c r="AA116" s="74">
        <v>5.1999999999999998E-2</v>
      </c>
      <c r="AB116" s="74">
        <v>1.4E-2</v>
      </c>
      <c r="AC116" s="74">
        <v>8.4000000000000005E-2</v>
      </c>
      <c r="AE116" s="59"/>
      <c r="AF116" s="59"/>
      <c r="AG116" s="59"/>
      <c r="AH116" s="59"/>
      <c r="AI116" s="62">
        <v>114</v>
      </c>
      <c r="AJ116" s="63" t="str">
        <f ca="1">IF(design_loads!$E$5="","",IF($AI116&gt;INDEX($AG$3:$AG$16,MATCH(design_loads!$E$5,$AE$3:$AE$16)),"&lt;scroll up&gt;",OFFSET(OFFSET('NBCC_C-2'!$B$1,INDEX($AF$3:$AF$16,MATCH(design_loads!$E$5,$AE$3:$AE$16))-1,0),$AI116-1,0)))</f>
        <v>&lt;scroll up&gt;</v>
      </c>
      <c r="AK116" s="63" t="str">
        <f ca="1">IF(design_loads!$E$6="","",IF($AI116&gt;INDEX($AG$3:$AG$16,MATCH(design_loads!$E$6,$AE$3:$AE$16)),"&lt;scroll up&gt;",OFFSET(OFFSET('NBCC_C-2'!$B$1,INDEX($AF$3:$AF$16,MATCH(design_loads!$E$6,$AE$3:$AE$16))-1,0),$AI116-1,0)))</f>
        <v/>
      </c>
      <c r="AL116" s="63" t="str">
        <f ca="1">IF(design_loads!$E$7="","",IF($AI116&gt;INDEX($AG$3:$AG$16,MATCH(design_loads!$E$7,$AE$3:$AE$16)),"&lt;scroll up&gt;",OFFSET(OFFSET('NBCC_C-2'!$B$1,INDEX($AF$3:$AF$16,MATCH(design_loads!$E$7,$AE$3:$AE$16))-1,0),$AI116-1,0)))</f>
        <v/>
      </c>
      <c r="AM116" s="63" t="str">
        <f ca="1">IF(design_loads!$E$8="","",IF($AI116&gt;INDEX($AG$3:$AG$16,MATCH(design_loads!$E$8,$AE$3:$AE$16)),"&lt;scroll up&gt;",OFFSET(OFFSET('NBCC_C-2'!$B$1,INDEX($AF$3:$AF$16,MATCH(design_loads!$E$8,$AE$3:$AE$16))-1,0),$AI116-1,0)))</f>
        <v/>
      </c>
    </row>
    <row r="117" spans="2:39" x14ac:dyDescent="0.2">
      <c r="B117" s="66" t="s">
        <v>456</v>
      </c>
      <c r="C117" s="67" t="s">
        <v>247</v>
      </c>
      <c r="D117" s="68">
        <v>113</v>
      </c>
      <c r="F117" s="66" t="s">
        <v>457</v>
      </c>
      <c r="G117" s="67" t="s">
        <v>264</v>
      </c>
      <c r="H117" s="68">
        <v>32</v>
      </c>
      <c r="I117" s="70">
        <v>425</v>
      </c>
      <c r="J117" s="70">
        <v>-35</v>
      </c>
      <c r="K117" s="70">
        <v>-38</v>
      </c>
      <c r="L117" s="70">
        <v>27</v>
      </c>
      <c r="M117" s="70">
        <v>21</v>
      </c>
      <c r="N117" s="70">
        <v>6200</v>
      </c>
      <c r="O117" s="70">
        <v>23</v>
      </c>
      <c r="P117" s="71">
        <v>97</v>
      </c>
      <c r="Q117" s="71">
        <v>530</v>
      </c>
      <c r="R117" s="72">
        <v>0.72</v>
      </c>
      <c r="S117" s="71">
        <v>850</v>
      </c>
      <c r="T117" s="71">
        <v>80</v>
      </c>
      <c r="U117" s="73">
        <v>4</v>
      </c>
      <c r="V117" s="73">
        <v>0.4</v>
      </c>
      <c r="W117" s="72">
        <v>0.19</v>
      </c>
      <c r="X117" s="72">
        <v>0.28000000000000003</v>
      </c>
      <c r="Y117" s="72">
        <v>0.12</v>
      </c>
      <c r="Z117" s="74">
        <v>5.8000000000000003E-2</v>
      </c>
      <c r="AA117" s="74">
        <v>2.9000000000000001E-2</v>
      </c>
      <c r="AB117" s="74">
        <v>8.9999999999999993E-3</v>
      </c>
      <c r="AC117" s="74">
        <v>5.8999999999999997E-2</v>
      </c>
      <c r="AE117" s="59"/>
      <c r="AF117" s="59"/>
      <c r="AG117" s="59"/>
      <c r="AH117" s="59"/>
      <c r="AI117" s="62">
        <v>115</v>
      </c>
      <c r="AJ117" s="63" t="str">
        <f ca="1">IF(design_loads!$E$5="","",IF($AI117&gt;INDEX($AG$3:$AG$16,MATCH(design_loads!$E$5,$AE$3:$AE$16)),"&lt;scroll up&gt;",OFFSET(OFFSET('NBCC_C-2'!$B$1,INDEX($AF$3:$AF$16,MATCH(design_loads!$E$5,$AE$3:$AE$16))-1,0),$AI117-1,0)))</f>
        <v>&lt;scroll up&gt;</v>
      </c>
      <c r="AK117" s="63" t="str">
        <f ca="1">IF(design_loads!$E$6="","",IF($AI117&gt;INDEX($AG$3:$AG$16,MATCH(design_loads!$E$6,$AE$3:$AE$16)),"&lt;scroll up&gt;",OFFSET(OFFSET('NBCC_C-2'!$B$1,INDEX($AF$3:$AF$16,MATCH(design_loads!$E$6,$AE$3:$AE$16))-1,0),$AI117-1,0)))</f>
        <v/>
      </c>
      <c r="AL117" s="63" t="str">
        <f ca="1">IF(design_loads!$E$7="","",IF($AI117&gt;INDEX($AG$3:$AG$16,MATCH(design_loads!$E$7,$AE$3:$AE$16)),"&lt;scroll up&gt;",OFFSET(OFFSET('NBCC_C-2'!$B$1,INDEX($AF$3:$AF$16,MATCH(design_loads!$E$7,$AE$3:$AE$16))-1,0),$AI117-1,0)))</f>
        <v/>
      </c>
      <c r="AM117" s="63" t="str">
        <f ca="1">IF(design_loads!$E$8="","",IF($AI117&gt;INDEX($AG$3:$AG$16,MATCH(design_loads!$E$8,$AE$3:$AE$16)),"&lt;scroll up&gt;",OFFSET(OFFSET('NBCC_C-2'!$B$1,INDEX($AF$3:$AF$16,MATCH(design_loads!$E$8,$AE$3:$AE$16))-1,0),$AI117-1,0)))</f>
        <v/>
      </c>
    </row>
    <row r="118" spans="2:39" x14ac:dyDescent="0.2">
      <c r="B118" s="66" t="s">
        <v>458</v>
      </c>
      <c r="C118" s="67" t="s">
        <v>247</v>
      </c>
      <c r="D118" s="68">
        <v>114</v>
      </c>
      <c r="F118" s="66" t="s">
        <v>459</v>
      </c>
      <c r="G118" s="67" t="s">
        <v>273</v>
      </c>
      <c r="H118" s="68">
        <v>1</v>
      </c>
      <c r="I118" s="70">
        <v>5</v>
      </c>
      <c r="J118" s="70">
        <v>-20</v>
      </c>
      <c r="K118" s="70">
        <v>-22</v>
      </c>
      <c r="L118" s="70">
        <v>26</v>
      </c>
      <c r="M118" s="70">
        <v>21</v>
      </c>
      <c r="N118" s="70">
        <v>4600</v>
      </c>
      <c r="O118" s="70">
        <v>13</v>
      </c>
      <c r="P118" s="71">
        <v>107</v>
      </c>
      <c r="Q118" s="71">
        <v>900</v>
      </c>
      <c r="R118" s="72">
        <v>1.0900000000000001</v>
      </c>
      <c r="S118" s="71">
        <v>1150</v>
      </c>
      <c r="T118" s="71">
        <v>350</v>
      </c>
      <c r="U118" s="73">
        <v>2.7</v>
      </c>
      <c r="V118" s="73">
        <v>0.6</v>
      </c>
      <c r="W118" s="72">
        <v>0.46</v>
      </c>
      <c r="X118" s="72">
        <v>0.6</v>
      </c>
      <c r="Y118" s="72">
        <v>0.16</v>
      </c>
      <c r="Z118" s="74">
        <v>0.1</v>
      </c>
      <c r="AA118" s="74">
        <v>5.3999999999999999E-2</v>
      </c>
      <c r="AB118" s="74">
        <v>1.6E-2</v>
      </c>
      <c r="AC118" s="74">
        <v>8.1000000000000003E-2</v>
      </c>
      <c r="AE118" s="59"/>
      <c r="AF118" s="59"/>
      <c r="AG118" s="59"/>
      <c r="AH118" s="59"/>
      <c r="AI118" s="62">
        <v>116</v>
      </c>
      <c r="AJ118" s="63" t="str">
        <f ca="1">IF(design_loads!$E$5="","",IF($AI118&gt;INDEX($AG$3:$AG$16,MATCH(design_loads!$E$5,$AE$3:$AE$16)),"&lt;scroll up&gt;",OFFSET(OFFSET('NBCC_C-2'!$B$1,INDEX($AF$3:$AF$16,MATCH(design_loads!$E$5,$AE$3:$AE$16))-1,0),$AI118-1,0)))</f>
        <v>&lt;scroll up&gt;</v>
      </c>
      <c r="AK118" s="63" t="str">
        <f ca="1">IF(design_loads!$E$6="","",IF($AI118&gt;INDEX($AG$3:$AG$16,MATCH(design_loads!$E$6,$AE$3:$AE$16)),"&lt;scroll up&gt;",OFFSET(OFFSET('NBCC_C-2'!$B$1,INDEX($AF$3:$AF$16,MATCH(design_loads!$E$6,$AE$3:$AE$16))-1,0),$AI118-1,0)))</f>
        <v/>
      </c>
      <c r="AL118" s="63" t="str">
        <f ca="1">IF(design_loads!$E$7="","",IF($AI118&gt;INDEX($AG$3:$AG$16,MATCH(design_loads!$E$7,$AE$3:$AE$16)),"&lt;scroll up&gt;",OFFSET(OFFSET('NBCC_C-2'!$B$1,INDEX($AF$3:$AF$16,MATCH(design_loads!$E$7,$AE$3:$AE$16))-1,0),$AI118-1,0)))</f>
        <v/>
      </c>
      <c r="AM118" s="63" t="str">
        <f ca="1">IF(design_loads!$E$8="","",IF($AI118&gt;INDEX($AG$3:$AG$16,MATCH(design_loads!$E$8,$AE$3:$AE$16)),"&lt;scroll up&gt;",OFFSET(OFFSET('NBCC_C-2'!$B$1,INDEX($AF$3:$AF$16,MATCH(design_loads!$E$8,$AE$3:$AE$16))-1,0),$AI118-1,0)))</f>
        <v/>
      </c>
    </row>
    <row r="119" spans="2:39" x14ac:dyDescent="0.2">
      <c r="B119" s="66" t="s">
        <v>460</v>
      </c>
      <c r="C119" s="67" t="s">
        <v>247</v>
      </c>
      <c r="D119" s="68">
        <v>115</v>
      </c>
      <c r="F119" s="66" t="s">
        <v>461</v>
      </c>
      <c r="G119" s="67" t="s">
        <v>254</v>
      </c>
      <c r="H119" s="68">
        <v>4</v>
      </c>
      <c r="I119" s="70">
        <v>5</v>
      </c>
      <c r="J119" s="70">
        <v>-24</v>
      </c>
      <c r="K119" s="70">
        <v>-26</v>
      </c>
      <c r="L119" s="70">
        <v>30</v>
      </c>
      <c r="M119" s="70">
        <v>21</v>
      </c>
      <c r="N119" s="70">
        <v>5000</v>
      </c>
      <c r="O119" s="70">
        <v>20</v>
      </c>
      <c r="P119" s="71">
        <v>96</v>
      </c>
      <c r="Q119" s="71">
        <v>825</v>
      </c>
      <c r="R119" s="72">
        <v>0.97</v>
      </c>
      <c r="S119" s="71">
        <v>1050</v>
      </c>
      <c r="T119" s="71">
        <v>200</v>
      </c>
      <c r="U119" s="73">
        <v>3.4</v>
      </c>
      <c r="V119" s="73">
        <v>0.6</v>
      </c>
      <c r="W119" s="72">
        <v>0.28999999999999998</v>
      </c>
      <c r="X119" s="72">
        <v>0.41</v>
      </c>
      <c r="Y119" s="72">
        <v>0.41</v>
      </c>
      <c r="Z119" s="74">
        <v>0.22</v>
      </c>
      <c r="AA119" s="74">
        <v>8.3000000000000004E-2</v>
      </c>
      <c r="AB119" s="74">
        <v>2.7E-2</v>
      </c>
      <c r="AC119" s="74">
        <v>0.28999999999999998</v>
      </c>
      <c r="AE119" s="59"/>
      <c r="AF119" s="59"/>
      <c r="AG119" s="59"/>
      <c r="AH119" s="59"/>
      <c r="AI119" s="62">
        <v>117</v>
      </c>
      <c r="AJ119" s="63" t="str">
        <f ca="1">IF(design_loads!$E$5="","",IF($AI119&gt;INDEX($AG$3:$AG$16,MATCH(design_loads!$E$5,$AE$3:$AE$16)),"&lt;scroll up&gt;",OFFSET(OFFSET('NBCC_C-2'!$B$1,INDEX($AF$3:$AF$16,MATCH(design_loads!$E$5,$AE$3:$AE$16))-1,0),$AI119-1,0)))</f>
        <v>&lt;scroll up&gt;</v>
      </c>
      <c r="AK119" s="63" t="str">
        <f ca="1">IF(design_loads!$E$6="","",IF($AI119&gt;INDEX($AG$3:$AG$16,MATCH(design_loads!$E$6,$AE$3:$AE$16)),"&lt;scroll up&gt;",OFFSET(OFFSET('NBCC_C-2'!$B$1,INDEX($AF$3:$AF$16,MATCH(design_loads!$E$6,$AE$3:$AE$16))-1,0),$AI119-1,0)))</f>
        <v/>
      </c>
      <c r="AL119" s="63" t="str">
        <f ca="1">IF(design_loads!$E$7="","",IF($AI119&gt;INDEX($AG$3:$AG$16,MATCH(design_loads!$E$7,$AE$3:$AE$16)),"&lt;scroll up&gt;",OFFSET(OFFSET('NBCC_C-2'!$B$1,INDEX($AF$3:$AF$16,MATCH(design_loads!$E$7,$AE$3:$AE$16))-1,0),$AI119-1,0)))</f>
        <v/>
      </c>
      <c r="AM119" s="63" t="str">
        <f ca="1">IF(design_loads!$E$8="","",IF($AI119&gt;INDEX($AG$3:$AG$16,MATCH(design_loads!$E$8,$AE$3:$AE$16)),"&lt;scroll up&gt;",OFFSET(OFFSET('NBCC_C-2'!$B$1,INDEX($AF$3:$AF$16,MATCH(design_loads!$E$8,$AE$3:$AE$16))-1,0),$AI119-1,0)))</f>
        <v/>
      </c>
    </row>
    <row r="120" spans="2:39" x14ac:dyDescent="0.2">
      <c r="B120" s="66" t="s">
        <v>462</v>
      </c>
      <c r="C120" s="67" t="s">
        <v>247</v>
      </c>
      <c r="D120" s="68">
        <v>116</v>
      </c>
      <c r="F120" s="66" t="s">
        <v>461</v>
      </c>
      <c r="G120" s="67" t="s">
        <v>264</v>
      </c>
      <c r="H120" s="68">
        <v>33</v>
      </c>
      <c r="I120" s="70">
        <v>180</v>
      </c>
      <c r="J120" s="70">
        <v>-16</v>
      </c>
      <c r="K120" s="70">
        <v>-18</v>
      </c>
      <c r="L120" s="70">
        <v>31</v>
      </c>
      <c r="M120" s="70">
        <v>24</v>
      </c>
      <c r="N120" s="70">
        <v>3750</v>
      </c>
      <c r="O120" s="70">
        <v>28</v>
      </c>
      <c r="P120" s="71">
        <v>103</v>
      </c>
      <c r="Q120" s="71">
        <v>800</v>
      </c>
      <c r="R120" s="72">
        <v>0.86</v>
      </c>
      <c r="S120" s="71">
        <v>850</v>
      </c>
      <c r="T120" s="71">
        <v>180</v>
      </c>
      <c r="U120" s="73">
        <v>1</v>
      </c>
      <c r="V120" s="73">
        <v>0.4</v>
      </c>
      <c r="W120" s="72">
        <v>0.32</v>
      </c>
      <c r="X120" s="72">
        <v>0.43</v>
      </c>
      <c r="Y120" s="72">
        <v>0.2</v>
      </c>
      <c r="Z120" s="74">
        <v>9.5000000000000001E-2</v>
      </c>
      <c r="AA120" s="74">
        <v>4.3999999999999997E-2</v>
      </c>
      <c r="AB120" s="74">
        <v>1.2E-2</v>
      </c>
      <c r="AC120" s="74">
        <v>0.13</v>
      </c>
      <c r="AE120" s="59"/>
      <c r="AF120" s="59"/>
      <c r="AG120" s="59"/>
      <c r="AH120" s="59"/>
      <c r="AI120" s="62">
        <v>118</v>
      </c>
      <c r="AJ120" s="63" t="str">
        <f ca="1">IF(design_loads!$E$5="","",IF($AI120&gt;INDEX($AG$3:$AG$16,MATCH(design_loads!$E$5,$AE$3:$AE$16)),"&lt;scroll up&gt;",OFFSET(OFFSET('NBCC_C-2'!$B$1,INDEX($AF$3:$AF$16,MATCH(design_loads!$E$5,$AE$3:$AE$16))-1,0),$AI120-1,0)))</f>
        <v>&lt;scroll up&gt;</v>
      </c>
      <c r="AK120" s="63" t="str">
        <f ca="1">IF(design_loads!$E$6="","",IF($AI120&gt;INDEX($AG$3:$AG$16,MATCH(design_loads!$E$6,$AE$3:$AE$16)),"&lt;scroll up&gt;",OFFSET(OFFSET('NBCC_C-2'!$B$1,INDEX($AF$3:$AF$16,MATCH(design_loads!$E$6,$AE$3:$AE$16))-1,0),$AI120-1,0)))</f>
        <v/>
      </c>
      <c r="AL120" s="63" t="str">
        <f ca="1">IF(design_loads!$E$7="","",IF($AI120&gt;INDEX($AG$3:$AG$16,MATCH(design_loads!$E$7,$AE$3:$AE$16)),"&lt;scroll up&gt;",OFFSET(OFFSET('NBCC_C-2'!$B$1,INDEX($AF$3:$AF$16,MATCH(design_loads!$E$7,$AE$3:$AE$16))-1,0),$AI120-1,0)))</f>
        <v/>
      </c>
      <c r="AM120" s="63" t="str">
        <f ca="1">IF(design_loads!$E$8="","",IF($AI120&gt;INDEX($AG$3:$AG$16,MATCH(design_loads!$E$8,$AE$3:$AE$16)),"&lt;scroll up&gt;",OFFSET(OFFSET('NBCC_C-2'!$B$1,INDEX($AF$3:$AF$16,MATCH(design_loads!$E$8,$AE$3:$AE$16))-1,0),$AI120-1,0)))</f>
        <v/>
      </c>
    </row>
    <row r="121" spans="2:39" x14ac:dyDescent="0.2">
      <c r="B121" s="66" t="s">
        <v>463</v>
      </c>
      <c r="C121" s="67" t="s">
        <v>247</v>
      </c>
      <c r="D121" s="68">
        <v>117</v>
      </c>
      <c r="F121" s="66" t="s">
        <v>464</v>
      </c>
      <c r="G121" s="67" t="s">
        <v>264</v>
      </c>
      <c r="H121" s="68">
        <v>34</v>
      </c>
      <c r="I121" s="70">
        <v>275</v>
      </c>
      <c r="J121" s="70">
        <v>-19</v>
      </c>
      <c r="K121" s="70">
        <v>-21</v>
      </c>
      <c r="L121" s="70">
        <v>29</v>
      </c>
      <c r="M121" s="70">
        <v>22</v>
      </c>
      <c r="N121" s="70">
        <v>4500</v>
      </c>
      <c r="O121" s="70">
        <v>28</v>
      </c>
      <c r="P121" s="71">
        <v>103</v>
      </c>
      <c r="Q121" s="71">
        <v>810</v>
      </c>
      <c r="R121" s="72">
        <v>0.94</v>
      </c>
      <c r="S121" s="71">
        <v>1125</v>
      </c>
      <c r="T121" s="71">
        <v>140</v>
      </c>
      <c r="U121" s="73">
        <v>2.8</v>
      </c>
      <c r="V121" s="73">
        <v>0.4</v>
      </c>
      <c r="W121" s="72">
        <v>0.33</v>
      </c>
      <c r="X121" s="72">
        <v>0.48</v>
      </c>
      <c r="Y121" s="72">
        <v>0.13</v>
      </c>
      <c r="Z121" s="74">
        <v>7.6999999999999999E-2</v>
      </c>
      <c r="AA121" s="74">
        <v>4.1000000000000002E-2</v>
      </c>
      <c r="AB121" s="74">
        <v>1.0999999999999999E-2</v>
      </c>
      <c r="AC121" s="74">
        <v>6.3E-2</v>
      </c>
      <c r="AE121" s="59"/>
      <c r="AF121" s="59"/>
      <c r="AG121" s="59"/>
      <c r="AH121" s="59"/>
      <c r="AI121" s="62">
        <v>119</v>
      </c>
      <c r="AJ121" s="63" t="str">
        <f ca="1">IF(design_loads!$E$5="","",IF($AI121&gt;INDEX($AG$3:$AG$16,MATCH(design_loads!$E$5,$AE$3:$AE$16)),"&lt;scroll up&gt;",OFFSET(OFFSET('NBCC_C-2'!$B$1,INDEX($AF$3:$AF$16,MATCH(design_loads!$E$5,$AE$3:$AE$16))-1,0),$AI121-1,0)))</f>
        <v>&lt;scroll up&gt;</v>
      </c>
      <c r="AK121" s="63" t="str">
        <f ca="1">IF(design_loads!$E$6="","",IF($AI121&gt;INDEX($AG$3:$AG$16,MATCH(design_loads!$E$6,$AE$3:$AE$16)),"&lt;scroll up&gt;",OFFSET(OFFSET('NBCC_C-2'!$B$1,INDEX($AF$3:$AF$16,MATCH(design_loads!$E$6,$AE$3:$AE$16))-1,0),$AI121-1,0)))</f>
        <v/>
      </c>
      <c r="AL121" s="63" t="str">
        <f ca="1">IF(design_loads!$E$7="","",IF($AI121&gt;INDEX($AG$3:$AG$16,MATCH(design_loads!$E$7,$AE$3:$AE$16)),"&lt;scroll up&gt;",OFFSET(OFFSET('NBCC_C-2'!$B$1,INDEX($AF$3:$AF$16,MATCH(design_loads!$E$7,$AE$3:$AE$16))-1,0),$AI121-1,0)))</f>
        <v/>
      </c>
      <c r="AM121" s="63" t="str">
        <f ca="1">IF(design_loads!$E$8="","",IF($AI121&gt;INDEX($AG$3:$AG$16,MATCH(design_loads!$E$8,$AE$3:$AE$16)),"&lt;scroll up&gt;",OFFSET(OFFSET('NBCC_C-2'!$B$1,INDEX($AF$3:$AF$16,MATCH(design_loads!$E$8,$AE$3:$AE$16))-1,0),$AI121-1,0)))</f>
        <v/>
      </c>
    </row>
    <row r="122" spans="2:39" x14ac:dyDescent="0.2">
      <c r="B122" s="66" t="s">
        <v>465</v>
      </c>
      <c r="C122" s="67" t="s">
        <v>247</v>
      </c>
      <c r="D122" s="68">
        <v>118</v>
      </c>
      <c r="F122" s="66" t="s">
        <v>466</v>
      </c>
      <c r="G122" s="67" t="s">
        <v>267</v>
      </c>
      <c r="H122" s="68">
        <v>6</v>
      </c>
      <c r="I122" s="70">
        <v>10</v>
      </c>
      <c r="J122" s="70">
        <v>-40</v>
      </c>
      <c r="K122" s="70">
        <v>-41</v>
      </c>
      <c r="L122" s="70">
        <v>20</v>
      </c>
      <c r="M122" s="70">
        <v>14</v>
      </c>
      <c r="N122" s="70">
        <v>10500</v>
      </c>
      <c r="O122" s="70">
        <v>5</v>
      </c>
      <c r="P122" s="71">
        <v>60</v>
      </c>
      <c r="Q122" s="71">
        <v>175</v>
      </c>
      <c r="R122" s="72">
        <v>0.88</v>
      </c>
      <c r="S122" s="71">
        <v>270</v>
      </c>
      <c r="T122" s="71">
        <v>240</v>
      </c>
      <c r="U122" s="73">
        <v>3</v>
      </c>
      <c r="V122" s="73">
        <v>0.2</v>
      </c>
      <c r="W122" s="72">
        <v>0.44</v>
      </c>
      <c r="X122" s="72">
        <v>0.56000000000000005</v>
      </c>
      <c r="Y122" s="72">
        <v>0.16</v>
      </c>
      <c r="Z122" s="74">
        <v>7.4999999999999997E-2</v>
      </c>
      <c r="AA122" s="74">
        <v>3.9E-2</v>
      </c>
      <c r="AB122" s="74">
        <v>8.9999999999999993E-3</v>
      </c>
      <c r="AC122" s="74">
        <v>9.8000000000000004E-2</v>
      </c>
      <c r="AE122" s="59"/>
      <c r="AF122" s="59"/>
      <c r="AG122" s="59"/>
      <c r="AH122" s="59"/>
      <c r="AI122" s="62">
        <v>120</v>
      </c>
      <c r="AJ122" s="63" t="str">
        <f ca="1">IF(design_loads!$E$5="","",IF($AI122&gt;INDEX($AG$3:$AG$16,MATCH(design_loads!$E$5,$AE$3:$AE$16)),"&lt;scroll up&gt;",OFFSET(OFFSET('NBCC_C-2'!$B$1,INDEX($AF$3:$AF$16,MATCH(design_loads!$E$5,$AE$3:$AE$16))-1,0),$AI122-1,0)))</f>
        <v>&lt;scroll up&gt;</v>
      </c>
      <c r="AK122" s="63" t="str">
        <f ca="1">IF(design_loads!$E$6="","",IF($AI122&gt;INDEX($AG$3:$AG$16,MATCH(design_loads!$E$6,$AE$3:$AE$16)),"&lt;scroll up&gt;",OFFSET(OFFSET('NBCC_C-2'!$B$1,INDEX($AF$3:$AF$16,MATCH(design_loads!$E$6,$AE$3:$AE$16))-1,0),$AI122-1,0)))</f>
        <v/>
      </c>
      <c r="AL122" s="63" t="str">
        <f ca="1">IF(design_loads!$E$7="","",IF($AI122&gt;INDEX($AG$3:$AG$16,MATCH(design_loads!$E$7,$AE$3:$AE$16)),"&lt;scroll up&gt;",OFFSET(OFFSET('NBCC_C-2'!$B$1,INDEX($AF$3:$AF$16,MATCH(design_loads!$E$7,$AE$3:$AE$16))-1,0),$AI122-1,0)))</f>
        <v/>
      </c>
      <c r="AM122" s="63" t="str">
        <f ca="1">IF(design_loads!$E$8="","",IF($AI122&gt;INDEX($AG$3:$AG$16,MATCH(design_loads!$E$8,$AE$3:$AE$16)),"&lt;scroll up&gt;",OFFSET(OFFSET('NBCC_C-2'!$B$1,INDEX($AF$3:$AF$16,MATCH(design_loads!$E$8,$AE$3:$AE$16))-1,0),$AI122-1,0)))</f>
        <v/>
      </c>
    </row>
    <row r="123" spans="2:39" x14ac:dyDescent="0.2">
      <c r="B123" s="66" t="s">
        <v>467</v>
      </c>
      <c r="C123" s="67" t="s">
        <v>247</v>
      </c>
      <c r="D123" s="68">
        <v>119</v>
      </c>
      <c r="F123" s="66" t="s">
        <v>468</v>
      </c>
      <c r="G123" s="67" t="s">
        <v>224</v>
      </c>
      <c r="H123" s="68">
        <v>13</v>
      </c>
      <c r="I123" s="70">
        <v>605</v>
      </c>
      <c r="J123" s="70">
        <v>-35</v>
      </c>
      <c r="K123" s="70">
        <v>-38</v>
      </c>
      <c r="L123" s="70">
        <v>27</v>
      </c>
      <c r="M123" s="70">
        <v>18</v>
      </c>
      <c r="N123" s="70">
        <v>5800</v>
      </c>
      <c r="O123" s="70">
        <v>15</v>
      </c>
      <c r="P123" s="71">
        <v>75</v>
      </c>
      <c r="Q123" s="71">
        <v>400</v>
      </c>
      <c r="R123" s="72">
        <v>0.57999999999999996</v>
      </c>
      <c r="S123" s="71">
        <v>625</v>
      </c>
      <c r="T123" s="71">
        <v>60</v>
      </c>
      <c r="U123" s="73">
        <v>2.4</v>
      </c>
      <c r="V123" s="73">
        <v>0.2</v>
      </c>
      <c r="W123" s="72">
        <v>0.32</v>
      </c>
      <c r="X123" s="72">
        <v>0.4</v>
      </c>
      <c r="Y123" s="72">
        <v>0.24</v>
      </c>
      <c r="Z123" s="74">
        <v>0.14000000000000001</v>
      </c>
      <c r="AA123" s="74">
        <v>6.4000000000000001E-2</v>
      </c>
      <c r="AB123" s="74">
        <v>3.5000000000000003E-2</v>
      </c>
      <c r="AC123" s="74">
        <v>0.12</v>
      </c>
      <c r="AE123" s="59"/>
      <c r="AF123" s="59"/>
      <c r="AG123" s="59"/>
      <c r="AH123" s="59"/>
      <c r="AI123" s="62">
        <v>121</v>
      </c>
      <c r="AJ123" s="63" t="str">
        <f ca="1">IF(design_loads!$E$5="","",IF($AI123&gt;INDEX($AG$3:$AG$16,MATCH(design_loads!$E$5,$AE$3:$AE$16)),"&lt;scroll up&gt;",OFFSET(OFFSET('NBCC_C-2'!$B$1,INDEX($AF$3:$AF$16,MATCH(design_loads!$E$5,$AE$3:$AE$16))-1,0),$AI123-1,0)))</f>
        <v>&lt;scroll up&gt;</v>
      </c>
      <c r="AK123" s="63" t="str">
        <f ca="1">IF(design_loads!$E$6="","",IF($AI123&gt;INDEX($AG$3:$AG$16,MATCH(design_loads!$E$6,$AE$3:$AE$16)),"&lt;scroll up&gt;",OFFSET(OFFSET('NBCC_C-2'!$B$1,INDEX($AF$3:$AF$16,MATCH(design_loads!$E$6,$AE$3:$AE$16))-1,0),$AI123-1,0)))</f>
        <v/>
      </c>
      <c r="AL123" s="63" t="str">
        <f ca="1">IF(design_loads!$E$7="","",IF($AI123&gt;INDEX($AG$3:$AG$16,MATCH(design_loads!$E$7,$AE$3:$AE$16)),"&lt;scroll up&gt;",OFFSET(OFFSET('NBCC_C-2'!$B$1,INDEX($AF$3:$AF$16,MATCH(design_loads!$E$7,$AE$3:$AE$16))-1,0),$AI123-1,0)))</f>
        <v/>
      </c>
      <c r="AM123" s="63" t="str">
        <f ca="1">IF(design_loads!$E$8="","",IF($AI123&gt;INDEX($AG$3:$AG$16,MATCH(design_loads!$E$8,$AE$3:$AE$16)),"&lt;scroll up&gt;",OFFSET(OFFSET('NBCC_C-2'!$B$1,INDEX($AF$3:$AF$16,MATCH(design_loads!$E$8,$AE$3:$AE$16))-1,0),$AI123-1,0)))</f>
        <v/>
      </c>
    </row>
    <row r="124" spans="2:39" x14ac:dyDescent="0.2">
      <c r="B124" s="66" t="s">
        <v>469</v>
      </c>
      <c r="C124" s="67" t="s">
        <v>247</v>
      </c>
      <c r="D124" s="68">
        <v>120</v>
      </c>
      <c r="F124" s="66" t="s">
        <v>470</v>
      </c>
      <c r="G124" s="67" t="s">
        <v>257</v>
      </c>
      <c r="H124" s="68">
        <v>17</v>
      </c>
      <c r="I124" s="70">
        <v>10</v>
      </c>
      <c r="J124" s="70">
        <v>-30</v>
      </c>
      <c r="K124" s="70">
        <v>-32</v>
      </c>
      <c r="L124" s="70">
        <v>28</v>
      </c>
      <c r="M124" s="70">
        <v>21</v>
      </c>
      <c r="N124" s="70">
        <v>5700</v>
      </c>
      <c r="O124" s="70">
        <v>18</v>
      </c>
      <c r="P124" s="71">
        <v>86</v>
      </c>
      <c r="Q124" s="71">
        <v>710</v>
      </c>
      <c r="R124" s="72">
        <v>0.88</v>
      </c>
      <c r="S124" s="71">
        <v>975</v>
      </c>
      <c r="T124" s="71">
        <v>140</v>
      </c>
      <c r="U124" s="73">
        <v>2.5</v>
      </c>
      <c r="V124" s="73">
        <v>0.4</v>
      </c>
      <c r="W124" s="72">
        <v>0.25</v>
      </c>
      <c r="X124" s="72">
        <v>0.36</v>
      </c>
      <c r="Y124" s="72">
        <v>0.62</v>
      </c>
      <c r="Z124" s="74">
        <v>0.3</v>
      </c>
      <c r="AA124" s="74">
        <v>0.14000000000000001</v>
      </c>
      <c r="AB124" s="74">
        <v>4.7E-2</v>
      </c>
      <c r="AC124" s="74">
        <v>0.39</v>
      </c>
      <c r="AE124" s="59"/>
      <c r="AF124" s="59"/>
      <c r="AG124" s="59"/>
      <c r="AH124" s="59"/>
      <c r="AI124" s="62">
        <v>122</v>
      </c>
      <c r="AJ124" s="63" t="str">
        <f ca="1">IF(design_loads!$E$5="","",IF($AI124&gt;INDEX($AG$3:$AG$16,MATCH(design_loads!$E$5,$AE$3:$AE$16)),"&lt;scroll up&gt;",OFFSET(OFFSET('NBCC_C-2'!$B$1,INDEX($AF$3:$AF$16,MATCH(design_loads!$E$5,$AE$3:$AE$16))-1,0),$AI124-1,0)))</f>
        <v>&lt;scroll up&gt;</v>
      </c>
      <c r="AK124" s="63" t="str">
        <f ca="1">IF(design_loads!$E$6="","",IF($AI124&gt;INDEX($AG$3:$AG$16,MATCH(design_loads!$E$6,$AE$3:$AE$16)),"&lt;scroll up&gt;",OFFSET(OFFSET('NBCC_C-2'!$B$1,INDEX($AF$3:$AF$16,MATCH(design_loads!$E$6,$AE$3:$AE$16))-1,0),$AI124-1,0)))</f>
        <v/>
      </c>
      <c r="AL124" s="63" t="str">
        <f ca="1">IF(design_loads!$E$7="","",IF($AI124&gt;INDEX($AG$3:$AG$16,MATCH(design_loads!$E$7,$AE$3:$AE$16)),"&lt;scroll up&gt;",OFFSET(OFFSET('NBCC_C-2'!$B$1,INDEX($AF$3:$AF$16,MATCH(design_loads!$E$7,$AE$3:$AE$16))-1,0),$AI124-1,0)))</f>
        <v/>
      </c>
      <c r="AM124" s="63" t="str">
        <f ca="1">IF(design_loads!$E$8="","",IF($AI124&gt;INDEX($AG$3:$AG$16,MATCH(design_loads!$E$8,$AE$3:$AE$16)),"&lt;scroll up&gt;",OFFSET(OFFSET('NBCC_C-2'!$B$1,INDEX($AF$3:$AF$16,MATCH(design_loads!$E$8,$AE$3:$AE$16))-1,0),$AI124-1,0)))</f>
        <v/>
      </c>
    </row>
    <row r="125" spans="2:39" x14ac:dyDescent="0.2">
      <c r="B125" s="66" t="s">
        <v>471</v>
      </c>
      <c r="C125" s="67" t="s">
        <v>247</v>
      </c>
      <c r="D125" s="68">
        <v>121</v>
      </c>
      <c r="F125" s="66" t="s">
        <v>472</v>
      </c>
      <c r="G125" s="67" t="s">
        <v>257</v>
      </c>
      <c r="H125" s="68">
        <v>18</v>
      </c>
      <c r="I125" s="70">
        <v>5</v>
      </c>
      <c r="J125" s="70">
        <v>-31</v>
      </c>
      <c r="K125" s="70">
        <v>-33</v>
      </c>
      <c r="L125" s="70">
        <v>28</v>
      </c>
      <c r="M125" s="70">
        <v>21</v>
      </c>
      <c r="N125" s="70">
        <v>5800</v>
      </c>
      <c r="O125" s="70">
        <v>18</v>
      </c>
      <c r="P125" s="71">
        <v>86</v>
      </c>
      <c r="Q125" s="71">
        <v>690</v>
      </c>
      <c r="R125" s="72">
        <v>0.86</v>
      </c>
      <c r="S125" s="71">
        <v>925</v>
      </c>
      <c r="T125" s="71">
        <v>160</v>
      </c>
      <c r="U125" s="73">
        <v>2.4</v>
      </c>
      <c r="V125" s="73">
        <v>0.4</v>
      </c>
      <c r="W125" s="72">
        <v>0.27</v>
      </c>
      <c r="X125" s="72">
        <v>0.38</v>
      </c>
      <c r="Y125" s="72">
        <v>0.63</v>
      </c>
      <c r="Z125" s="74">
        <v>0.33</v>
      </c>
      <c r="AA125" s="74">
        <v>0.16</v>
      </c>
      <c r="AB125" s="74">
        <v>5.2999999999999999E-2</v>
      </c>
      <c r="AC125" s="74">
        <v>0.4</v>
      </c>
      <c r="AE125" s="59"/>
      <c r="AF125" s="59"/>
      <c r="AG125" s="59"/>
      <c r="AH125" s="59"/>
      <c r="AI125" s="62">
        <v>123</v>
      </c>
      <c r="AJ125" s="63" t="str">
        <f ca="1">IF(design_loads!$E$5="","",IF($AI125&gt;INDEX($AG$3:$AG$16,MATCH(design_loads!$E$5,$AE$3:$AE$16)),"&lt;scroll up&gt;",OFFSET(OFFSET('NBCC_C-2'!$B$1,INDEX($AF$3:$AF$16,MATCH(design_loads!$E$5,$AE$3:$AE$16))-1,0),$AI125-1,0)))</f>
        <v>&lt;scroll up&gt;</v>
      </c>
      <c r="AK125" s="63" t="str">
        <f ca="1">IF(design_loads!$E$6="","",IF($AI125&gt;INDEX($AG$3:$AG$16,MATCH(design_loads!$E$6,$AE$3:$AE$16)),"&lt;scroll up&gt;",OFFSET(OFFSET('NBCC_C-2'!$B$1,INDEX($AF$3:$AF$16,MATCH(design_loads!$E$6,$AE$3:$AE$16))-1,0),$AI125-1,0)))</f>
        <v/>
      </c>
      <c r="AL125" s="63" t="str">
        <f ca="1">IF(design_loads!$E$7="","",IF($AI125&gt;INDEX($AG$3:$AG$16,MATCH(design_loads!$E$7,$AE$3:$AE$16)),"&lt;scroll up&gt;",OFFSET(OFFSET('NBCC_C-2'!$B$1,INDEX($AF$3:$AF$16,MATCH(design_loads!$E$7,$AE$3:$AE$16))-1,0),$AI125-1,0)))</f>
        <v/>
      </c>
      <c r="AM125" s="63" t="str">
        <f ca="1">IF(design_loads!$E$8="","",IF($AI125&gt;INDEX($AG$3:$AG$16,MATCH(design_loads!$E$8,$AE$3:$AE$16)),"&lt;scroll up&gt;",OFFSET(OFFSET('NBCC_C-2'!$B$1,INDEX($AF$3:$AF$16,MATCH(design_loads!$E$8,$AE$3:$AE$16))-1,0),$AI125-1,0)))</f>
        <v/>
      </c>
    </row>
    <row r="126" spans="2:39" x14ac:dyDescent="0.2">
      <c r="B126" s="66" t="s">
        <v>473</v>
      </c>
      <c r="C126" s="67" t="s">
        <v>247</v>
      </c>
      <c r="D126" s="68">
        <v>122</v>
      </c>
      <c r="F126" s="66" t="s">
        <v>474</v>
      </c>
      <c r="G126" s="67" t="s">
        <v>257</v>
      </c>
      <c r="H126" s="68">
        <v>19</v>
      </c>
      <c r="I126" s="70">
        <v>140</v>
      </c>
      <c r="J126" s="70">
        <v>-29</v>
      </c>
      <c r="K126" s="70">
        <v>-31</v>
      </c>
      <c r="L126" s="70">
        <v>29</v>
      </c>
      <c r="M126" s="70">
        <v>21</v>
      </c>
      <c r="N126" s="70">
        <v>5650</v>
      </c>
      <c r="O126" s="70">
        <v>18</v>
      </c>
      <c r="P126" s="71">
        <v>86</v>
      </c>
      <c r="Q126" s="71">
        <v>690</v>
      </c>
      <c r="R126" s="72">
        <v>0.86</v>
      </c>
      <c r="S126" s="71">
        <v>925</v>
      </c>
      <c r="T126" s="71">
        <v>160</v>
      </c>
      <c r="U126" s="73">
        <v>3.1</v>
      </c>
      <c r="V126" s="73">
        <v>0.4</v>
      </c>
      <c r="W126" s="72">
        <v>0.25</v>
      </c>
      <c r="X126" s="72">
        <v>0.35</v>
      </c>
      <c r="Y126" s="72">
        <v>0.62</v>
      </c>
      <c r="Z126" s="74">
        <v>0.28999999999999998</v>
      </c>
      <c r="AA126" s="74">
        <v>0.13</v>
      </c>
      <c r="AB126" s="74">
        <v>4.4999999999999998E-2</v>
      </c>
      <c r="AC126" s="74">
        <v>0.39</v>
      </c>
      <c r="AE126" s="59"/>
      <c r="AF126" s="59"/>
      <c r="AG126" s="59"/>
      <c r="AH126" s="59"/>
      <c r="AI126" s="62">
        <v>124</v>
      </c>
      <c r="AJ126" s="63" t="str">
        <f ca="1">IF(design_loads!$E$5="","",IF($AI126&gt;INDEX($AG$3:$AG$16,MATCH(design_loads!$E$5,$AE$3:$AE$16)),"&lt;scroll up&gt;",OFFSET(OFFSET('NBCC_C-2'!$B$1,INDEX($AF$3:$AF$16,MATCH(design_loads!$E$5,$AE$3:$AE$16))-1,0),$AI126-1,0)))</f>
        <v>&lt;scroll up&gt;</v>
      </c>
      <c r="AK126" s="63" t="str">
        <f ca="1">IF(design_loads!$E$6="","",IF($AI126&gt;INDEX($AG$3:$AG$16,MATCH(design_loads!$E$6,$AE$3:$AE$16)),"&lt;scroll up&gt;",OFFSET(OFFSET('NBCC_C-2'!$B$1,INDEX($AF$3:$AF$16,MATCH(design_loads!$E$6,$AE$3:$AE$16))-1,0),$AI126-1,0)))</f>
        <v/>
      </c>
      <c r="AL126" s="63" t="str">
        <f ca="1">IF(design_loads!$E$7="","",IF($AI126&gt;INDEX($AG$3:$AG$16,MATCH(design_loads!$E$7,$AE$3:$AE$16)),"&lt;scroll up&gt;",OFFSET(OFFSET('NBCC_C-2'!$B$1,INDEX($AF$3:$AF$16,MATCH(design_loads!$E$7,$AE$3:$AE$16))-1,0),$AI126-1,0)))</f>
        <v/>
      </c>
      <c r="AM126" s="63" t="str">
        <f ca="1">IF(design_loads!$E$8="","",IF($AI126&gt;INDEX($AG$3:$AG$16,MATCH(design_loads!$E$8,$AE$3:$AE$16)),"&lt;scroll up&gt;",OFFSET(OFFSET('NBCC_C-2'!$B$1,INDEX($AF$3:$AF$16,MATCH(design_loads!$E$8,$AE$3:$AE$16))-1,0),$AI126-1,0)))</f>
        <v/>
      </c>
    </row>
    <row r="127" spans="2:39" x14ac:dyDescent="0.2">
      <c r="B127" s="66" t="s">
        <v>475</v>
      </c>
      <c r="C127" s="67" t="s">
        <v>247</v>
      </c>
      <c r="D127" s="68">
        <v>123</v>
      </c>
      <c r="F127" s="66" t="s">
        <v>476</v>
      </c>
      <c r="G127" s="67" t="s">
        <v>224</v>
      </c>
      <c r="H127" s="68">
        <v>14</v>
      </c>
      <c r="I127" s="70">
        <v>10</v>
      </c>
      <c r="J127" s="70">
        <v>-12</v>
      </c>
      <c r="K127" s="70">
        <v>-13</v>
      </c>
      <c r="L127" s="70">
        <v>30</v>
      </c>
      <c r="M127" s="70">
        <v>20</v>
      </c>
      <c r="N127" s="70">
        <v>2950</v>
      </c>
      <c r="O127" s="70">
        <v>8</v>
      </c>
      <c r="P127" s="71">
        <v>139</v>
      </c>
      <c r="Q127" s="71">
        <v>1625</v>
      </c>
      <c r="R127" s="72">
        <v>1.68</v>
      </c>
      <c r="S127" s="71">
        <v>1700</v>
      </c>
      <c r="T127" s="71">
        <v>160</v>
      </c>
      <c r="U127" s="73">
        <v>2.2000000000000002</v>
      </c>
      <c r="V127" s="73">
        <v>0.3</v>
      </c>
      <c r="W127" s="72">
        <v>0.48</v>
      </c>
      <c r="X127" s="72">
        <v>0.72</v>
      </c>
      <c r="Y127" s="72">
        <v>0.73</v>
      </c>
      <c r="Z127" s="74">
        <v>0.51</v>
      </c>
      <c r="AA127" s="74">
        <v>0.28999999999999998</v>
      </c>
      <c r="AB127" s="74">
        <v>0.16</v>
      </c>
      <c r="AC127" s="74">
        <v>0.35</v>
      </c>
      <c r="AE127" s="59"/>
      <c r="AF127" s="59"/>
      <c r="AG127" s="59"/>
      <c r="AH127" s="59"/>
      <c r="AI127" s="62">
        <v>125</v>
      </c>
      <c r="AJ127" s="63" t="str">
        <f ca="1">IF(design_loads!$E$5="","",IF($AI127&gt;INDEX($AG$3:$AG$16,MATCH(design_loads!$E$5,$AE$3:$AE$16)),"&lt;scroll up&gt;",OFFSET(OFFSET('NBCC_C-2'!$B$1,INDEX($AF$3:$AF$16,MATCH(design_loads!$E$5,$AE$3:$AE$16))-1,0),$AI127-1,0)))</f>
        <v>&lt;scroll up&gt;</v>
      </c>
      <c r="AK127" s="63" t="str">
        <f ca="1">IF(design_loads!$E$6="","",IF($AI127&gt;INDEX($AG$3:$AG$16,MATCH(design_loads!$E$6,$AE$3:$AE$16)),"&lt;scroll up&gt;",OFFSET(OFFSET('NBCC_C-2'!$B$1,INDEX($AF$3:$AF$16,MATCH(design_loads!$E$6,$AE$3:$AE$16))-1,0),$AI127-1,0)))</f>
        <v/>
      </c>
      <c r="AL127" s="63" t="str">
        <f ca="1">IF(design_loads!$E$7="","",IF($AI127&gt;INDEX($AG$3:$AG$16,MATCH(design_loads!$E$7,$AE$3:$AE$16)),"&lt;scroll up&gt;",OFFSET(OFFSET('NBCC_C-2'!$B$1,INDEX($AF$3:$AF$16,MATCH(design_loads!$E$7,$AE$3:$AE$16))-1,0),$AI127-1,0)))</f>
        <v/>
      </c>
      <c r="AM127" s="63" t="str">
        <f ca="1">IF(design_loads!$E$8="","",IF($AI127&gt;INDEX($AG$3:$AG$16,MATCH(design_loads!$E$8,$AE$3:$AE$16)),"&lt;scroll up&gt;",OFFSET(OFFSET('NBCC_C-2'!$B$1,INDEX($AF$3:$AF$16,MATCH(design_loads!$E$8,$AE$3:$AE$16))-1,0),$AI127-1,0)))</f>
        <v/>
      </c>
    </row>
    <row r="128" spans="2:39" x14ac:dyDescent="0.2">
      <c r="B128" s="66" t="s">
        <v>477</v>
      </c>
      <c r="C128" s="67" t="s">
        <v>247</v>
      </c>
      <c r="D128" s="68">
        <v>124</v>
      </c>
      <c r="F128" s="66" t="s">
        <v>478</v>
      </c>
      <c r="G128" s="67" t="s">
        <v>252</v>
      </c>
      <c r="H128" s="68">
        <v>4</v>
      </c>
      <c r="I128" s="70">
        <v>10</v>
      </c>
      <c r="J128" s="70">
        <v>-39</v>
      </c>
      <c r="K128" s="70">
        <v>-41</v>
      </c>
      <c r="L128" s="70">
        <v>24</v>
      </c>
      <c r="M128" s="70">
        <v>18</v>
      </c>
      <c r="N128" s="70">
        <v>9200</v>
      </c>
      <c r="O128" s="70">
        <v>8</v>
      </c>
      <c r="P128" s="71">
        <v>65</v>
      </c>
      <c r="Q128" s="71">
        <v>265</v>
      </c>
      <c r="R128" s="72">
        <v>0.82</v>
      </c>
      <c r="S128" s="71">
        <v>410</v>
      </c>
      <c r="T128" s="71">
        <v>260</v>
      </c>
      <c r="U128" s="73">
        <v>2.8</v>
      </c>
      <c r="V128" s="73">
        <v>0.2</v>
      </c>
      <c r="W128" s="72">
        <v>0.48</v>
      </c>
      <c r="X128" s="72">
        <v>0.64</v>
      </c>
      <c r="Y128" s="72">
        <v>0.12</v>
      </c>
      <c r="Z128" s="74">
        <v>5.6000000000000001E-2</v>
      </c>
      <c r="AA128" s="74">
        <v>2.3E-2</v>
      </c>
      <c r="AB128" s="74">
        <v>6.0000000000000001E-3</v>
      </c>
      <c r="AC128" s="74">
        <v>5.8999999999999997E-2</v>
      </c>
      <c r="AE128" s="59"/>
      <c r="AF128" s="59"/>
      <c r="AG128" s="59"/>
      <c r="AH128" s="59"/>
      <c r="AI128" s="62">
        <v>126</v>
      </c>
      <c r="AJ128" s="63" t="str">
        <f ca="1">IF(design_loads!$E$5="","",IF($AI128&gt;INDEX($AG$3:$AG$16,MATCH(design_loads!$E$5,$AE$3:$AE$16)),"&lt;scroll up&gt;",OFFSET(OFFSET('NBCC_C-2'!$B$1,INDEX($AF$3:$AF$16,MATCH(design_loads!$E$5,$AE$3:$AE$16))-1,0),$AI128-1,0)))</f>
        <v>&lt;scroll up&gt;</v>
      </c>
      <c r="AK128" s="63" t="str">
        <f ca="1">IF(design_loads!$E$6="","",IF($AI128&gt;INDEX($AG$3:$AG$16,MATCH(design_loads!$E$6,$AE$3:$AE$16)),"&lt;scroll up&gt;",OFFSET(OFFSET('NBCC_C-2'!$B$1,INDEX($AF$3:$AF$16,MATCH(design_loads!$E$6,$AE$3:$AE$16))-1,0),$AI128-1,0)))</f>
        <v/>
      </c>
      <c r="AL128" s="63" t="str">
        <f ca="1">IF(design_loads!$E$7="","",IF($AI128&gt;INDEX($AG$3:$AG$16,MATCH(design_loads!$E$7,$AE$3:$AE$16)),"&lt;scroll up&gt;",OFFSET(OFFSET('NBCC_C-2'!$B$1,INDEX($AF$3:$AF$16,MATCH(design_loads!$E$7,$AE$3:$AE$16))-1,0),$AI128-1,0)))</f>
        <v/>
      </c>
      <c r="AM128" s="63" t="str">
        <f ca="1">IF(design_loads!$E$8="","",IF($AI128&gt;INDEX($AG$3:$AG$16,MATCH(design_loads!$E$8,$AE$3:$AE$16)),"&lt;scroll up&gt;",OFFSET(OFFSET('NBCC_C-2'!$B$1,INDEX($AF$3:$AF$16,MATCH(design_loads!$E$8,$AE$3:$AE$16))-1,0),$AI128-1,0)))</f>
        <v/>
      </c>
    </row>
    <row r="129" spans="2:39" x14ac:dyDescent="0.2">
      <c r="B129" s="66" t="s">
        <v>479</v>
      </c>
      <c r="C129" s="67" t="s">
        <v>247</v>
      </c>
      <c r="D129" s="68">
        <v>125</v>
      </c>
      <c r="F129" s="66" t="s">
        <v>308</v>
      </c>
      <c r="G129" s="67" t="s">
        <v>247</v>
      </c>
      <c r="H129" s="68">
        <v>27</v>
      </c>
      <c r="I129" s="76">
        <v>1030</v>
      </c>
      <c r="J129" s="70">
        <v>-31</v>
      </c>
      <c r="K129" s="70">
        <v>-34</v>
      </c>
      <c r="L129" s="70">
        <v>29</v>
      </c>
      <c r="M129" s="70">
        <v>18</v>
      </c>
      <c r="N129" s="76">
        <v>4800</v>
      </c>
      <c r="O129" s="76">
        <v>15</v>
      </c>
      <c r="P129" s="77">
        <v>103</v>
      </c>
      <c r="Q129" s="77">
        <v>310</v>
      </c>
      <c r="R129" s="72">
        <v>0.35</v>
      </c>
      <c r="S129" s="77">
        <v>440</v>
      </c>
      <c r="T129" s="77">
        <v>200</v>
      </c>
      <c r="U129" s="73">
        <v>1.3</v>
      </c>
      <c r="V129" s="73">
        <v>0.1</v>
      </c>
      <c r="W129" s="72">
        <v>0.66</v>
      </c>
      <c r="X129" s="72">
        <v>0.87</v>
      </c>
      <c r="Y129" s="72">
        <v>0.15</v>
      </c>
      <c r="Z129" s="74">
        <v>9.1999999999999998E-2</v>
      </c>
      <c r="AA129" s="74">
        <v>4.5999999999999999E-2</v>
      </c>
      <c r="AB129" s="74">
        <v>2.7E-2</v>
      </c>
      <c r="AC129" s="74">
        <v>9.1999999999999998E-2</v>
      </c>
      <c r="AE129" s="59"/>
      <c r="AF129" s="59"/>
      <c r="AG129" s="59"/>
      <c r="AH129" s="59"/>
      <c r="AI129" s="62">
        <v>127</v>
      </c>
      <c r="AJ129" s="63" t="str">
        <f ca="1">IF(design_loads!$E$5="","",IF($AI129&gt;INDEX($AG$3:$AG$16,MATCH(design_loads!$E$5,$AE$3:$AE$16)),"&lt;scroll up&gt;",OFFSET(OFFSET('NBCC_C-2'!$B$1,INDEX($AF$3:$AF$16,MATCH(design_loads!$E$5,$AE$3:$AE$16))-1,0),$AI129-1,0)))</f>
        <v>&lt;scroll up&gt;</v>
      </c>
      <c r="AK129" s="63" t="str">
        <f ca="1">IF(design_loads!$E$6="","",IF($AI129&gt;INDEX($AG$3:$AG$16,MATCH(design_loads!$E$6,$AE$3:$AE$16)),"&lt;scroll up&gt;",OFFSET(OFFSET('NBCC_C-2'!$B$1,INDEX($AF$3:$AF$16,MATCH(design_loads!$E$6,$AE$3:$AE$16))-1,0),$AI129-1,0)))</f>
        <v/>
      </c>
      <c r="AL129" s="63" t="str">
        <f ca="1">IF(design_loads!$E$7="","",IF($AI129&gt;INDEX($AG$3:$AG$16,MATCH(design_loads!$E$7,$AE$3:$AE$16)),"&lt;scroll up&gt;",OFFSET(OFFSET('NBCC_C-2'!$B$1,INDEX($AF$3:$AF$16,MATCH(design_loads!$E$7,$AE$3:$AE$16))-1,0),$AI129-1,0)))</f>
        <v/>
      </c>
      <c r="AM129" s="63" t="str">
        <f ca="1">IF(design_loads!$E$8="","",IF($AI129&gt;INDEX($AG$3:$AG$16,MATCH(design_loads!$E$8,$AE$3:$AE$16)),"&lt;scroll up&gt;",OFFSET(OFFSET('NBCC_C-2'!$B$1,INDEX($AF$3:$AF$16,MATCH(design_loads!$E$8,$AE$3:$AE$16))-1,0),$AI129-1,0)))</f>
        <v/>
      </c>
    </row>
    <row r="130" spans="2:39" x14ac:dyDescent="0.2">
      <c r="B130" s="66" t="s">
        <v>480</v>
      </c>
      <c r="C130" s="67" t="s">
        <v>247</v>
      </c>
      <c r="D130" s="68">
        <v>126</v>
      </c>
      <c r="F130" s="66" t="s">
        <v>481</v>
      </c>
      <c r="G130" s="67" t="s">
        <v>264</v>
      </c>
      <c r="H130" s="68">
        <v>35</v>
      </c>
      <c r="I130" s="70">
        <v>280</v>
      </c>
      <c r="J130" s="70">
        <v>-17</v>
      </c>
      <c r="K130" s="70">
        <v>-19</v>
      </c>
      <c r="L130" s="70">
        <v>29</v>
      </c>
      <c r="M130" s="70">
        <v>23</v>
      </c>
      <c r="N130" s="70">
        <v>4150</v>
      </c>
      <c r="O130" s="70">
        <v>23</v>
      </c>
      <c r="P130" s="71">
        <v>103</v>
      </c>
      <c r="Q130" s="71">
        <v>810</v>
      </c>
      <c r="R130" s="72">
        <v>0.94</v>
      </c>
      <c r="S130" s="71">
        <v>1000</v>
      </c>
      <c r="T130" s="71">
        <v>160</v>
      </c>
      <c r="U130" s="73">
        <v>2.6</v>
      </c>
      <c r="V130" s="73">
        <v>0.4</v>
      </c>
      <c r="W130" s="72">
        <v>0.37</v>
      </c>
      <c r="X130" s="72">
        <v>0.53</v>
      </c>
      <c r="Y130" s="72">
        <v>0.13</v>
      </c>
      <c r="Z130" s="74">
        <v>7.4999999999999997E-2</v>
      </c>
      <c r="AA130" s="74">
        <v>4.1000000000000002E-2</v>
      </c>
      <c r="AB130" s="74">
        <v>1.0999999999999999E-2</v>
      </c>
      <c r="AC130" s="74">
        <v>6.5000000000000002E-2</v>
      </c>
      <c r="AE130" s="59"/>
      <c r="AF130" s="59"/>
      <c r="AG130" s="59"/>
      <c r="AH130" s="59"/>
      <c r="AI130" s="62">
        <v>128</v>
      </c>
      <c r="AJ130" s="63" t="str">
        <f ca="1">IF(design_loads!$E$5="","",IF($AI130&gt;INDEX($AG$3:$AG$16,MATCH(design_loads!$E$5,$AE$3:$AE$16)),"&lt;scroll up&gt;",OFFSET(OFFSET('NBCC_C-2'!$B$1,INDEX($AF$3:$AF$16,MATCH(design_loads!$E$5,$AE$3:$AE$16))-1,0),$AI130-1,0)))</f>
        <v>&lt;scroll up&gt;</v>
      </c>
      <c r="AK130" s="63" t="str">
        <f ca="1">IF(design_loads!$E$6="","",IF($AI130&gt;INDEX($AG$3:$AG$16,MATCH(design_loads!$E$6,$AE$3:$AE$16)),"&lt;scroll up&gt;",OFFSET(OFFSET('NBCC_C-2'!$B$1,INDEX($AF$3:$AF$16,MATCH(design_loads!$E$6,$AE$3:$AE$16))-1,0),$AI130-1,0)))</f>
        <v/>
      </c>
      <c r="AL130" s="63" t="str">
        <f ca="1">IF(design_loads!$E$7="","",IF($AI130&gt;INDEX($AG$3:$AG$16,MATCH(design_loads!$E$7,$AE$3:$AE$16)),"&lt;scroll up&gt;",OFFSET(OFFSET('NBCC_C-2'!$B$1,INDEX($AF$3:$AF$16,MATCH(design_loads!$E$7,$AE$3:$AE$16))-1,0),$AI130-1,0)))</f>
        <v/>
      </c>
      <c r="AM130" s="63" t="str">
        <f ca="1">IF(design_loads!$E$8="","",IF($AI130&gt;INDEX($AG$3:$AG$16,MATCH(design_loads!$E$8,$AE$3:$AE$16)),"&lt;scroll up&gt;",OFFSET(OFFSET('NBCC_C-2'!$B$1,INDEX($AF$3:$AF$16,MATCH(design_loads!$E$8,$AE$3:$AE$16))-1,0),$AI130-1,0)))</f>
        <v/>
      </c>
    </row>
    <row r="131" spans="2:39" x14ac:dyDescent="0.2">
      <c r="B131" s="66" t="s">
        <v>482</v>
      </c>
      <c r="C131" s="67" t="s">
        <v>247</v>
      </c>
      <c r="D131" s="68">
        <v>127</v>
      </c>
      <c r="F131" s="66" t="s">
        <v>483</v>
      </c>
      <c r="G131" s="67" t="s">
        <v>224</v>
      </c>
      <c r="H131" s="68">
        <v>15</v>
      </c>
      <c r="I131" s="70">
        <v>10</v>
      </c>
      <c r="J131" s="70">
        <v>-8</v>
      </c>
      <c r="K131" s="70">
        <v>-10</v>
      </c>
      <c r="L131" s="70">
        <v>29</v>
      </c>
      <c r="M131" s="70">
        <v>20</v>
      </c>
      <c r="N131" s="70">
        <v>3050</v>
      </c>
      <c r="O131" s="70">
        <v>8</v>
      </c>
      <c r="P131" s="71">
        <v>112</v>
      </c>
      <c r="Q131" s="71">
        <v>1350</v>
      </c>
      <c r="R131" s="72">
        <v>1.44</v>
      </c>
      <c r="S131" s="71">
        <v>1400</v>
      </c>
      <c r="T131" s="71">
        <v>160</v>
      </c>
      <c r="U131" s="73">
        <v>2.5</v>
      </c>
      <c r="V131" s="73">
        <v>0.2</v>
      </c>
      <c r="W131" s="72">
        <v>0.36</v>
      </c>
      <c r="X131" s="72">
        <v>0.47</v>
      </c>
      <c r="Y131" s="72">
        <v>1</v>
      </c>
      <c r="Z131" s="74">
        <v>0.7</v>
      </c>
      <c r="AA131" s="74">
        <v>0.33</v>
      </c>
      <c r="AB131" s="74">
        <v>0.17</v>
      </c>
      <c r="AC131" s="74">
        <v>0.52</v>
      </c>
      <c r="AE131" s="59"/>
      <c r="AF131" s="59"/>
      <c r="AG131" s="59"/>
      <c r="AH131" s="59"/>
      <c r="AI131" s="62">
        <v>129</v>
      </c>
      <c r="AJ131" s="63" t="str">
        <f ca="1">IF(design_loads!$E$5="","",IF($AI131&gt;INDEX($AG$3:$AG$16,MATCH(design_loads!$E$5,$AE$3:$AE$16)),"&lt;scroll up&gt;",OFFSET(OFFSET('NBCC_C-2'!$B$1,INDEX($AF$3:$AF$16,MATCH(design_loads!$E$5,$AE$3:$AE$16))-1,0),$AI131-1,0)))</f>
        <v>&lt;scroll up&gt;</v>
      </c>
      <c r="AK131" s="63" t="str">
        <f ca="1">IF(design_loads!$E$6="","",IF($AI131&gt;INDEX($AG$3:$AG$16,MATCH(design_loads!$E$6,$AE$3:$AE$16)),"&lt;scroll up&gt;",OFFSET(OFFSET('NBCC_C-2'!$B$1,INDEX($AF$3:$AF$16,MATCH(design_loads!$E$6,$AE$3:$AE$16))-1,0),$AI131-1,0)))</f>
        <v/>
      </c>
      <c r="AL131" s="63" t="str">
        <f ca="1">IF(design_loads!$E$7="","",IF($AI131&gt;INDEX($AG$3:$AG$16,MATCH(design_loads!$E$7,$AE$3:$AE$16)),"&lt;scroll up&gt;",OFFSET(OFFSET('NBCC_C-2'!$B$1,INDEX($AF$3:$AF$16,MATCH(design_loads!$E$7,$AE$3:$AE$16))-1,0),$AI131-1,0)))</f>
        <v/>
      </c>
      <c r="AM131" s="63" t="str">
        <f ca="1">IF(design_loads!$E$8="","",IF($AI131&gt;INDEX($AG$3:$AG$16,MATCH(design_loads!$E$8,$AE$3:$AE$16)),"&lt;scroll up&gt;",OFFSET(OFFSET('NBCC_C-2'!$B$1,INDEX($AF$3:$AF$16,MATCH(design_loads!$E$8,$AE$3:$AE$16))-1,0),$AI131-1,0)))</f>
        <v/>
      </c>
    </row>
    <row r="132" spans="2:39" x14ac:dyDescent="0.2">
      <c r="B132" s="66" t="s">
        <v>484</v>
      </c>
      <c r="C132" s="67" t="s">
        <v>247</v>
      </c>
      <c r="D132" s="68">
        <v>128</v>
      </c>
      <c r="F132" s="66" t="s">
        <v>485</v>
      </c>
      <c r="G132" s="67" t="s">
        <v>267</v>
      </c>
      <c r="H132" s="68">
        <v>7</v>
      </c>
      <c r="I132" s="70">
        <v>5</v>
      </c>
      <c r="J132" s="70">
        <v>-41</v>
      </c>
      <c r="K132" s="70">
        <v>-43</v>
      </c>
      <c r="L132" s="70">
        <v>15</v>
      </c>
      <c r="M132" s="70">
        <v>9</v>
      </c>
      <c r="N132" s="70">
        <v>11100</v>
      </c>
      <c r="O132" s="70">
        <v>5</v>
      </c>
      <c r="P132" s="71">
        <v>44</v>
      </c>
      <c r="Q132" s="71">
        <v>55</v>
      </c>
      <c r="R132" s="72">
        <v>0.9</v>
      </c>
      <c r="S132" s="71">
        <v>225</v>
      </c>
      <c r="T132" s="71">
        <v>220</v>
      </c>
      <c r="U132" s="73">
        <v>3.5</v>
      </c>
      <c r="V132" s="73">
        <v>0.2</v>
      </c>
      <c r="W132" s="72">
        <v>0.61</v>
      </c>
      <c r="X132" s="72">
        <v>0.9</v>
      </c>
      <c r="Y132" s="72">
        <v>0.5</v>
      </c>
      <c r="Z132" s="74">
        <v>0.28999999999999998</v>
      </c>
      <c r="AA132" s="74">
        <v>0.16</v>
      </c>
      <c r="AB132" s="74">
        <v>4.9000000000000002E-2</v>
      </c>
      <c r="AC132" s="74">
        <v>0.33</v>
      </c>
      <c r="AE132" s="59"/>
      <c r="AF132" s="59"/>
      <c r="AG132" s="59"/>
      <c r="AH132" s="59"/>
      <c r="AI132" s="62">
        <v>130</v>
      </c>
      <c r="AJ132" s="63" t="str">
        <f ca="1">IF(design_loads!$E$5="","",IF($AI132&gt;INDEX($AG$3:$AG$16,MATCH(design_loads!$E$5,$AE$3:$AE$16)),"&lt;scroll up&gt;",OFFSET(OFFSET('NBCC_C-2'!$B$1,INDEX($AF$3:$AF$16,MATCH(design_loads!$E$5,$AE$3:$AE$16))-1,0),$AI132-1,0)))</f>
        <v>&lt;scroll up&gt;</v>
      </c>
      <c r="AK132" s="63" t="str">
        <f ca="1">IF(design_loads!$E$6="","",IF($AI132&gt;INDEX($AG$3:$AG$16,MATCH(design_loads!$E$6,$AE$3:$AE$16)),"&lt;scroll up&gt;",OFFSET(OFFSET('NBCC_C-2'!$B$1,INDEX($AF$3:$AF$16,MATCH(design_loads!$E$6,$AE$3:$AE$16))-1,0),$AI132-1,0)))</f>
        <v/>
      </c>
      <c r="AL132" s="63" t="str">
        <f ca="1">IF(design_loads!$E$7="","",IF($AI132&gt;INDEX($AG$3:$AG$16,MATCH(design_loads!$E$7,$AE$3:$AE$16)),"&lt;scroll up&gt;",OFFSET(OFFSET('NBCC_C-2'!$B$1,INDEX($AF$3:$AF$16,MATCH(design_loads!$E$7,$AE$3:$AE$16))-1,0),$AI132-1,0)))</f>
        <v/>
      </c>
      <c r="AM132" s="63" t="str">
        <f ca="1">IF(design_loads!$E$8="","",IF($AI132&gt;INDEX($AG$3:$AG$16,MATCH(design_loads!$E$8,$AE$3:$AE$16)),"&lt;scroll up&gt;",OFFSET(OFFSET('NBCC_C-2'!$B$1,INDEX($AF$3:$AF$16,MATCH(design_loads!$E$8,$AE$3:$AE$16))-1,0),$AI132-1,0)))</f>
        <v/>
      </c>
    </row>
    <row r="133" spans="2:39" x14ac:dyDescent="0.2">
      <c r="B133" s="66" t="s">
        <v>486</v>
      </c>
      <c r="C133" s="67" t="s">
        <v>247</v>
      </c>
      <c r="D133" s="68">
        <v>129</v>
      </c>
      <c r="F133" s="66" t="s">
        <v>310</v>
      </c>
      <c r="G133" s="67" t="s">
        <v>247</v>
      </c>
      <c r="H133" s="68">
        <v>28</v>
      </c>
      <c r="I133" s="76">
        <v>863</v>
      </c>
      <c r="J133" s="70">
        <v>-31</v>
      </c>
      <c r="K133" s="70">
        <v>-35</v>
      </c>
      <c r="L133" s="70">
        <v>31</v>
      </c>
      <c r="M133" s="70">
        <v>19</v>
      </c>
      <c r="N133" s="76">
        <v>4700</v>
      </c>
      <c r="O133" s="76">
        <v>17</v>
      </c>
      <c r="P133" s="77">
        <v>85</v>
      </c>
      <c r="Q133" s="77">
        <v>250</v>
      </c>
      <c r="R133" s="72">
        <v>0.26</v>
      </c>
      <c r="S133" s="77">
        <v>390</v>
      </c>
      <c r="T133" s="77">
        <v>200</v>
      </c>
      <c r="U133" s="73">
        <v>1.3</v>
      </c>
      <c r="V133" s="73">
        <v>0.1</v>
      </c>
      <c r="W133" s="72">
        <v>0.61</v>
      </c>
      <c r="X133" s="72">
        <v>0.81</v>
      </c>
      <c r="Y133" s="72">
        <v>0.14000000000000001</v>
      </c>
      <c r="Z133" s="74">
        <v>0.08</v>
      </c>
      <c r="AA133" s="74">
        <v>0.04</v>
      </c>
      <c r="AB133" s="74">
        <v>0.02</v>
      </c>
      <c r="AC133" s="74">
        <v>0.08</v>
      </c>
      <c r="AE133" s="59"/>
      <c r="AF133" s="59"/>
      <c r="AG133" s="59"/>
      <c r="AH133" s="59"/>
      <c r="AI133" s="62">
        <v>131</v>
      </c>
      <c r="AJ133" s="63" t="str">
        <f ca="1">IF(design_loads!$E$5="","",IF($AI133&gt;INDEX($AG$3:$AG$16,MATCH(design_loads!$E$5,$AE$3:$AE$16)),"&lt;scroll up&gt;",OFFSET(OFFSET('NBCC_C-2'!$B$1,INDEX($AF$3:$AF$16,MATCH(design_loads!$E$5,$AE$3:$AE$16))-1,0),$AI133-1,0)))</f>
        <v>&lt;scroll up&gt;</v>
      </c>
      <c r="AK133" s="63" t="str">
        <f ca="1">IF(design_loads!$E$6="","",IF($AI133&gt;INDEX($AG$3:$AG$16,MATCH(design_loads!$E$6,$AE$3:$AE$16)),"&lt;scroll up&gt;",OFFSET(OFFSET('NBCC_C-2'!$B$1,INDEX($AF$3:$AF$16,MATCH(design_loads!$E$6,$AE$3:$AE$16))-1,0),$AI133-1,0)))</f>
        <v/>
      </c>
      <c r="AL133" s="63" t="str">
        <f ca="1">IF(design_loads!$E$7="","",IF($AI133&gt;INDEX($AG$3:$AG$16,MATCH(design_loads!$E$7,$AE$3:$AE$16)),"&lt;scroll up&gt;",OFFSET(OFFSET('NBCC_C-2'!$B$1,INDEX($AF$3:$AF$16,MATCH(design_loads!$E$7,$AE$3:$AE$16))-1,0),$AI133-1,0)))</f>
        <v/>
      </c>
      <c r="AM133" s="63" t="str">
        <f ca="1">IF(design_loads!$E$8="","",IF($AI133&gt;INDEX($AG$3:$AG$16,MATCH(design_loads!$E$8,$AE$3:$AE$16)),"&lt;scroll up&gt;",OFFSET(OFFSET('NBCC_C-2'!$B$1,INDEX($AF$3:$AF$16,MATCH(design_loads!$E$8,$AE$3:$AE$16))-1,0),$AI133-1,0)))</f>
        <v/>
      </c>
    </row>
    <row r="134" spans="2:39" x14ac:dyDescent="0.2">
      <c r="B134" s="66" t="s">
        <v>487</v>
      </c>
      <c r="C134" s="67" t="s">
        <v>247</v>
      </c>
      <c r="D134" s="68">
        <v>130</v>
      </c>
      <c r="F134" s="66" t="s">
        <v>488</v>
      </c>
      <c r="G134" s="67" t="s">
        <v>257</v>
      </c>
      <c r="H134" s="68">
        <v>20</v>
      </c>
      <c r="I134" s="70">
        <v>295</v>
      </c>
      <c r="J134" s="70">
        <v>-24</v>
      </c>
      <c r="K134" s="70">
        <v>-26</v>
      </c>
      <c r="L134" s="70">
        <v>28</v>
      </c>
      <c r="M134" s="70">
        <v>22</v>
      </c>
      <c r="N134" s="70">
        <v>4900</v>
      </c>
      <c r="O134" s="70">
        <v>23</v>
      </c>
      <c r="P134" s="71">
        <v>102</v>
      </c>
      <c r="Q134" s="71">
        <v>860</v>
      </c>
      <c r="R134" s="72">
        <v>1</v>
      </c>
      <c r="S134" s="71">
        <v>1060</v>
      </c>
      <c r="T134" s="71">
        <v>160</v>
      </c>
      <c r="U134" s="73">
        <v>2.2999999999999998</v>
      </c>
      <c r="V134" s="73">
        <v>0.6</v>
      </c>
      <c r="W134" s="72">
        <v>0.27</v>
      </c>
      <c r="X134" s="72">
        <v>0.38</v>
      </c>
      <c r="Y134" s="72">
        <v>0.41</v>
      </c>
      <c r="Z134" s="74">
        <v>0.23</v>
      </c>
      <c r="AA134" s="74">
        <v>9.5000000000000001E-2</v>
      </c>
      <c r="AB134" s="74">
        <v>3.1E-2</v>
      </c>
      <c r="AC134" s="74">
        <v>0.26</v>
      </c>
      <c r="AE134" s="59"/>
      <c r="AF134" s="59"/>
      <c r="AG134" s="59"/>
      <c r="AH134" s="59"/>
      <c r="AI134" s="62">
        <v>132</v>
      </c>
      <c r="AJ134" s="63" t="str">
        <f ca="1">IF(design_loads!$E$5="","",IF($AI134&gt;INDEX($AG$3:$AG$16,MATCH(design_loads!$E$5,$AE$3:$AE$16)),"&lt;scroll up&gt;",OFFSET(OFFSET('NBCC_C-2'!$B$1,INDEX($AF$3:$AF$16,MATCH(design_loads!$E$5,$AE$3:$AE$16))-1,0),$AI134-1,0)))</f>
        <v>&lt;scroll up&gt;</v>
      </c>
      <c r="AK134" s="63" t="str">
        <f ca="1">IF(design_loads!$E$6="","",IF($AI134&gt;INDEX($AG$3:$AG$16,MATCH(design_loads!$E$6,$AE$3:$AE$16)),"&lt;scroll up&gt;",OFFSET(OFFSET('NBCC_C-2'!$B$1,INDEX($AF$3:$AF$16,MATCH(design_loads!$E$6,$AE$3:$AE$16))-1,0),$AI134-1,0)))</f>
        <v/>
      </c>
      <c r="AL134" s="63" t="str">
        <f ca="1">IF(design_loads!$E$7="","",IF($AI134&gt;INDEX($AG$3:$AG$16,MATCH(design_loads!$E$7,$AE$3:$AE$16)),"&lt;scroll up&gt;",OFFSET(OFFSET('NBCC_C-2'!$B$1,INDEX($AF$3:$AF$16,MATCH(design_loads!$E$7,$AE$3:$AE$16))-1,0),$AI134-1,0)))</f>
        <v/>
      </c>
      <c r="AM134" s="63" t="str">
        <f ca="1">IF(design_loads!$E$8="","",IF($AI134&gt;INDEX($AG$3:$AG$16,MATCH(design_loads!$E$8,$AE$3:$AE$16)),"&lt;scroll up&gt;",OFFSET(OFFSET('NBCC_C-2'!$B$1,INDEX($AF$3:$AF$16,MATCH(design_loads!$E$8,$AE$3:$AE$16))-1,0),$AI134-1,0)))</f>
        <v/>
      </c>
    </row>
    <row r="135" spans="2:39" x14ac:dyDescent="0.2">
      <c r="B135" s="66" t="s">
        <v>489</v>
      </c>
      <c r="C135" s="67" t="s">
        <v>247</v>
      </c>
      <c r="D135" s="68">
        <v>131</v>
      </c>
      <c r="F135" s="66" t="s">
        <v>490</v>
      </c>
      <c r="G135" s="67" t="s">
        <v>264</v>
      </c>
      <c r="H135" s="68">
        <v>36</v>
      </c>
      <c r="I135" s="70">
        <v>270</v>
      </c>
      <c r="J135" s="70">
        <v>-25</v>
      </c>
      <c r="K135" s="70">
        <v>-27</v>
      </c>
      <c r="L135" s="70">
        <v>29</v>
      </c>
      <c r="M135" s="70">
        <v>22</v>
      </c>
      <c r="N135" s="70">
        <v>4750</v>
      </c>
      <c r="O135" s="70">
        <v>25</v>
      </c>
      <c r="P135" s="71">
        <v>108</v>
      </c>
      <c r="Q135" s="71">
        <v>740</v>
      </c>
      <c r="R135" s="72">
        <v>0.87</v>
      </c>
      <c r="S135" s="71">
        <v>950</v>
      </c>
      <c r="T135" s="71">
        <v>120</v>
      </c>
      <c r="U135" s="73">
        <v>2.5</v>
      </c>
      <c r="V135" s="73">
        <v>0.4</v>
      </c>
      <c r="W135" s="72">
        <v>0.26</v>
      </c>
      <c r="X135" s="72">
        <v>0.35</v>
      </c>
      <c r="Y135" s="72">
        <v>0.18</v>
      </c>
      <c r="Z135" s="74">
        <v>0.11</v>
      </c>
      <c r="AA135" s="74">
        <v>5.6000000000000001E-2</v>
      </c>
      <c r="AB135" s="74">
        <v>1.6E-2</v>
      </c>
      <c r="AC135" s="74">
        <v>0.08</v>
      </c>
      <c r="AE135" s="59"/>
      <c r="AF135" s="59"/>
      <c r="AG135" s="59"/>
      <c r="AH135" s="59"/>
      <c r="AI135" s="62">
        <v>133</v>
      </c>
      <c r="AJ135" s="63" t="str">
        <f ca="1">IF(design_loads!$E$5="","",IF($AI135&gt;INDEX($AG$3:$AG$16,MATCH(design_loads!$E$5,$AE$3:$AE$16)),"&lt;scroll up&gt;",OFFSET(OFFSET('NBCC_C-2'!$B$1,INDEX($AF$3:$AF$16,MATCH(design_loads!$E$5,$AE$3:$AE$16))-1,0),$AI135-1,0)))</f>
        <v>&lt;scroll up&gt;</v>
      </c>
      <c r="AK135" s="63" t="str">
        <f ca="1">IF(design_loads!$E$6="","",IF($AI135&gt;INDEX($AG$3:$AG$16,MATCH(design_loads!$E$6,$AE$3:$AE$16)),"&lt;scroll up&gt;",OFFSET(OFFSET('NBCC_C-2'!$B$1,INDEX($AF$3:$AF$16,MATCH(design_loads!$E$6,$AE$3:$AE$16))-1,0),$AI135-1,0)))</f>
        <v/>
      </c>
      <c r="AL135" s="63" t="str">
        <f ca="1">IF(design_loads!$E$7="","",IF($AI135&gt;INDEX($AG$3:$AG$16,MATCH(design_loads!$E$7,$AE$3:$AE$16)),"&lt;scroll up&gt;",OFFSET(OFFSET('NBCC_C-2'!$B$1,INDEX($AF$3:$AF$16,MATCH(design_loads!$E$7,$AE$3:$AE$16))-1,0),$AI135-1,0)))</f>
        <v/>
      </c>
      <c r="AM135" s="63" t="str">
        <f ca="1">IF(design_loads!$E$8="","",IF($AI135&gt;INDEX($AG$3:$AG$16,MATCH(design_loads!$E$8,$AE$3:$AE$16)),"&lt;scroll up&gt;",OFFSET(OFFSET('NBCC_C-2'!$B$1,INDEX($AF$3:$AF$16,MATCH(design_loads!$E$8,$AE$3:$AE$16))-1,0),$AI135-1,0)))</f>
        <v/>
      </c>
    </row>
    <row r="136" spans="2:39" x14ac:dyDescent="0.2">
      <c r="B136" s="66" t="s">
        <v>491</v>
      </c>
      <c r="C136" s="67" t="s">
        <v>247</v>
      </c>
      <c r="D136" s="68">
        <v>132</v>
      </c>
      <c r="F136" s="66" t="s">
        <v>492</v>
      </c>
      <c r="G136" s="67" t="s">
        <v>264</v>
      </c>
      <c r="H136" s="68">
        <v>37</v>
      </c>
      <c r="I136" s="70">
        <v>90</v>
      </c>
      <c r="J136" s="70">
        <v>-21</v>
      </c>
      <c r="K136" s="70">
        <v>-23</v>
      </c>
      <c r="L136" s="70">
        <v>30</v>
      </c>
      <c r="M136" s="70">
        <v>23</v>
      </c>
      <c r="N136" s="70">
        <v>4100</v>
      </c>
      <c r="O136" s="70">
        <v>23</v>
      </c>
      <c r="P136" s="71">
        <v>97</v>
      </c>
      <c r="Q136" s="71">
        <v>760</v>
      </c>
      <c r="R136" s="72">
        <v>0.9</v>
      </c>
      <c r="S136" s="71">
        <v>825</v>
      </c>
      <c r="T136" s="71">
        <v>160</v>
      </c>
      <c r="U136" s="73">
        <v>1.2</v>
      </c>
      <c r="V136" s="73">
        <v>0.4</v>
      </c>
      <c r="W136" s="72">
        <v>0.46</v>
      </c>
      <c r="X136" s="72">
        <v>0.59</v>
      </c>
      <c r="Y136" s="72">
        <v>0.24</v>
      </c>
      <c r="Z136" s="74">
        <v>0.12</v>
      </c>
      <c r="AA136" s="74">
        <v>6.5000000000000002E-2</v>
      </c>
      <c r="AB136" s="74">
        <v>1.7000000000000001E-2</v>
      </c>
      <c r="AC136" s="74">
        <v>0.13</v>
      </c>
      <c r="AE136" s="59"/>
      <c r="AF136" s="59"/>
      <c r="AG136" s="59"/>
      <c r="AH136" s="59"/>
      <c r="AI136" s="62">
        <v>134</v>
      </c>
      <c r="AJ136" s="63" t="str">
        <f ca="1">IF(design_loads!$E$5="","",IF($AI136&gt;INDEX($AG$3:$AG$16,MATCH(design_loads!$E$5,$AE$3:$AE$16)),"&lt;scroll up&gt;",OFFSET(OFFSET('NBCC_C-2'!$B$1,INDEX($AF$3:$AF$16,MATCH(design_loads!$E$5,$AE$3:$AE$16))-1,0),$AI136-1,0)))</f>
        <v>&lt;scroll up&gt;</v>
      </c>
      <c r="AK136" s="63" t="str">
        <f ca="1">IF(design_loads!$E$6="","",IF($AI136&gt;INDEX($AG$3:$AG$16,MATCH(design_loads!$E$6,$AE$3:$AE$16)),"&lt;scroll up&gt;",OFFSET(OFFSET('NBCC_C-2'!$B$1,INDEX($AF$3:$AF$16,MATCH(design_loads!$E$6,$AE$3:$AE$16))-1,0),$AI136-1,0)))</f>
        <v/>
      </c>
      <c r="AL136" s="63" t="str">
        <f ca="1">IF(design_loads!$E$7="","",IF($AI136&gt;INDEX($AG$3:$AG$16,MATCH(design_loads!$E$7,$AE$3:$AE$16)),"&lt;scroll up&gt;",OFFSET(OFFSET('NBCC_C-2'!$B$1,INDEX($AF$3:$AF$16,MATCH(design_loads!$E$7,$AE$3:$AE$16))-1,0),$AI136-1,0)))</f>
        <v/>
      </c>
      <c r="AM136" s="63" t="str">
        <f ca="1">IF(design_loads!$E$8="","",IF($AI136&gt;INDEX($AG$3:$AG$16,MATCH(design_loads!$E$8,$AE$3:$AE$16)),"&lt;scroll up&gt;",OFFSET(OFFSET('NBCC_C-2'!$B$1,INDEX($AF$3:$AF$16,MATCH(design_loads!$E$8,$AE$3:$AE$16))-1,0),$AI136-1,0)))</f>
        <v/>
      </c>
    </row>
    <row r="137" spans="2:39" x14ac:dyDescent="0.2">
      <c r="B137" s="66" t="s">
        <v>493</v>
      </c>
      <c r="C137" s="67" t="s">
        <v>247</v>
      </c>
      <c r="D137" s="68">
        <v>133</v>
      </c>
      <c r="F137" s="66" t="s">
        <v>312</v>
      </c>
      <c r="G137" s="67" t="s">
        <v>247</v>
      </c>
      <c r="H137" s="68">
        <v>29</v>
      </c>
      <c r="I137" s="76">
        <v>1159</v>
      </c>
      <c r="J137" s="70">
        <v>-32</v>
      </c>
      <c r="K137" s="70">
        <v>-34</v>
      </c>
      <c r="L137" s="70">
        <v>28</v>
      </c>
      <c r="M137" s="70">
        <v>18</v>
      </c>
      <c r="N137" s="76">
        <v>5400</v>
      </c>
      <c r="O137" s="76">
        <v>17</v>
      </c>
      <c r="P137" s="77">
        <v>75</v>
      </c>
      <c r="Q137" s="77">
        <v>350</v>
      </c>
      <c r="R137" s="72">
        <v>0.43</v>
      </c>
      <c r="S137" s="77">
        <v>500</v>
      </c>
      <c r="T137" s="77">
        <v>180</v>
      </c>
      <c r="U137" s="73">
        <v>1.4</v>
      </c>
      <c r="V137" s="73">
        <v>0.1</v>
      </c>
      <c r="W137" s="72">
        <v>0.39</v>
      </c>
      <c r="X137" s="72">
        <v>0.5</v>
      </c>
      <c r="Y137" s="72">
        <v>0.15</v>
      </c>
      <c r="Z137" s="74">
        <v>0.09</v>
      </c>
      <c r="AA137" s="74">
        <v>0.04</v>
      </c>
      <c r="AB137" s="74">
        <v>0.02</v>
      </c>
      <c r="AC137" s="74">
        <v>0.09</v>
      </c>
      <c r="AE137" s="59"/>
      <c r="AF137" s="59"/>
      <c r="AG137" s="59"/>
      <c r="AH137" s="59"/>
      <c r="AI137" s="62">
        <v>135</v>
      </c>
      <c r="AJ137" s="63" t="str">
        <f ca="1">IF(design_loads!$E$5="","",IF($AI137&gt;INDEX($AG$3:$AG$16,MATCH(design_loads!$E$5,$AE$3:$AE$16)),"&lt;scroll up&gt;",OFFSET(OFFSET('NBCC_C-2'!$B$1,INDEX($AF$3:$AF$16,MATCH(design_loads!$E$5,$AE$3:$AE$16))-1,0),$AI137-1,0)))</f>
        <v>&lt;scroll up&gt;</v>
      </c>
      <c r="AK137" s="63" t="str">
        <f ca="1">IF(design_loads!$E$6="","",IF($AI137&gt;INDEX($AG$3:$AG$16,MATCH(design_loads!$E$6,$AE$3:$AE$16)),"&lt;scroll up&gt;",OFFSET(OFFSET('NBCC_C-2'!$B$1,INDEX($AF$3:$AF$16,MATCH(design_loads!$E$6,$AE$3:$AE$16))-1,0),$AI137-1,0)))</f>
        <v/>
      </c>
      <c r="AL137" s="63" t="str">
        <f ca="1">IF(design_loads!$E$7="","",IF($AI137&gt;INDEX($AG$3:$AG$16,MATCH(design_loads!$E$7,$AE$3:$AE$16)),"&lt;scroll up&gt;",OFFSET(OFFSET('NBCC_C-2'!$B$1,INDEX($AF$3:$AF$16,MATCH(design_loads!$E$7,$AE$3:$AE$16))-1,0),$AI137-1,0)))</f>
        <v/>
      </c>
      <c r="AM137" s="63" t="str">
        <f ca="1">IF(design_loads!$E$8="","",IF($AI137&gt;INDEX($AG$3:$AG$16,MATCH(design_loads!$E$8,$AE$3:$AE$16)),"&lt;scroll up&gt;",OFFSET(OFFSET('NBCC_C-2'!$B$1,INDEX($AF$3:$AF$16,MATCH(design_loads!$E$8,$AE$3:$AE$16))-1,0),$AI137-1,0)))</f>
        <v/>
      </c>
    </row>
    <row r="138" spans="2:39" x14ac:dyDescent="0.2">
      <c r="B138" s="66" t="s">
        <v>494</v>
      </c>
      <c r="C138" s="67" t="s">
        <v>247</v>
      </c>
      <c r="D138" s="68">
        <v>134</v>
      </c>
      <c r="F138" s="66" t="s">
        <v>312</v>
      </c>
      <c r="G138" s="67" t="s">
        <v>264</v>
      </c>
      <c r="H138" s="68">
        <v>38</v>
      </c>
      <c r="I138" s="70">
        <v>245</v>
      </c>
      <c r="J138" s="70">
        <v>-34</v>
      </c>
      <c r="K138" s="70">
        <v>-36</v>
      </c>
      <c r="L138" s="70">
        <v>29</v>
      </c>
      <c r="M138" s="70">
        <v>21</v>
      </c>
      <c r="N138" s="70">
        <v>6400</v>
      </c>
      <c r="O138" s="70">
        <v>20</v>
      </c>
      <c r="P138" s="71">
        <v>86</v>
      </c>
      <c r="Q138" s="71">
        <v>575</v>
      </c>
      <c r="R138" s="72">
        <v>0.77</v>
      </c>
      <c r="S138" s="71">
        <v>875</v>
      </c>
      <c r="T138" s="71">
        <v>80</v>
      </c>
      <c r="U138" s="73">
        <v>2.8</v>
      </c>
      <c r="V138" s="73">
        <v>0.3</v>
      </c>
      <c r="W138" s="72">
        <v>0.26</v>
      </c>
      <c r="X138" s="72">
        <v>0.35</v>
      </c>
      <c r="Y138" s="72">
        <v>0.21</v>
      </c>
      <c r="Z138" s="74">
        <v>0.1</v>
      </c>
      <c r="AA138" s="74">
        <v>4.5999999999999999E-2</v>
      </c>
      <c r="AB138" s="74">
        <v>1.4E-2</v>
      </c>
      <c r="AC138" s="74">
        <v>0.15</v>
      </c>
      <c r="AE138" s="59"/>
      <c r="AF138" s="59"/>
      <c r="AG138" s="59"/>
      <c r="AH138" s="59"/>
      <c r="AI138" s="62">
        <v>136</v>
      </c>
      <c r="AJ138" s="63" t="str">
        <f ca="1">IF(design_loads!$E$5="","",IF($AI138&gt;INDEX($AG$3:$AG$16,MATCH(design_loads!$E$5,$AE$3:$AE$16)),"&lt;scroll up&gt;",OFFSET(OFFSET('NBCC_C-2'!$B$1,INDEX($AF$3:$AF$16,MATCH(design_loads!$E$5,$AE$3:$AE$16))-1,0),$AI138-1,0)))</f>
        <v>&lt;scroll up&gt;</v>
      </c>
      <c r="AK138" s="63" t="str">
        <f ca="1">IF(design_loads!$E$6="","",IF($AI138&gt;INDEX($AG$3:$AG$16,MATCH(design_loads!$E$6,$AE$3:$AE$16)),"&lt;scroll up&gt;",OFFSET(OFFSET('NBCC_C-2'!$B$1,INDEX($AF$3:$AF$16,MATCH(design_loads!$E$6,$AE$3:$AE$16))-1,0),$AI138-1,0)))</f>
        <v/>
      </c>
      <c r="AL138" s="63" t="str">
        <f ca="1">IF(design_loads!$E$7="","",IF($AI138&gt;INDEX($AG$3:$AG$16,MATCH(design_loads!$E$7,$AE$3:$AE$16)),"&lt;scroll up&gt;",OFFSET(OFFSET('NBCC_C-2'!$B$1,INDEX($AF$3:$AF$16,MATCH(design_loads!$E$7,$AE$3:$AE$16))-1,0),$AI138-1,0)))</f>
        <v/>
      </c>
      <c r="AM138" s="63" t="str">
        <f ca="1">IF(design_loads!$E$8="","",IF($AI138&gt;INDEX($AG$3:$AG$16,MATCH(design_loads!$E$8,$AE$3:$AE$16)),"&lt;scroll up&gt;",OFFSET(OFFSET('NBCC_C-2'!$B$1,INDEX($AF$3:$AF$16,MATCH(design_loads!$E$8,$AE$3:$AE$16))-1,0),$AI138-1,0)))</f>
        <v/>
      </c>
    </row>
    <row r="139" spans="2:39" x14ac:dyDescent="0.2">
      <c r="B139" s="66" t="s">
        <v>495</v>
      </c>
      <c r="C139" s="67" t="s">
        <v>247</v>
      </c>
      <c r="D139" s="68">
        <v>135</v>
      </c>
      <c r="F139" s="66" t="s">
        <v>496</v>
      </c>
      <c r="G139" s="67" t="s">
        <v>264</v>
      </c>
      <c r="H139" s="68">
        <v>39</v>
      </c>
      <c r="I139" s="70">
        <v>105</v>
      </c>
      <c r="J139" s="70">
        <v>-21</v>
      </c>
      <c r="K139" s="70">
        <v>-23</v>
      </c>
      <c r="L139" s="70">
        <v>29</v>
      </c>
      <c r="M139" s="70">
        <v>23</v>
      </c>
      <c r="N139" s="70">
        <v>4100</v>
      </c>
      <c r="O139" s="70">
        <v>23</v>
      </c>
      <c r="P139" s="71">
        <v>86</v>
      </c>
      <c r="Q139" s="71">
        <v>760</v>
      </c>
      <c r="R139" s="72">
        <v>0.9</v>
      </c>
      <c r="S139" s="71">
        <v>850</v>
      </c>
      <c r="T139" s="71">
        <v>160</v>
      </c>
      <c r="U139" s="73">
        <v>1.6</v>
      </c>
      <c r="V139" s="73">
        <v>0.4</v>
      </c>
      <c r="W139" s="72">
        <v>0.44</v>
      </c>
      <c r="X139" s="72">
        <v>0.56000000000000005</v>
      </c>
      <c r="Y139" s="72">
        <v>0.24</v>
      </c>
      <c r="Z139" s="74">
        <v>0.13</v>
      </c>
      <c r="AA139" s="74">
        <v>6.7000000000000004E-2</v>
      </c>
      <c r="AB139" s="74">
        <v>1.7999999999999999E-2</v>
      </c>
      <c r="AC139" s="74">
        <v>0.14000000000000001</v>
      </c>
      <c r="AE139" s="59"/>
      <c r="AF139" s="59"/>
      <c r="AG139" s="59"/>
      <c r="AH139" s="59"/>
      <c r="AI139" s="62">
        <v>137</v>
      </c>
      <c r="AJ139" s="63" t="str">
        <f ca="1">IF(design_loads!$E$5="","",IF($AI139&gt;INDEX($AG$3:$AG$16,MATCH(design_loads!$E$5,$AE$3:$AE$16)),"&lt;scroll up&gt;",OFFSET(OFFSET('NBCC_C-2'!$B$1,INDEX($AF$3:$AF$16,MATCH(design_loads!$E$5,$AE$3:$AE$16))-1,0),$AI139-1,0)))</f>
        <v>&lt;scroll up&gt;</v>
      </c>
      <c r="AK139" s="63" t="str">
        <f ca="1">IF(design_loads!$E$6="","",IF($AI139&gt;INDEX($AG$3:$AG$16,MATCH(design_loads!$E$6,$AE$3:$AE$16)),"&lt;scroll up&gt;",OFFSET(OFFSET('NBCC_C-2'!$B$1,INDEX($AF$3:$AF$16,MATCH(design_loads!$E$6,$AE$3:$AE$16))-1,0),$AI139-1,0)))</f>
        <v/>
      </c>
      <c r="AL139" s="63" t="str">
        <f ca="1">IF(design_loads!$E$7="","",IF($AI139&gt;INDEX($AG$3:$AG$16,MATCH(design_loads!$E$7,$AE$3:$AE$16)),"&lt;scroll up&gt;",OFFSET(OFFSET('NBCC_C-2'!$B$1,INDEX($AF$3:$AF$16,MATCH(design_loads!$E$7,$AE$3:$AE$16))-1,0),$AI139-1,0)))</f>
        <v/>
      </c>
      <c r="AM139" s="63" t="str">
        <f ca="1">IF(design_loads!$E$8="","",IF($AI139&gt;INDEX($AG$3:$AG$16,MATCH(design_loads!$E$8,$AE$3:$AE$16)),"&lt;scroll up&gt;",OFFSET(OFFSET('NBCC_C-2'!$B$1,INDEX($AF$3:$AF$16,MATCH(design_loads!$E$8,$AE$3:$AE$16))-1,0),$AI139-1,0)))</f>
        <v/>
      </c>
    </row>
    <row r="140" spans="2:39" x14ac:dyDescent="0.2">
      <c r="B140" s="66" t="s">
        <v>497</v>
      </c>
      <c r="C140" s="67" t="s">
        <v>247</v>
      </c>
      <c r="D140" s="68">
        <v>136</v>
      </c>
      <c r="F140" s="66" t="s">
        <v>314</v>
      </c>
      <c r="G140" s="67" t="s">
        <v>247</v>
      </c>
      <c r="H140" s="68">
        <v>30</v>
      </c>
      <c r="I140" s="76">
        <v>540</v>
      </c>
      <c r="J140" s="70">
        <v>-36</v>
      </c>
      <c r="K140" s="70">
        <v>-38</v>
      </c>
      <c r="L140" s="70">
        <v>28</v>
      </c>
      <c r="M140" s="70">
        <v>20</v>
      </c>
      <c r="N140" s="76">
        <v>6100</v>
      </c>
      <c r="O140" s="76">
        <v>15</v>
      </c>
      <c r="P140" s="77">
        <v>81</v>
      </c>
      <c r="Q140" s="77">
        <v>320</v>
      </c>
      <c r="R140" s="72">
        <v>0.53</v>
      </c>
      <c r="S140" s="77">
        <v>430</v>
      </c>
      <c r="T140" s="77">
        <v>140</v>
      </c>
      <c r="U140" s="73">
        <v>1.7</v>
      </c>
      <c r="V140" s="73">
        <v>0.1</v>
      </c>
      <c r="W140" s="72">
        <v>0.31</v>
      </c>
      <c r="X140" s="72">
        <v>0.4</v>
      </c>
      <c r="Y140" s="72">
        <v>0.12</v>
      </c>
      <c r="Z140" s="74">
        <v>5.6000000000000001E-2</v>
      </c>
      <c r="AA140" s="74">
        <v>2.3E-2</v>
      </c>
      <c r="AB140" s="74">
        <v>6.0000000000000001E-3</v>
      </c>
      <c r="AC140" s="74">
        <v>5.8999999999999997E-2</v>
      </c>
      <c r="AE140" s="59"/>
      <c r="AF140" s="59"/>
      <c r="AG140" s="59"/>
      <c r="AH140" s="59"/>
      <c r="AI140" s="62">
        <v>138</v>
      </c>
      <c r="AJ140" s="63" t="str">
        <f ca="1">IF(design_loads!$E$5="","",IF($AI140&gt;INDEX($AG$3:$AG$16,MATCH(design_loads!$E$5,$AE$3:$AE$16)),"&lt;scroll up&gt;",OFFSET(OFFSET('NBCC_C-2'!$B$1,INDEX($AF$3:$AF$16,MATCH(design_loads!$E$5,$AE$3:$AE$16))-1,0),$AI140-1,0)))</f>
        <v>&lt;scroll up&gt;</v>
      </c>
      <c r="AK140" s="63" t="str">
        <f ca="1">IF(design_loads!$E$6="","",IF($AI140&gt;INDEX($AG$3:$AG$16,MATCH(design_loads!$E$6,$AE$3:$AE$16)),"&lt;scroll up&gt;",OFFSET(OFFSET('NBCC_C-2'!$B$1,INDEX($AF$3:$AF$16,MATCH(design_loads!$E$6,$AE$3:$AE$16))-1,0),$AI140-1,0)))</f>
        <v/>
      </c>
      <c r="AL140" s="63" t="str">
        <f ca="1">IF(design_loads!$E$7="","",IF($AI140&gt;INDEX($AG$3:$AG$16,MATCH(design_loads!$E$7,$AE$3:$AE$16)),"&lt;scroll up&gt;",OFFSET(OFFSET('NBCC_C-2'!$B$1,INDEX($AF$3:$AF$16,MATCH(design_loads!$E$7,$AE$3:$AE$16))-1,0),$AI140-1,0)))</f>
        <v/>
      </c>
      <c r="AM140" s="63" t="str">
        <f ca="1">IF(design_loads!$E$8="","",IF($AI140&gt;INDEX($AG$3:$AG$16,MATCH(design_loads!$E$8,$AE$3:$AE$16)),"&lt;scroll up&gt;",OFFSET(OFFSET('NBCC_C-2'!$B$1,INDEX($AF$3:$AF$16,MATCH(design_loads!$E$8,$AE$3:$AE$16))-1,0),$AI140-1,0)))</f>
        <v/>
      </c>
    </row>
    <row r="141" spans="2:39" x14ac:dyDescent="0.2">
      <c r="B141" s="66" t="s">
        <v>498</v>
      </c>
      <c r="C141" s="67" t="s">
        <v>247</v>
      </c>
      <c r="D141" s="68">
        <v>137</v>
      </c>
      <c r="F141" s="66" t="s">
        <v>315</v>
      </c>
      <c r="G141" s="67" t="s">
        <v>247</v>
      </c>
      <c r="H141" s="68">
        <v>31</v>
      </c>
      <c r="I141" s="76">
        <v>1320</v>
      </c>
      <c r="J141" s="70">
        <v>-31</v>
      </c>
      <c r="K141" s="70">
        <v>-34</v>
      </c>
      <c r="L141" s="70">
        <v>28</v>
      </c>
      <c r="M141" s="70">
        <v>18</v>
      </c>
      <c r="N141" s="76">
        <v>5300</v>
      </c>
      <c r="O141" s="76">
        <v>15</v>
      </c>
      <c r="P141" s="77">
        <v>76</v>
      </c>
      <c r="Q141" s="77">
        <v>400</v>
      </c>
      <c r="R141" s="72">
        <v>0.46</v>
      </c>
      <c r="S141" s="77">
        <v>550</v>
      </c>
      <c r="T141" s="77">
        <v>120</v>
      </c>
      <c r="U141" s="73">
        <v>2.7</v>
      </c>
      <c r="V141" s="73">
        <v>0.3</v>
      </c>
      <c r="W141" s="72">
        <v>0.54</v>
      </c>
      <c r="X141" s="72">
        <v>0.76</v>
      </c>
      <c r="Y141" s="72">
        <v>0.24</v>
      </c>
      <c r="Z141" s="74">
        <v>0.13</v>
      </c>
      <c r="AA141" s="74">
        <v>6.6000000000000003E-2</v>
      </c>
      <c r="AB141" s="74">
        <v>3.6999999999999998E-2</v>
      </c>
      <c r="AC141" s="74">
        <v>0.12</v>
      </c>
      <c r="AE141" s="59"/>
      <c r="AF141" s="59"/>
      <c r="AG141" s="59"/>
      <c r="AH141" s="59"/>
      <c r="AI141" s="62">
        <v>139</v>
      </c>
      <c r="AJ141" s="63" t="str">
        <f ca="1">IF(design_loads!$E$5="","",IF($AI141&gt;INDEX($AG$3:$AG$16,MATCH(design_loads!$E$5,$AE$3:$AE$16)),"&lt;scroll up&gt;",OFFSET(OFFSET('NBCC_C-2'!$B$1,INDEX($AF$3:$AF$16,MATCH(design_loads!$E$5,$AE$3:$AE$16))-1,0),$AI141-1,0)))</f>
        <v>&lt;scroll up&gt;</v>
      </c>
      <c r="AK141" s="63" t="str">
        <f ca="1">IF(design_loads!$E$6="","",IF($AI141&gt;INDEX($AG$3:$AG$16,MATCH(design_loads!$E$6,$AE$3:$AE$16)),"&lt;scroll up&gt;",OFFSET(OFFSET('NBCC_C-2'!$B$1,INDEX($AF$3:$AF$16,MATCH(design_loads!$E$6,$AE$3:$AE$16))-1,0),$AI141-1,0)))</f>
        <v/>
      </c>
      <c r="AL141" s="63" t="str">
        <f ca="1">IF(design_loads!$E$7="","",IF($AI141&gt;INDEX($AG$3:$AG$16,MATCH(design_loads!$E$7,$AE$3:$AE$16)),"&lt;scroll up&gt;",OFFSET(OFFSET('NBCC_C-2'!$B$1,INDEX($AF$3:$AF$16,MATCH(design_loads!$E$7,$AE$3:$AE$16))-1,0),$AI141-1,0)))</f>
        <v/>
      </c>
      <c r="AM141" s="63" t="str">
        <f ca="1">IF(design_loads!$E$8="","",IF($AI141&gt;INDEX($AG$3:$AG$16,MATCH(design_loads!$E$8,$AE$3:$AE$16)),"&lt;scroll up&gt;",OFFSET(OFFSET('NBCC_C-2'!$B$1,INDEX($AF$3:$AF$16,MATCH(design_loads!$E$8,$AE$3:$AE$16))-1,0),$AI141-1,0)))</f>
        <v/>
      </c>
    </row>
    <row r="142" spans="2:39" x14ac:dyDescent="0.2">
      <c r="B142" s="66" t="s">
        <v>499</v>
      </c>
      <c r="C142" s="67" t="s">
        <v>247</v>
      </c>
      <c r="D142" s="68">
        <v>138</v>
      </c>
      <c r="F142" s="66" t="s">
        <v>500</v>
      </c>
      <c r="G142" s="67" t="s">
        <v>264</v>
      </c>
      <c r="H142" s="68">
        <v>40</v>
      </c>
      <c r="I142" s="70">
        <v>190</v>
      </c>
      <c r="J142" s="70">
        <v>-22</v>
      </c>
      <c r="K142" s="70">
        <v>-24</v>
      </c>
      <c r="L142" s="70">
        <v>29</v>
      </c>
      <c r="M142" s="70">
        <v>22</v>
      </c>
      <c r="N142" s="70">
        <v>4300</v>
      </c>
      <c r="O142" s="70">
        <v>28</v>
      </c>
      <c r="P142" s="71">
        <v>103</v>
      </c>
      <c r="Q142" s="71">
        <v>720</v>
      </c>
      <c r="R142" s="72">
        <v>0.87</v>
      </c>
      <c r="S142" s="71">
        <v>950</v>
      </c>
      <c r="T142" s="71">
        <v>160</v>
      </c>
      <c r="U142" s="73">
        <v>2.7</v>
      </c>
      <c r="V142" s="73">
        <v>0.4</v>
      </c>
      <c r="W142" s="72">
        <v>0.25</v>
      </c>
      <c r="X142" s="72">
        <v>0.39</v>
      </c>
      <c r="Y142" s="72">
        <v>0.14000000000000001</v>
      </c>
      <c r="Z142" s="74">
        <v>8.6999999999999994E-2</v>
      </c>
      <c r="AA142" s="74">
        <v>4.4999999999999998E-2</v>
      </c>
      <c r="AB142" s="74">
        <v>1.2999999999999999E-2</v>
      </c>
      <c r="AC142" s="74">
        <v>6.9000000000000006E-2</v>
      </c>
      <c r="AE142" s="59"/>
      <c r="AF142" s="59"/>
      <c r="AG142" s="59"/>
      <c r="AH142" s="59"/>
      <c r="AI142" s="62">
        <v>140</v>
      </c>
      <c r="AJ142" s="63" t="str">
        <f ca="1">IF(design_loads!$E$5="","",IF($AI142&gt;INDEX($AG$3:$AG$16,MATCH(design_loads!$E$5,$AE$3:$AE$16)),"&lt;scroll up&gt;",OFFSET(OFFSET('NBCC_C-2'!$B$1,INDEX($AF$3:$AF$16,MATCH(design_loads!$E$5,$AE$3:$AE$16))-1,0),$AI142-1,0)))</f>
        <v>&lt;scroll up&gt;</v>
      </c>
      <c r="AK142" s="63" t="str">
        <f ca="1">IF(design_loads!$E$6="","",IF($AI142&gt;INDEX($AG$3:$AG$16,MATCH(design_loads!$E$6,$AE$3:$AE$16)),"&lt;scroll up&gt;",OFFSET(OFFSET('NBCC_C-2'!$B$1,INDEX($AF$3:$AF$16,MATCH(design_loads!$E$6,$AE$3:$AE$16))-1,0),$AI142-1,0)))</f>
        <v/>
      </c>
      <c r="AL142" s="63" t="str">
        <f ca="1">IF(design_loads!$E$7="","",IF($AI142&gt;INDEX($AG$3:$AG$16,MATCH(design_loads!$E$7,$AE$3:$AE$16)),"&lt;scroll up&gt;",OFFSET(OFFSET('NBCC_C-2'!$B$1,INDEX($AF$3:$AF$16,MATCH(design_loads!$E$7,$AE$3:$AE$16))-1,0),$AI142-1,0)))</f>
        <v/>
      </c>
      <c r="AM142" s="63" t="str">
        <f ca="1">IF(design_loads!$E$8="","",IF($AI142&gt;INDEX($AG$3:$AG$16,MATCH(design_loads!$E$8,$AE$3:$AE$16)),"&lt;scroll up&gt;",OFFSET(OFFSET('NBCC_C-2'!$B$1,INDEX($AF$3:$AF$16,MATCH(design_loads!$E$8,$AE$3:$AE$16))-1,0),$AI142-1,0)))</f>
        <v/>
      </c>
    </row>
    <row r="143" spans="2:39" x14ac:dyDescent="0.2">
      <c r="B143" s="66" t="s">
        <v>501</v>
      </c>
      <c r="C143" s="67" t="s">
        <v>247</v>
      </c>
      <c r="D143" s="68">
        <v>139</v>
      </c>
      <c r="F143" s="66" t="s">
        <v>502</v>
      </c>
      <c r="G143" s="67" t="s">
        <v>224</v>
      </c>
      <c r="H143" s="68">
        <v>16</v>
      </c>
      <c r="I143" s="70">
        <v>15</v>
      </c>
      <c r="J143" s="70">
        <v>-7</v>
      </c>
      <c r="K143" s="70">
        <v>-9</v>
      </c>
      <c r="L143" s="70">
        <v>27</v>
      </c>
      <c r="M143" s="70">
        <v>18</v>
      </c>
      <c r="N143" s="70">
        <v>3150</v>
      </c>
      <c r="O143" s="70">
        <v>10</v>
      </c>
      <c r="P143" s="71">
        <v>112</v>
      </c>
      <c r="Q143" s="71">
        <v>1175</v>
      </c>
      <c r="R143" s="72">
        <v>1.28</v>
      </c>
      <c r="S143" s="71">
        <v>1200</v>
      </c>
      <c r="T143" s="71">
        <v>260</v>
      </c>
      <c r="U143" s="73">
        <v>2.6</v>
      </c>
      <c r="V143" s="73">
        <v>0.4</v>
      </c>
      <c r="W143" s="72">
        <v>0.45</v>
      </c>
      <c r="X143" s="72">
        <v>0.65</v>
      </c>
      <c r="Y143" s="72">
        <v>0.66</v>
      </c>
      <c r="Z143" s="74">
        <v>0.49</v>
      </c>
      <c r="AA143" s="74">
        <v>0.28000000000000003</v>
      </c>
      <c r="AB143" s="74">
        <v>0.16</v>
      </c>
      <c r="AC143" s="74">
        <v>0.3</v>
      </c>
      <c r="AE143" s="59"/>
      <c r="AF143" s="59"/>
      <c r="AG143" s="59"/>
      <c r="AH143" s="59"/>
      <c r="AI143" s="62">
        <v>141</v>
      </c>
      <c r="AJ143" s="63" t="str">
        <f ca="1">IF(design_loads!$E$5="","",IF($AI143&gt;INDEX($AG$3:$AG$16,MATCH(design_loads!$E$5,$AE$3:$AE$16)),"&lt;scroll up&gt;",OFFSET(OFFSET('NBCC_C-2'!$B$1,INDEX($AF$3:$AF$16,MATCH(design_loads!$E$5,$AE$3:$AE$16))-1,0),$AI143-1,0)))</f>
        <v>&lt;scroll up&gt;</v>
      </c>
      <c r="AK143" s="63" t="str">
        <f ca="1">IF(design_loads!$E$6="","",IF($AI143&gt;INDEX($AG$3:$AG$16,MATCH(design_loads!$E$6,$AE$3:$AE$16)),"&lt;scroll up&gt;",OFFSET(OFFSET('NBCC_C-2'!$B$1,INDEX($AF$3:$AF$16,MATCH(design_loads!$E$6,$AE$3:$AE$16))-1,0),$AI143-1,0)))</f>
        <v/>
      </c>
      <c r="AL143" s="63" t="str">
        <f ca="1">IF(design_loads!$E$7="","",IF($AI143&gt;INDEX($AG$3:$AG$16,MATCH(design_loads!$E$7,$AE$3:$AE$16)),"&lt;scroll up&gt;",OFFSET(OFFSET('NBCC_C-2'!$B$1,INDEX($AF$3:$AF$16,MATCH(design_loads!$E$7,$AE$3:$AE$16))-1,0),$AI143-1,0)))</f>
        <v/>
      </c>
      <c r="AM143" s="63" t="str">
        <f ca="1">IF(design_loads!$E$8="","",IF($AI143&gt;INDEX($AG$3:$AG$16,MATCH(design_loads!$E$8,$AE$3:$AE$16)),"&lt;scroll up&gt;",OFFSET(OFFSET('NBCC_C-2'!$B$1,INDEX($AF$3:$AF$16,MATCH(design_loads!$E$8,$AE$3:$AE$16))-1,0),$AI143-1,0)))</f>
        <v/>
      </c>
    </row>
    <row r="144" spans="2:39" x14ac:dyDescent="0.2">
      <c r="B144" s="66" t="s">
        <v>503</v>
      </c>
      <c r="C144" s="67" t="s">
        <v>247</v>
      </c>
      <c r="D144" s="68">
        <v>140</v>
      </c>
      <c r="F144" s="66" t="s">
        <v>504</v>
      </c>
      <c r="G144" s="67" t="s">
        <v>257</v>
      </c>
      <c r="H144" s="68">
        <v>21</v>
      </c>
      <c r="I144" s="70">
        <v>10</v>
      </c>
      <c r="J144" s="70">
        <v>-24</v>
      </c>
      <c r="K144" s="70">
        <v>-27</v>
      </c>
      <c r="L144" s="70">
        <v>30</v>
      </c>
      <c r="M144" s="70">
        <v>23</v>
      </c>
      <c r="N144" s="70">
        <v>4700</v>
      </c>
      <c r="O144" s="70">
        <v>20</v>
      </c>
      <c r="P144" s="71">
        <v>102</v>
      </c>
      <c r="Q144" s="71">
        <v>810</v>
      </c>
      <c r="R144" s="72">
        <v>0.94</v>
      </c>
      <c r="S144" s="71">
        <v>1000</v>
      </c>
      <c r="T144" s="71">
        <v>180</v>
      </c>
      <c r="U144" s="73">
        <v>2.8</v>
      </c>
      <c r="V144" s="73">
        <v>0.4</v>
      </c>
      <c r="W144" s="72">
        <v>0.33</v>
      </c>
      <c r="X144" s="72">
        <v>0.43</v>
      </c>
      <c r="Y144" s="72">
        <v>0.66</v>
      </c>
      <c r="Z144" s="74">
        <v>0.33</v>
      </c>
      <c r="AA144" s="74">
        <v>0.13</v>
      </c>
      <c r="AB144" s="74">
        <v>4.4999999999999998E-2</v>
      </c>
      <c r="AC144" s="74">
        <v>0.42</v>
      </c>
      <c r="AE144" s="59"/>
      <c r="AF144" s="59"/>
      <c r="AG144" s="59"/>
      <c r="AH144" s="59"/>
      <c r="AI144" s="62">
        <v>142</v>
      </c>
      <c r="AJ144" s="63" t="str">
        <f ca="1">IF(design_loads!$E$5="","",IF($AI144&gt;INDEX($AG$3:$AG$16,MATCH(design_loads!$E$5,$AE$3:$AE$16)),"&lt;scroll up&gt;",OFFSET(OFFSET('NBCC_C-2'!$B$1,INDEX($AF$3:$AF$16,MATCH(design_loads!$E$5,$AE$3:$AE$16))-1,0),$AI144-1,0)))</f>
        <v>&lt;scroll up&gt;</v>
      </c>
      <c r="AK144" s="63" t="str">
        <f ca="1">IF(design_loads!$E$6="","",IF($AI144&gt;INDEX($AG$3:$AG$16,MATCH(design_loads!$E$6,$AE$3:$AE$16)),"&lt;scroll up&gt;",OFFSET(OFFSET('NBCC_C-2'!$B$1,INDEX($AF$3:$AF$16,MATCH(design_loads!$E$6,$AE$3:$AE$16))-1,0),$AI144-1,0)))</f>
        <v/>
      </c>
      <c r="AL144" s="63" t="str">
        <f ca="1">IF(design_loads!$E$7="","",IF($AI144&gt;INDEX($AG$3:$AG$16,MATCH(design_loads!$E$7,$AE$3:$AE$16)),"&lt;scroll up&gt;",OFFSET(OFFSET('NBCC_C-2'!$B$1,INDEX($AF$3:$AF$16,MATCH(design_loads!$E$7,$AE$3:$AE$16))-1,0),$AI144-1,0)))</f>
        <v/>
      </c>
      <c r="AM144" s="63" t="str">
        <f ca="1">IF(design_loads!$E$8="","",IF($AI144&gt;INDEX($AG$3:$AG$16,MATCH(design_loads!$E$8,$AE$3:$AE$16)),"&lt;scroll up&gt;",OFFSET(OFFSET('NBCC_C-2'!$B$1,INDEX($AF$3:$AF$16,MATCH(design_loads!$E$8,$AE$3:$AE$16))-1,0),$AI144-1,0)))</f>
        <v/>
      </c>
    </row>
    <row r="145" spans="2:39" x14ac:dyDescent="0.2">
      <c r="B145" s="66" t="s">
        <v>505</v>
      </c>
      <c r="C145" s="67" t="s">
        <v>247</v>
      </c>
      <c r="D145" s="68">
        <v>141</v>
      </c>
      <c r="F145" s="66" t="s">
        <v>506</v>
      </c>
      <c r="G145" s="67" t="s">
        <v>267</v>
      </c>
      <c r="H145" s="68">
        <v>8</v>
      </c>
      <c r="I145" s="70">
        <v>10</v>
      </c>
      <c r="J145" s="70">
        <v>-44</v>
      </c>
      <c r="K145" s="70">
        <v>-45</v>
      </c>
      <c r="L145" s="70">
        <v>20</v>
      </c>
      <c r="M145" s="70">
        <v>13</v>
      </c>
      <c r="N145" s="70">
        <v>10700</v>
      </c>
      <c r="O145" s="70">
        <v>5</v>
      </c>
      <c r="P145" s="71">
        <v>55</v>
      </c>
      <c r="Q145" s="71">
        <v>140</v>
      </c>
      <c r="R145" s="72">
        <v>0.84</v>
      </c>
      <c r="S145" s="71">
        <v>150</v>
      </c>
      <c r="T145" s="71">
        <v>80</v>
      </c>
      <c r="U145" s="73">
        <v>2.6</v>
      </c>
      <c r="V145" s="73">
        <v>0.1</v>
      </c>
      <c r="W145" s="72">
        <v>0.33</v>
      </c>
      <c r="X145" s="72">
        <v>0.46</v>
      </c>
      <c r="Y145" s="72">
        <v>0.12</v>
      </c>
      <c r="Z145" s="74">
        <v>5.6000000000000001E-2</v>
      </c>
      <c r="AA145" s="74">
        <v>2.3E-2</v>
      </c>
      <c r="AB145" s="74">
        <v>6.0000000000000001E-3</v>
      </c>
      <c r="AC145" s="74">
        <v>5.8999999999999997E-2</v>
      </c>
      <c r="AE145" s="59"/>
      <c r="AF145" s="59"/>
      <c r="AG145" s="59"/>
      <c r="AH145" s="59"/>
      <c r="AI145" s="62">
        <v>143</v>
      </c>
      <c r="AJ145" s="63" t="str">
        <f ca="1">IF(design_loads!$E$5="","",IF($AI145&gt;INDEX($AG$3:$AG$16,MATCH(design_loads!$E$5,$AE$3:$AE$16)),"&lt;scroll up&gt;",OFFSET(OFFSET('NBCC_C-2'!$B$1,INDEX($AF$3:$AF$16,MATCH(design_loads!$E$5,$AE$3:$AE$16))-1,0),$AI145-1,0)))</f>
        <v>&lt;scroll up&gt;</v>
      </c>
      <c r="AK145" s="63" t="str">
        <f ca="1">IF(design_loads!$E$6="","",IF($AI145&gt;INDEX($AG$3:$AG$16,MATCH(design_loads!$E$6,$AE$3:$AE$16)),"&lt;scroll up&gt;",OFFSET(OFFSET('NBCC_C-2'!$B$1,INDEX($AF$3:$AF$16,MATCH(design_loads!$E$6,$AE$3:$AE$16))-1,0),$AI145-1,0)))</f>
        <v/>
      </c>
      <c r="AL145" s="63" t="str">
        <f ca="1">IF(design_loads!$E$7="","",IF($AI145&gt;INDEX($AG$3:$AG$16,MATCH(design_loads!$E$7,$AE$3:$AE$16)),"&lt;scroll up&gt;",OFFSET(OFFSET('NBCC_C-2'!$B$1,INDEX($AF$3:$AF$16,MATCH(design_loads!$E$7,$AE$3:$AE$16))-1,0),$AI145-1,0)))</f>
        <v/>
      </c>
      <c r="AM145" s="63" t="str">
        <f ca="1">IF(design_loads!$E$8="","",IF($AI145&gt;INDEX($AG$3:$AG$16,MATCH(design_loads!$E$8,$AE$3:$AE$16)),"&lt;scroll up&gt;",OFFSET(OFFSET('NBCC_C-2'!$B$1,INDEX($AF$3:$AF$16,MATCH(design_loads!$E$8,$AE$3:$AE$16))-1,0),$AI145-1,0)))</f>
        <v/>
      </c>
    </row>
    <row r="146" spans="2:39" x14ac:dyDescent="0.2">
      <c r="B146" s="66" t="s">
        <v>507</v>
      </c>
      <c r="C146" s="67" t="s">
        <v>247</v>
      </c>
      <c r="D146" s="68">
        <v>142</v>
      </c>
      <c r="F146" s="66" t="s">
        <v>508</v>
      </c>
      <c r="G146" s="67" t="s">
        <v>267</v>
      </c>
      <c r="H146" s="68">
        <v>9</v>
      </c>
      <c r="I146" s="70">
        <v>15</v>
      </c>
      <c r="J146" s="70">
        <v>-41</v>
      </c>
      <c r="K146" s="70">
        <v>-43</v>
      </c>
      <c r="L146" s="70">
        <v>18</v>
      </c>
      <c r="M146" s="70">
        <v>13</v>
      </c>
      <c r="N146" s="70">
        <v>10800</v>
      </c>
      <c r="O146" s="70">
        <v>5</v>
      </c>
      <c r="P146" s="71">
        <v>65</v>
      </c>
      <c r="Q146" s="71">
        <v>150</v>
      </c>
      <c r="R146" s="72">
        <v>0.87</v>
      </c>
      <c r="S146" s="71">
        <v>280</v>
      </c>
      <c r="T146" s="71">
        <v>200</v>
      </c>
      <c r="U146" s="73">
        <v>3.8</v>
      </c>
      <c r="V146" s="73">
        <v>0.2</v>
      </c>
      <c r="W146" s="72">
        <v>0.75</v>
      </c>
      <c r="X146" s="72">
        <v>0.99</v>
      </c>
      <c r="Y146" s="72">
        <v>0.24</v>
      </c>
      <c r="Z146" s="74">
        <v>0.11</v>
      </c>
      <c r="AA146" s="74">
        <v>5.0999999999999997E-2</v>
      </c>
      <c r="AB146" s="74">
        <v>1.2999999999999999E-2</v>
      </c>
      <c r="AC146" s="74">
        <v>0.16</v>
      </c>
      <c r="AE146" s="59"/>
      <c r="AF146" s="59"/>
      <c r="AG146" s="59"/>
      <c r="AH146" s="59"/>
      <c r="AI146" s="62">
        <v>144</v>
      </c>
      <c r="AJ146" s="63" t="str">
        <f ca="1">IF(design_loads!$E$5="","",IF($AI146&gt;INDEX($AG$3:$AG$16,MATCH(design_loads!$E$5,$AE$3:$AE$16)),"&lt;scroll up&gt;",OFFSET(OFFSET('NBCC_C-2'!$B$1,INDEX($AF$3:$AF$16,MATCH(design_loads!$E$5,$AE$3:$AE$16))-1,0),$AI146-1,0)))</f>
        <v>&lt;scroll up&gt;</v>
      </c>
      <c r="AK146" s="63" t="str">
        <f ca="1">IF(design_loads!$E$6="","",IF($AI146&gt;INDEX($AG$3:$AG$16,MATCH(design_loads!$E$6,$AE$3:$AE$16)),"&lt;scroll up&gt;",OFFSET(OFFSET('NBCC_C-2'!$B$1,INDEX($AF$3:$AF$16,MATCH(design_loads!$E$6,$AE$3:$AE$16))-1,0),$AI146-1,0)))</f>
        <v/>
      </c>
      <c r="AL146" s="63" t="str">
        <f ca="1">IF(design_loads!$E$7="","",IF($AI146&gt;INDEX($AG$3:$AG$16,MATCH(design_loads!$E$7,$AE$3:$AE$16)),"&lt;scroll up&gt;",OFFSET(OFFSET('NBCC_C-2'!$B$1,INDEX($AF$3:$AF$16,MATCH(design_loads!$E$7,$AE$3:$AE$16))-1,0),$AI146-1,0)))</f>
        <v/>
      </c>
      <c r="AM146" s="63" t="str">
        <f ca="1">IF(design_loads!$E$8="","",IF($AI146&gt;INDEX($AG$3:$AG$16,MATCH(design_loads!$E$8,$AE$3:$AE$16)),"&lt;scroll up&gt;",OFFSET(OFFSET('NBCC_C-2'!$B$1,INDEX($AF$3:$AF$16,MATCH(design_loads!$E$8,$AE$3:$AE$16))-1,0),$AI146-1,0)))</f>
        <v/>
      </c>
    </row>
    <row r="147" spans="2:39" x14ac:dyDescent="0.2">
      <c r="B147" s="66" t="s">
        <v>509</v>
      </c>
      <c r="C147" s="67" t="s">
        <v>247</v>
      </c>
      <c r="D147" s="68">
        <v>143</v>
      </c>
      <c r="F147" s="66" t="s">
        <v>510</v>
      </c>
      <c r="G147" s="67" t="s">
        <v>258</v>
      </c>
      <c r="H147" s="68">
        <v>7</v>
      </c>
      <c r="I147" s="70">
        <v>35</v>
      </c>
      <c r="J147" s="70">
        <v>-19</v>
      </c>
      <c r="K147" s="70">
        <v>-22</v>
      </c>
      <c r="L147" s="70">
        <v>26</v>
      </c>
      <c r="M147" s="70">
        <v>19</v>
      </c>
      <c r="N147" s="70">
        <v>4750</v>
      </c>
      <c r="O147" s="70">
        <v>13</v>
      </c>
      <c r="P147" s="71">
        <v>91</v>
      </c>
      <c r="Q147" s="71">
        <v>875</v>
      </c>
      <c r="R147" s="72">
        <v>1.08</v>
      </c>
      <c r="S147" s="71">
        <v>1190</v>
      </c>
      <c r="T147" s="71">
        <v>300</v>
      </c>
      <c r="U147" s="73">
        <v>3.7</v>
      </c>
      <c r="V147" s="73">
        <v>0.6</v>
      </c>
      <c r="W147" s="72">
        <v>0.57999999999999996</v>
      </c>
      <c r="X147" s="72">
        <v>0.74</v>
      </c>
      <c r="Y147" s="72">
        <v>0.14000000000000001</v>
      </c>
      <c r="Z147" s="74">
        <v>8.7999999999999995E-2</v>
      </c>
      <c r="AA147" s="74">
        <v>4.8000000000000001E-2</v>
      </c>
      <c r="AB147" s="74">
        <v>1.2999999999999999E-2</v>
      </c>
      <c r="AC147" s="74">
        <v>8.2000000000000003E-2</v>
      </c>
      <c r="AE147" s="59"/>
      <c r="AF147" s="59"/>
      <c r="AG147" s="59"/>
      <c r="AH147" s="59"/>
      <c r="AI147" s="62">
        <v>145</v>
      </c>
      <c r="AJ147" s="63" t="str">
        <f ca="1">IF(design_loads!$E$5="","",IF($AI147&gt;INDEX($AG$3:$AG$16,MATCH(design_loads!$E$5,$AE$3:$AE$16)),"&lt;scroll up&gt;",OFFSET(OFFSET('NBCC_C-2'!$B$1,INDEX($AF$3:$AF$16,MATCH(design_loads!$E$5,$AE$3:$AE$16))-1,0),$AI147-1,0)))</f>
        <v>&lt;scroll up&gt;</v>
      </c>
      <c r="AK147" s="63" t="str">
        <f ca="1">IF(design_loads!$E$6="","",IF($AI147&gt;INDEX($AG$3:$AG$16,MATCH(design_loads!$E$6,$AE$3:$AE$16)),"&lt;scroll up&gt;",OFFSET(OFFSET('NBCC_C-2'!$B$1,INDEX($AF$3:$AF$16,MATCH(design_loads!$E$6,$AE$3:$AE$16))-1,0),$AI147-1,0)))</f>
        <v/>
      </c>
      <c r="AL147" s="63" t="str">
        <f ca="1">IF(design_loads!$E$7="","",IF($AI147&gt;INDEX($AG$3:$AG$16,MATCH(design_loads!$E$7,$AE$3:$AE$16)),"&lt;scroll up&gt;",OFFSET(OFFSET('NBCC_C-2'!$B$1,INDEX($AF$3:$AF$16,MATCH(design_loads!$E$7,$AE$3:$AE$16))-1,0),$AI147-1,0)))</f>
        <v/>
      </c>
      <c r="AM147" s="63" t="str">
        <f ca="1">IF(design_loads!$E$8="","",IF($AI147&gt;INDEX($AG$3:$AG$16,MATCH(design_loads!$E$8,$AE$3:$AE$16)),"&lt;scroll up&gt;",OFFSET(OFFSET('NBCC_C-2'!$B$1,INDEX($AF$3:$AF$16,MATCH(design_loads!$E$8,$AE$3:$AE$16))-1,0),$AI147-1,0)))</f>
        <v/>
      </c>
    </row>
    <row r="148" spans="2:39" x14ac:dyDescent="0.2">
      <c r="B148" s="66" t="s">
        <v>511</v>
      </c>
      <c r="C148" s="67" t="s">
        <v>247</v>
      </c>
      <c r="D148" s="68">
        <v>144</v>
      </c>
      <c r="F148" s="66" t="s">
        <v>512</v>
      </c>
      <c r="G148" s="67" t="s">
        <v>264</v>
      </c>
      <c r="H148" s="68">
        <v>41</v>
      </c>
      <c r="I148" s="70">
        <v>35</v>
      </c>
      <c r="J148" s="70">
        <v>-23</v>
      </c>
      <c r="K148" s="70">
        <v>-25</v>
      </c>
      <c r="L148" s="70">
        <v>30</v>
      </c>
      <c r="M148" s="70">
        <v>23</v>
      </c>
      <c r="N148" s="70">
        <v>4350</v>
      </c>
      <c r="O148" s="70">
        <v>28</v>
      </c>
      <c r="P148" s="71">
        <v>103</v>
      </c>
      <c r="Q148" s="71">
        <v>780</v>
      </c>
      <c r="R148" s="72">
        <v>0.89</v>
      </c>
      <c r="S148" s="71">
        <v>960</v>
      </c>
      <c r="T148" s="71">
        <v>180</v>
      </c>
      <c r="U148" s="73">
        <v>2.2000000000000002</v>
      </c>
      <c r="V148" s="73">
        <v>0.4</v>
      </c>
      <c r="W148" s="72">
        <v>0.3</v>
      </c>
      <c r="X148" s="72">
        <v>0.41</v>
      </c>
      <c r="Y148" s="72">
        <v>0.67</v>
      </c>
      <c r="Z148" s="74">
        <v>0.31</v>
      </c>
      <c r="AA148" s="74">
        <v>0.14000000000000001</v>
      </c>
      <c r="AB148" s="74">
        <v>4.4999999999999998E-2</v>
      </c>
      <c r="AC148" s="74">
        <v>0.41</v>
      </c>
      <c r="AE148" s="59"/>
      <c r="AF148" s="59"/>
      <c r="AG148" s="59"/>
      <c r="AH148" s="59"/>
      <c r="AI148" s="62">
        <v>146</v>
      </c>
      <c r="AJ148" s="63" t="str">
        <f ca="1">IF(design_loads!$E$5="","",IF($AI148&gt;INDEX($AG$3:$AG$16,MATCH(design_loads!$E$5,$AE$3:$AE$16)),"&lt;scroll up&gt;",OFFSET(OFFSET('NBCC_C-2'!$B$1,INDEX($AF$3:$AF$16,MATCH(design_loads!$E$5,$AE$3:$AE$16))-1,0),$AI148-1,0)))</f>
        <v>&lt;scroll up&gt;</v>
      </c>
      <c r="AK148" s="63" t="str">
        <f ca="1">IF(design_loads!$E$6="","",IF($AI148&gt;INDEX($AG$3:$AG$16,MATCH(design_loads!$E$6,$AE$3:$AE$16)),"&lt;scroll up&gt;",OFFSET(OFFSET('NBCC_C-2'!$B$1,INDEX($AF$3:$AF$16,MATCH(design_loads!$E$6,$AE$3:$AE$16))-1,0),$AI148-1,0)))</f>
        <v/>
      </c>
      <c r="AL148" s="63" t="str">
        <f ca="1">IF(design_loads!$E$7="","",IF($AI148&gt;INDEX($AG$3:$AG$16,MATCH(design_loads!$E$7,$AE$3:$AE$16)),"&lt;scroll up&gt;",OFFSET(OFFSET('NBCC_C-2'!$B$1,INDEX($AF$3:$AF$16,MATCH(design_loads!$E$7,$AE$3:$AE$16))-1,0),$AI148-1,0)))</f>
        <v/>
      </c>
      <c r="AM148" s="63" t="str">
        <f ca="1">IF(design_loads!$E$8="","",IF($AI148&gt;INDEX($AG$3:$AG$16,MATCH(design_loads!$E$8,$AE$3:$AE$16)),"&lt;scroll up&gt;",OFFSET(OFFSET('NBCC_C-2'!$B$1,INDEX($AF$3:$AF$16,MATCH(design_loads!$E$8,$AE$3:$AE$16))-1,0),$AI148-1,0)))</f>
        <v/>
      </c>
    </row>
    <row r="149" spans="2:39" x14ac:dyDescent="0.2">
      <c r="B149" s="66" t="s">
        <v>513</v>
      </c>
      <c r="C149" s="67" t="s">
        <v>247</v>
      </c>
      <c r="D149" s="68">
        <v>145</v>
      </c>
      <c r="F149" s="66" t="s">
        <v>317</v>
      </c>
      <c r="G149" s="67" t="s">
        <v>247</v>
      </c>
      <c r="H149" s="68">
        <v>32</v>
      </c>
      <c r="I149" s="76">
        <v>790</v>
      </c>
      <c r="J149" s="70">
        <v>-31</v>
      </c>
      <c r="K149" s="70">
        <v>-33</v>
      </c>
      <c r="L149" s="70">
        <v>30</v>
      </c>
      <c r="M149" s="70">
        <v>19</v>
      </c>
      <c r="N149" s="76">
        <v>5800</v>
      </c>
      <c r="O149" s="76">
        <v>20</v>
      </c>
      <c r="P149" s="77">
        <v>92</v>
      </c>
      <c r="Q149" s="77">
        <v>300</v>
      </c>
      <c r="R149" s="72">
        <v>0.45</v>
      </c>
      <c r="S149" s="77">
        <v>400</v>
      </c>
      <c r="T149" s="77">
        <v>200</v>
      </c>
      <c r="U149" s="73">
        <v>2.2000000000000002</v>
      </c>
      <c r="V149" s="73">
        <v>0.1</v>
      </c>
      <c r="W149" s="72">
        <v>0.23</v>
      </c>
      <c r="X149" s="72">
        <v>0.37</v>
      </c>
      <c r="Y149" s="72">
        <v>0.12</v>
      </c>
      <c r="Z149" s="74">
        <v>5.6000000000000001E-2</v>
      </c>
      <c r="AA149" s="74">
        <v>2.3E-2</v>
      </c>
      <c r="AB149" s="74">
        <v>6.0000000000000001E-3</v>
      </c>
      <c r="AC149" s="74">
        <v>5.8999999999999997E-2</v>
      </c>
      <c r="AE149" s="59"/>
      <c r="AF149" s="59"/>
      <c r="AG149" s="59"/>
      <c r="AH149" s="59"/>
      <c r="AI149" s="62">
        <v>147</v>
      </c>
      <c r="AJ149" s="63" t="str">
        <f ca="1">IF(design_loads!$E$5="","",IF($AI149&gt;INDEX($AG$3:$AG$16,MATCH(design_loads!$E$5,$AE$3:$AE$16)),"&lt;scroll up&gt;",OFFSET(OFFSET('NBCC_C-2'!$B$1,INDEX($AF$3:$AF$16,MATCH(design_loads!$E$5,$AE$3:$AE$16))-1,0),$AI149-1,0)))</f>
        <v>&lt;scroll up&gt;</v>
      </c>
      <c r="AK149" s="63" t="str">
        <f ca="1">IF(design_loads!$E$6="","",IF($AI149&gt;INDEX($AG$3:$AG$16,MATCH(design_loads!$E$6,$AE$3:$AE$16)),"&lt;scroll up&gt;",OFFSET(OFFSET('NBCC_C-2'!$B$1,INDEX($AF$3:$AF$16,MATCH(design_loads!$E$6,$AE$3:$AE$16))-1,0),$AI149-1,0)))</f>
        <v/>
      </c>
      <c r="AL149" s="63" t="str">
        <f ca="1">IF(design_loads!$E$7="","",IF($AI149&gt;INDEX($AG$3:$AG$16,MATCH(design_loads!$E$7,$AE$3:$AE$16)),"&lt;scroll up&gt;",OFFSET(OFFSET('NBCC_C-2'!$B$1,INDEX($AF$3:$AF$16,MATCH(design_loads!$E$7,$AE$3:$AE$16))-1,0),$AI149-1,0)))</f>
        <v/>
      </c>
      <c r="AM149" s="63" t="str">
        <f ca="1">IF(design_loads!$E$8="","",IF($AI149&gt;INDEX($AG$3:$AG$16,MATCH(design_loads!$E$8,$AE$3:$AE$16)),"&lt;scroll up&gt;",OFFSET(OFFSET('NBCC_C-2'!$B$1,INDEX($AF$3:$AF$16,MATCH(design_loads!$E$8,$AE$3:$AE$16))-1,0),$AI149-1,0)))</f>
        <v/>
      </c>
    </row>
    <row r="150" spans="2:39" x14ac:dyDescent="0.2">
      <c r="B150" s="66" t="s">
        <v>514</v>
      </c>
      <c r="C150" s="67" t="s">
        <v>247</v>
      </c>
      <c r="D150" s="68">
        <v>146</v>
      </c>
      <c r="F150" s="66" t="s">
        <v>515</v>
      </c>
      <c r="G150" s="67" t="s">
        <v>264</v>
      </c>
      <c r="H150" s="68">
        <v>42</v>
      </c>
      <c r="I150" s="70">
        <v>185</v>
      </c>
      <c r="J150" s="70">
        <v>-16</v>
      </c>
      <c r="K150" s="70">
        <v>-18</v>
      </c>
      <c r="L150" s="70">
        <v>31</v>
      </c>
      <c r="M150" s="70">
        <v>23</v>
      </c>
      <c r="N150" s="70">
        <v>3800</v>
      </c>
      <c r="O150" s="70">
        <v>23</v>
      </c>
      <c r="P150" s="71">
        <v>97</v>
      </c>
      <c r="Q150" s="71">
        <v>760</v>
      </c>
      <c r="R150" s="72">
        <v>0.87</v>
      </c>
      <c r="S150" s="71">
        <v>800</v>
      </c>
      <c r="T150" s="71">
        <v>180</v>
      </c>
      <c r="U150" s="73">
        <v>1</v>
      </c>
      <c r="V150" s="73">
        <v>0.4</v>
      </c>
      <c r="W150" s="72">
        <v>0.35</v>
      </c>
      <c r="X150" s="72">
        <v>0.47</v>
      </c>
      <c r="Y150" s="72">
        <v>0.14000000000000001</v>
      </c>
      <c r="Z150" s="74">
        <v>7.5999999999999998E-2</v>
      </c>
      <c r="AA150" s="74">
        <v>0.04</v>
      </c>
      <c r="AB150" s="74">
        <v>1.0999999999999999E-2</v>
      </c>
      <c r="AC150" s="74">
        <v>8.4000000000000005E-2</v>
      </c>
      <c r="AE150" s="59"/>
      <c r="AF150" s="59"/>
      <c r="AG150" s="59"/>
      <c r="AH150" s="59"/>
      <c r="AI150" s="62">
        <v>148</v>
      </c>
      <c r="AJ150" s="63" t="str">
        <f ca="1">IF(design_loads!$E$5="","",IF($AI150&gt;INDEX($AG$3:$AG$16,MATCH(design_loads!$E$5,$AE$3:$AE$16)),"&lt;scroll up&gt;",OFFSET(OFFSET('NBCC_C-2'!$B$1,INDEX($AF$3:$AF$16,MATCH(design_loads!$E$5,$AE$3:$AE$16))-1,0),$AI150-1,0)))</f>
        <v>&lt;scroll up&gt;</v>
      </c>
      <c r="AK150" s="63" t="str">
        <f ca="1">IF(design_loads!$E$6="","",IF($AI150&gt;INDEX($AG$3:$AG$16,MATCH(design_loads!$E$6,$AE$3:$AE$16)),"&lt;scroll up&gt;",OFFSET(OFFSET('NBCC_C-2'!$B$1,INDEX($AF$3:$AF$16,MATCH(design_loads!$E$6,$AE$3:$AE$16))-1,0),$AI150-1,0)))</f>
        <v/>
      </c>
      <c r="AL150" s="63" t="str">
        <f ca="1">IF(design_loads!$E$7="","",IF($AI150&gt;INDEX($AG$3:$AG$16,MATCH(design_loads!$E$7,$AE$3:$AE$16)),"&lt;scroll up&gt;",OFFSET(OFFSET('NBCC_C-2'!$B$1,INDEX($AF$3:$AF$16,MATCH(design_loads!$E$7,$AE$3:$AE$16))-1,0),$AI150-1,0)))</f>
        <v/>
      </c>
      <c r="AM150" s="63" t="str">
        <f ca="1">IF(design_loads!$E$8="","",IF($AI150&gt;INDEX($AG$3:$AG$16,MATCH(design_loads!$E$8,$AE$3:$AE$16)),"&lt;scroll up&gt;",OFFSET(OFFSET('NBCC_C-2'!$B$1,INDEX($AF$3:$AF$16,MATCH(design_loads!$E$8,$AE$3:$AE$16))-1,0),$AI150-1,0)))</f>
        <v/>
      </c>
    </row>
    <row r="151" spans="2:39" x14ac:dyDescent="0.2">
      <c r="B151" s="66" t="s">
        <v>516</v>
      </c>
      <c r="C151" s="67" t="s">
        <v>247</v>
      </c>
      <c r="D151" s="68">
        <v>147</v>
      </c>
      <c r="F151" s="66" t="s">
        <v>517</v>
      </c>
      <c r="G151" s="67" t="s">
        <v>224</v>
      </c>
      <c r="H151" s="68">
        <v>17</v>
      </c>
      <c r="I151" s="70">
        <v>10</v>
      </c>
      <c r="J151" s="70">
        <v>-7</v>
      </c>
      <c r="K151" s="70">
        <v>-9</v>
      </c>
      <c r="L151" s="70">
        <v>28</v>
      </c>
      <c r="M151" s="70">
        <v>18</v>
      </c>
      <c r="N151" s="70">
        <v>3150</v>
      </c>
      <c r="O151" s="70">
        <v>10</v>
      </c>
      <c r="P151" s="71">
        <v>112</v>
      </c>
      <c r="Q151" s="71">
        <v>1400</v>
      </c>
      <c r="R151" s="72">
        <v>1.49</v>
      </c>
      <c r="S151" s="71">
        <v>1450</v>
      </c>
      <c r="T151" s="71">
        <v>260</v>
      </c>
      <c r="U151" s="73">
        <v>2.6</v>
      </c>
      <c r="V151" s="73">
        <v>0.4</v>
      </c>
      <c r="W151" s="72">
        <v>0.45</v>
      </c>
      <c r="X151" s="72">
        <v>0.65</v>
      </c>
      <c r="Y151" s="72">
        <v>0.65</v>
      </c>
      <c r="Z151" s="74">
        <v>0.48</v>
      </c>
      <c r="AA151" s="74">
        <v>0.28000000000000003</v>
      </c>
      <c r="AB151" s="74">
        <v>0.16</v>
      </c>
      <c r="AC151" s="74">
        <v>0.3</v>
      </c>
      <c r="AE151" s="59"/>
      <c r="AF151" s="59"/>
      <c r="AG151" s="59"/>
      <c r="AH151" s="59"/>
      <c r="AI151" s="62">
        <v>149</v>
      </c>
      <c r="AJ151" s="63" t="str">
        <f ca="1">IF(design_loads!$E$5="","",IF($AI151&gt;INDEX($AG$3:$AG$16,MATCH(design_loads!$E$5,$AE$3:$AE$16)),"&lt;scroll up&gt;",OFFSET(OFFSET('NBCC_C-2'!$B$1,INDEX($AF$3:$AF$16,MATCH(design_loads!$E$5,$AE$3:$AE$16))-1,0),$AI151-1,0)))</f>
        <v>&lt;scroll up&gt;</v>
      </c>
      <c r="AK151" s="63" t="str">
        <f ca="1">IF(design_loads!$E$6="","",IF($AI151&gt;INDEX($AG$3:$AG$16,MATCH(design_loads!$E$6,$AE$3:$AE$16)),"&lt;scroll up&gt;",OFFSET(OFFSET('NBCC_C-2'!$B$1,INDEX($AF$3:$AF$16,MATCH(design_loads!$E$6,$AE$3:$AE$16))-1,0),$AI151-1,0)))</f>
        <v/>
      </c>
      <c r="AL151" s="63" t="str">
        <f ca="1">IF(design_loads!$E$7="","",IF($AI151&gt;INDEX($AG$3:$AG$16,MATCH(design_loads!$E$7,$AE$3:$AE$16)),"&lt;scroll up&gt;",OFFSET(OFFSET('NBCC_C-2'!$B$1,INDEX($AF$3:$AF$16,MATCH(design_loads!$E$7,$AE$3:$AE$16))-1,0),$AI151-1,0)))</f>
        <v/>
      </c>
      <c r="AM151" s="63" t="str">
        <f ca="1">IF(design_loads!$E$8="","",IF($AI151&gt;INDEX($AG$3:$AG$16,MATCH(design_loads!$E$8,$AE$3:$AE$16)),"&lt;scroll up&gt;",OFFSET(OFFSET('NBCC_C-2'!$B$1,INDEX($AF$3:$AF$16,MATCH(design_loads!$E$8,$AE$3:$AE$16))-1,0),$AI151-1,0)))</f>
        <v/>
      </c>
    </row>
    <row r="152" spans="2:39" x14ac:dyDescent="0.2">
      <c r="B152" s="66" t="s">
        <v>518</v>
      </c>
      <c r="C152" s="67" t="s">
        <v>247</v>
      </c>
      <c r="D152" s="68">
        <v>148</v>
      </c>
      <c r="F152" s="66" t="s">
        <v>519</v>
      </c>
      <c r="G152" s="67" t="s">
        <v>257</v>
      </c>
      <c r="H152" s="68">
        <v>22</v>
      </c>
      <c r="I152" s="70">
        <v>120</v>
      </c>
      <c r="J152" s="70">
        <v>-24</v>
      </c>
      <c r="K152" s="70">
        <v>-26</v>
      </c>
      <c r="L152" s="70">
        <v>29</v>
      </c>
      <c r="M152" s="70">
        <v>22</v>
      </c>
      <c r="N152" s="70">
        <v>4700</v>
      </c>
      <c r="O152" s="70">
        <v>23</v>
      </c>
      <c r="P152" s="71">
        <v>91</v>
      </c>
      <c r="Q152" s="71">
        <v>940</v>
      </c>
      <c r="R152" s="72">
        <v>1.04</v>
      </c>
      <c r="S152" s="71">
        <v>1150</v>
      </c>
      <c r="T152" s="71">
        <v>160</v>
      </c>
      <c r="U152" s="73">
        <v>2.2999999999999998</v>
      </c>
      <c r="V152" s="73">
        <v>0.4</v>
      </c>
      <c r="W152" s="72">
        <v>0.31</v>
      </c>
      <c r="X152" s="72">
        <v>0.41</v>
      </c>
      <c r="Y152" s="72">
        <v>0.48</v>
      </c>
      <c r="Z152" s="74">
        <v>0.24</v>
      </c>
      <c r="AA152" s="74">
        <v>0.1</v>
      </c>
      <c r="AB152" s="74">
        <v>3.5999999999999997E-2</v>
      </c>
      <c r="AC152" s="74">
        <v>0.3</v>
      </c>
      <c r="AE152" s="59"/>
      <c r="AF152" s="59"/>
      <c r="AG152" s="59"/>
      <c r="AH152" s="59"/>
      <c r="AI152" s="62">
        <v>150</v>
      </c>
      <c r="AJ152" s="63" t="str">
        <f ca="1">IF(design_loads!$E$5="","",IF($AI152&gt;INDEX($AG$3:$AG$16,MATCH(design_loads!$E$5,$AE$3:$AE$16)),"&lt;scroll up&gt;",OFFSET(OFFSET('NBCC_C-2'!$B$1,INDEX($AF$3:$AF$16,MATCH(design_loads!$E$5,$AE$3:$AE$16))-1,0),$AI152-1,0)))</f>
        <v>&lt;scroll up&gt;</v>
      </c>
      <c r="AK152" s="63" t="str">
        <f ca="1">IF(design_loads!$E$6="","",IF($AI152&gt;INDEX($AG$3:$AG$16,MATCH(design_loads!$E$6,$AE$3:$AE$16)),"&lt;scroll up&gt;",OFFSET(OFFSET('NBCC_C-2'!$B$1,INDEX($AF$3:$AF$16,MATCH(design_loads!$E$6,$AE$3:$AE$16))-1,0),$AI152-1,0)))</f>
        <v/>
      </c>
      <c r="AL152" s="63" t="str">
        <f ca="1">IF(design_loads!$E$7="","",IF($AI152&gt;INDEX($AG$3:$AG$16,MATCH(design_loads!$E$7,$AE$3:$AE$16)),"&lt;scroll up&gt;",OFFSET(OFFSET('NBCC_C-2'!$B$1,INDEX($AF$3:$AF$16,MATCH(design_loads!$E$7,$AE$3:$AE$16))-1,0),$AI152-1,0)))</f>
        <v/>
      </c>
      <c r="AM152" s="63" t="str">
        <f ca="1">IF(design_loads!$E$8="","",IF($AI152&gt;INDEX($AG$3:$AG$16,MATCH(design_loads!$E$8,$AE$3:$AE$16)),"&lt;scroll up&gt;",OFFSET(OFFSET('NBCC_C-2'!$B$1,INDEX($AF$3:$AF$16,MATCH(design_loads!$E$8,$AE$3:$AE$16))-1,0),$AI152-1,0)))</f>
        <v/>
      </c>
    </row>
    <row r="153" spans="2:39" x14ac:dyDescent="0.2">
      <c r="B153" s="66" t="s">
        <v>249</v>
      </c>
      <c r="C153" s="67" t="s">
        <v>224</v>
      </c>
      <c r="D153" s="68">
        <v>1</v>
      </c>
      <c r="F153" s="66" t="s">
        <v>319</v>
      </c>
      <c r="G153" s="67" t="s">
        <v>247</v>
      </c>
      <c r="H153" s="68">
        <v>33</v>
      </c>
      <c r="I153" s="76">
        <v>1175</v>
      </c>
      <c r="J153" s="70">
        <v>-31</v>
      </c>
      <c r="K153" s="70">
        <v>-34</v>
      </c>
      <c r="L153" s="70">
        <v>29</v>
      </c>
      <c r="M153" s="70">
        <v>18</v>
      </c>
      <c r="N153" s="76">
        <v>5100</v>
      </c>
      <c r="O153" s="76">
        <v>15</v>
      </c>
      <c r="P153" s="77">
        <v>81</v>
      </c>
      <c r="Q153" s="77">
        <v>310</v>
      </c>
      <c r="R153" s="72">
        <v>0.36</v>
      </c>
      <c r="S153" s="77">
        <v>525</v>
      </c>
      <c r="T153" s="77">
        <v>140</v>
      </c>
      <c r="U153" s="73">
        <v>1.6</v>
      </c>
      <c r="V153" s="73">
        <v>0.1</v>
      </c>
      <c r="W153" s="72">
        <v>0.73</v>
      </c>
      <c r="X153" s="72">
        <v>1</v>
      </c>
      <c r="Y153" s="72">
        <v>0.2</v>
      </c>
      <c r="Z153" s="74">
        <v>0.12</v>
      </c>
      <c r="AA153" s="74">
        <v>5.7000000000000002E-2</v>
      </c>
      <c r="AB153" s="74">
        <v>3.3000000000000002E-2</v>
      </c>
      <c r="AC153" s="74">
        <v>0.1</v>
      </c>
      <c r="AE153" s="59"/>
      <c r="AF153" s="59"/>
      <c r="AG153" s="59"/>
      <c r="AH153" s="59"/>
      <c r="AI153" s="62">
        <v>151</v>
      </c>
      <c r="AJ153" s="63" t="str">
        <f ca="1">IF(design_loads!$E$5="","",IF($AI153&gt;INDEX($AG$3:$AG$16,MATCH(design_loads!$E$5,$AE$3:$AE$16)),"&lt;scroll up&gt;",OFFSET(OFFSET('NBCC_C-2'!$B$1,INDEX($AF$3:$AF$16,MATCH(design_loads!$E$5,$AE$3:$AE$16))-1,0),$AI153-1,0)))</f>
        <v>&lt;scroll up&gt;</v>
      </c>
      <c r="AK153" s="63" t="str">
        <f ca="1">IF(design_loads!$E$6="","",IF($AI153&gt;INDEX($AG$3:$AG$16,MATCH(design_loads!$E$6,$AE$3:$AE$16)),"&lt;scroll up&gt;",OFFSET(OFFSET('NBCC_C-2'!$B$1,INDEX($AF$3:$AF$16,MATCH(design_loads!$E$6,$AE$3:$AE$16))-1,0),$AI153-1,0)))</f>
        <v/>
      </c>
      <c r="AL153" s="63" t="str">
        <f ca="1">IF(design_loads!$E$7="","",IF($AI153&gt;INDEX($AG$3:$AG$16,MATCH(design_loads!$E$7,$AE$3:$AE$16)),"&lt;scroll up&gt;",OFFSET(OFFSET('NBCC_C-2'!$B$1,INDEX($AF$3:$AF$16,MATCH(design_loads!$E$7,$AE$3:$AE$16))-1,0),$AI153-1,0)))</f>
        <v/>
      </c>
      <c r="AM153" s="63" t="str">
        <f ca="1">IF(design_loads!$E$8="","",IF($AI153&gt;INDEX($AG$3:$AG$16,MATCH(design_loads!$E$8,$AE$3:$AE$16)),"&lt;scroll up&gt;",OFFSET(OFFSET('NBCC_C-2'!$B$1,INDEX($AF$3:$AF$16,MATCH(design_loads!$E$8,$AE$3:$AE$16))-1,0),$AI153-1,0)))</f>
        <v/>
      </c>
    </row>
    <row r="154" spans="2:39" x14ac:dyDescent="0.2">
      <c r="B154" s="66" t="s">
        <v>251</v>
      </c>
      <c r="C154" s="67" t="s">
        <v>224</v>
      </c>
      <c r="D154" s="68">
        <v>2</v>
      </c>
      <c r="F154" s="66" t="s">
        <v>520</v>
      </c>
      <c r="G154" s="67" t="s">
        <v>224</v>
      </c>
      <c r="H154" s="68">
        <v>18</v>
      </c>
      <c r="I154" s="70">
        <v>910</v>
      </c>
      <c r="J154" s="70">
        <v>-27</v>
      </c>
      <c r="K154" s="70">
        <v>-30</v>
      </c>
      <c r="L154" s="70">
        <v>32</v>
      </c>
      <c r="M154" s="70">
        <v>19</v>
      </c>
      <c r="N154" s="70">
        <v>4650</v>
      </c>
      <c r="O154" s="70">
        <v>10</v>
      </c>
      <c r="P154" s="71">
        <v>59</v>
      </c>
      <c r="Q154" s="71">
        <v>275</v>
      </c>
      <c r="R154" s="72">
        <v>0.3</v>
      </c>
      <c r="S154" s="71">
        <v>400</v>
      </c>
      <c r="T154" s="71">
        <v>100</v>
      </c>
      <c r="U154" s="73">
        <v>3</v>
      </c>
      <c r="V154" s="73">
        <v>0.2</v>
      </c>
      <c r="W154" s="72">
        <v>0.22</v>
      </c>
      <c r="X154" s="72">
        <v>0.33</v>
      </c>
      <c r="Y154" s="72">
        <v>0.27</v>
      </c>
      <c r="Z154" s="74">
        <v>0.16</v>
      </c>
      <c r="AA154" s="74">
        <v>0.08</v>
      </c>
      <c r="AB154" s="74">
        <v>4.4999999999999998E-2</v>
      </c>
      <c r="AC154" s="74">
        <v>0.14000000000000001</v>
      </c>
      <c r="AE154" s="59"/>
      <c r="AF154" s="59"/>
      <c r="AG154" s="59"/>
      <c r="AH154" s="59"/>
      <c r="AI154" s="62">
        <v>152</v>
      </c>
      <c r="AJ154" s="63" t="str">
        <f ca="1">IF(design_loads!$E$5="","",IF($AI154&gt;INDEX($AG$3:$AG$16,MATCH(design_loads!$E$5,$AE$3:$AE$16)),"&lt;scroll up&gt;",OFFSET(OFFSET('NBCC_C-2'!$B$1,INDEX($AF$3:$AF$16,MATCH(design_loads!$E$5,$AE$3:$AE$16))-1,0),$AI154-1,0)))</f>
        <v>&lt;scroll up&gt;</v>
      </c>
      <c r="AK154" s="63" t="str">
        <f ca="1">IF(design_loads!$E$6="","",IF($AI154&gt;INDEX($AG$3:$AG$16,MATCH(design_loads!$E$6,$AE$3:$AE$16)),"&lt;scroll up&gt;",OFFSET(OFFSET('NBCC_C-2'!$B$1,INDEX($AF$3:$AF$16,MATCH(design_loads!$E$6,$AE$3:$AE$16))-1,0),$AI154-1,0)))</f>
        <v/>
      </c>
      <c r="AL154" s="63" t="str">
        <f ca="1">IF(design_loads!$E$7="","",IF($AI154&gt;INDEX($AG$3:$AG$16,MATCH(design_loads!$E$7,$AE$3:$AE$16)),"&lt;scroll up&gt;",OFFSET(OFFSET('NBCC_C-2'!$B$1,INDEX($AF$3:$AF$16,MATCH(design_loads!$E$7,$AE$3:$AE$16))-1,0),$AI154-1,0)))</f>
        <v/>
      </c>
      <c r="AM154" s="63" t="str">
        <f ca="1">IF(design_loads!$E$8="","",IF($AI154&gt;INDEX($AG$3:$AG$16,MATCH(design_loads!$E$8,$AE$3:$AE$16)),"&lt;scroll up&gt;",OFFSET(OFFSET('NBCC_C-2'!$B$1,INDEX($AF$3:$AF$16,MATCH(design_loads!$E$8,$AE$3:$AE$16))-1,0),$AI154-1,0)))</f>
        <v/>
      </c>
    </row>
    <row r="155" spans="2:39" x14ac:dyDescent="0.2">
      <c r="B155" s="66" t="s">
        <v>260</v>
      </c>
      <c r="C155" s="67" t="s">
        <v>224</v>
      </c>
      <c r="D155" s="68">
        <v>3</v>
      </c>
      <c r="F155" s="66" t="s">
        <v>521</v>
      </c>
      <c r="G155" s="67" t="s">
        <v>224</v>
      </c>
      <c r="H155" s="68">
        <v>19</v>
      </c>
      <c r="I155" s="70">
        <v>585</v>
      </c>
      <c r="J155" s="70">
        <v>-20</v>
      </c>
      <c r="K155" s="70">
        <v>-23</v>
      </c>
      <c r="L155" s="70">
        <v>31</v>
      </c>
      <c r="M155" s="70">
        <v>19</v>
      </c>
      <c r="N155" s="70">
        <v>3900</v>
      </c>
      <c r="O155" s="70">
        <v>10</v>
      </c>
      <c r="P155" s="71">
        <v>54</v>
      </c>
      <c r="Q155" s="71">
        <v>675</v>
      </c>
      <c r="R155" s="72">
        <v>0.75</v>
      </c>
      <c r="S155" s="71">
        <v>850</v>
      </c>
      <c r="T155" s="71">
        <v>80</v>
      </c>
      <c r="U155" s="73">
        <v>4.2</v>
      </c>
      <c r="V155" s="73">
        <v>0.1</v>
      </c>
      <c r="W155" s="72">
        <v>0.22</v>
      </c>
      <c r="X155" s="72">
        <v>0.33</v>
      </c>
      <c r="Y155" s="72">
        <v>0.27</v>
      </c>
      <c r="Z155" s="74">
        <v>0.16</v>
      </c>
      <c r="AA155" s="74">
        <v>8.1000000000000003E-2</v>
      </c>
      <c r="AB155" s="74">
        <v>4.4999999999999998E-2</v>
      </c>
      <c r="AC155" s="74">
        <v>0.14000000000000001</v>
      </c>
      <c r="AE155" s="59"/>
      <c r="AF155" s="59"/>
      <c r="AG155" s="59"/>
      <c r="AH155" s="59"/>
      <c r="AI155" s="62">
        <v>153</v>
      </c>
      <c r="AJ155" s="63" t="str">
        <f ca="1">IF(design_loads!$E$5="","",IF($AI155&gt;INDEX($AG$3:$AG$16,MATCH(design_loads!$E$5,$AE$3:$AE$16)),"&lt;scroll up&gt;",OFFSET(OFFSET('NBCC_C-2'!$B$1,INDEX($AF$3:$AF$16,MATCH(design_loads!$E$5,$AE$3:$AE$16))-1,0),$AI155-1,0)))</f>
        <v>&lt;scroll up&gt;</v>
      </c>
      <c r="AK155" s="63" t="str">
        <f ca="1">IF(design_loads!$E$6="","",IF($AI155&gt;INDEX($AG$3:$AG$16,MATCH(design_loads!$E$6,$AE$3:$AE$16)),"&lt;scroll up&gt;",OFFSET(OFFSET('NBCC_C-2'!$B$1,INDEX($AF$3:$AF$16,MATCH(design_loads!$E$6,$AE$3:$AE$16))-1,0),$AI155-1,0)))</f>
        <v/>
      </c>
      <c r="AL155" s="63" t="str">
        <f ca="1">IF(design_loads!$E$7="","",IF($AI155&gt;INDEX($AG$3:$AG$16,MATCH(design_loads!$E$7,$AE$3:$AE$16)),"&lt;scroll up&gt;",OFFSET(OFFSET('NBCC_C-2'!$B$1,INDEX($AF$3:$AF$16,MATCH(design_loads!$E$7,$AE$3:$AE$16))-1,0),$AI155-1,0)))</f>
        <v/>
      </c>
      <c r="AM155" s="63" t="str">
        <f ca="1">IF(design_loads!$E$8="","",IF($AI155&gt;INDEX($AG$3:$AG$16,MATCH(design_loads!$E$8,$AE$3:$AE$16)),"&lt;scroll up&gt;",OFFSET(OFFSET('NBCC_C-2'!$B$1,INDEX($AF$3:$AF$16,MATCH(design_loads!$E$8,$AE$3:$AE$16))-1,0),$AI155-1,0)))</f>
        <v/>
      </c>
    </row>
    <row r="156" spans="2:39" x14ac:dyDescent="0.2">
      <c r="B156" s="66" t="s">
        <v>277</v>
      </c>
      <c r="C156" s="67" t="s">
        <v>224</v>
      </c>
      <c r="D156" s="68">
        <v>4</v>
      </c>
      <c r="F156" s="66" t="s">
        <v>522</v>
      </c>
      <c r="G156" s="67" t="s">
        <v>224</v>
      </c>
      <c r="H156" s="68">
        <v>20</v>
      </c>
      <c r="I156" s="70">
        <v>5</v>
      </c>
      <c r="J156" s="70">
        <v>-6</v>
      </c>
      <c r="K156" s="70">
        <v>-8</v>
      </c>
      <c r="L156" s="70">
        <v>28</v>
      </c>
      <c r="M156" s="70">
        <v>18</v>
      </c>
      <c r="N156" s="70">
        <v>3150</v>
      </c>
      <c r="O156" s="70">
        <v>8</v>
      </c>
      <c r="P156" s="71">
        <v>86</v>
      </c>
      <c r="Q156" s="71">
        <v>925</v>
      </c>
      <c r="R156" s="72">
        <v>1.06</v>
      </c>
      <c r="S156" s="71">
        <v>950</v>
      </c>
      <c r="T156" s="71">
        <v>160</v>
      </c>
      <c r="U156" s="73">
        <v>1.8</v>
      </c>
      <c r="V156" s="73">
        <v>0.2</v>
      </c>
      <c r="W156" s="72">
        <v>0.48</v>
      </c>
      <c r="X156" s="72">
        <v>0.63</v>
      </c>
      <c r="Y156" s="72">
        <v>1.1000000000000001</v>
      </c>
      <c r="Z156" s="74">
        <v>0.74</v>
      </c>
      <c r="AA156" s="74">
        <v>0.37</v>
      </c>
      <c r="AB156" s="74">
        <v>0.18</v>
      </c>
      <c r="AC156" s="74">
        <v>0.54</v>
      </c>
      <c r="AE156" s="59"/>
      <c r="AF156" s="59"/>
      <c r="AG156" s="59"/>
      <c r="AH156" s="59"/>
      <c r="AI156" s="62">
        <v>154</v>
      </c>
      <c r="AJ156" s="63" t="str">
        <f ca="1">IF(design_loads!$E$5="","",IF($AI156&gt;INDEX($AG$3:$AG$16,MATCH(design_loads!$E$5,$AE$3:$AE$16)),"&lt;scroll up&gt;",OFFSET(OFFSET('NBCC_C-2'!$B$1,INDEX($AF$3:$AF$16,MATCH(design_loads!$E$5,$AE$3:$AE$16))-1,0),$AI156-1,0)))</f>
        <v>&lt;scroll up&gt;</v>
      </c>
      <c r="AK156" s="63" t="str">
        <f ca="1">IF(design_loads!$E$6="","",IF($AI156&gt;INDEX($AG$3:$AG$16,MATCH(design_loads!$E$6,$AE$3:$AE$16)),"&lt;scroll up&gt;",OFFSET(OFFSET('NBCC_C-2'!$B$1,INDEX($AF$3:$AF$16,MATCH(design_loads!$E$6,$AE$3:$AE$16))-1,0),$AI156-1,0)))</f>
        <v/>
      </c>
      <c r="AL156" s="63" t="str">
        <f ca="1">IF(design_loads!$E$7="","",IF($AI156&gt;INDEX($AG$3:$AG$16,MATCH(design_loads!$E$7,$AE$3:$AE$16)),"&lt;scroll up&gt;",OFFSET(OFFSET('NBCC_C-2'!$B$1,INDEX($AF$3:$AF$16,MATCH(design_loads!$E$7,$AE$3:$AE$16))-1,0),$AI156-1,0)))</f>
        <v/>
      </c>
      <c r="AM156" s="63" t="str">
        <f ca="1">IF(design_loads!$E$8="","",IF($AI156&gt;INDEX($AG$3:$AG$16,MATCH(design_loads!$E$8,$AE$3:$AE$16)),"&lt;scroll up&gt;",OFFSET(OFFSET('NBCC_C-2'!$B$1,INDEX($AF$3:$AF$16,MATCH(design_loads!$E$8,$AE$3:$AE$16))-1,0),$AI156-1,0)))</f>
        <v/>
      </c>
    </row>
    <row r="157" spans="2:39" x14ac:dyDescent="0.2">
      <c r="B157" s="66" t="s">
        <v>311</v>
      </c>
      <c r="C157" s="67" t="s">
        <v>224</v>
      </c>
      <c r="D157" s="68">
        <v>5</v>
      </c>
      <c r="F157" s="66" t="s">
        <v>321</v>
      </c>
      <c r="G157" s="67" t="s">
        <v>247</v>
      </c>
      <c r="H157" s="68">
        <v>34</v>
      </c>
      <c r="I157" s="76">
        <v>1113</v>
      </c>
      <c r="J157" s="70">
        <v>-32</v>
      </c>
      <c r="K157" s="70">
        <v>-34</v>
      </c>
      <c r="L157" s="70">
        <v>28</v>
      </c>
      <c r="M157" s="70">
        <v>18</v>
      </c>
      <c r="N157" s="76">
        <v>5500</v>
      </c>
      <c r="O157" s="76">
        <v>17</v>
      </c>
      <c r="P157" s="77">
        <v>105</v>
      </c>
      <c r="Q157" s="77">
        <v>370</v>
      </c>
      <c r="R157" s="72">
        <v>0.45</v>
      </c>
      <c r="S157" s="77">
        <v>485</v>
      </c>
      <c r="T157" s="77">
        <v>200</v>
      </c>
      <c r="U157" s="73">
        <v>1.5</v>
      </c>
      <c r="V157" s="73">
        <v>0.1</v>
      </c>
      <c r="W157" s="72">
        <v>0.34</v>
      </c>
      <c r="X157" s="72">
        <v>0.45</v>
      </c>
      <c r="Y157" s="72">
        <v>0.14000000000000001</v>
      </c>
      <c r="Z157" s="74">
        <v>0.08</v>
      </c>
      <c r="AA157" s="74">
        <v>0.04</v>
      </c>
      <c r="AB157" s="74">
        <v>0.02</v>
      </c>
      <c r="AC157" s="74">
        <v>0.08</v>
      </c>
      <c r="AE157" s="59"/>
      <c r="AF157" s="59"/>
      <c r="AG157" s="59"/>
      <c r="AH157" s="59"/>
      <c r="AI157" s="62">
        <v>155</v>
      </c>
      <c r="AJ157" s="63" t="str">
        <f ca="1">IF(design_loads!$E$5="","",IF($AI157&gt;INDEX($AG$3:$AG$16,MATCH(design_loads!$E$5,$AE$3:$AE$16)),"&lt;scroll up&gt;",OFFSET(OFFSET('NBCC_C-2'!$B$1,INDEX($AF$3:$AF$16,MATCH(design_loads!$E$5,$AE$3:$AE$16))-1,0),$AI157-1,0)))</f>
        <v>&lt;scroll up&gt;</v>
      </c>
      <c r="AK157" s="63" t="str">
        <f ca="1">IF(design_loads!$E$6="","",IF($AI157&gt;INDEX($AG$3:$AG$16,MATCH(design_loads!$E$6,$AE$3:$AE$16)),"&lt;scroll up&gt;",OFFSET(OFFSET('NBCC_C-2'!$B$1,INDEX($AF$3:$AF$16,MATCH(design_loads!$E$6,$AE$3:$AE$16))-1,0),$AI157-1,0)))</f>
        <v/>
      </c>
      <c r="AL157" s="63" t="str">
        <f ca="1">IF(design_loads!$E$7="","",IF($AI157&gt;INDEX($AG$3:$AG$16,MATCH(design_loads!$E$7,$AE$3:$AE$16)),"&lt;scroll up&gt;",OFFSET(OFFSET('NBCC_C-2'!$B$1,INDEX($AF$3:$AF$16,MATCH(design_loads!$E$7,$AE$3:$AE$16))-1,0),$AI157-1,0)))</f>
        <v/>
      </c>
      <c r="AM157" s="63" t="str">
        <f ca="1">IF(design_loads!$E$8="","",IF($AI157&gt;INDEX($AG$3:$AG$16,MATCH(design_loads!$E$8,$AE$3:$AE$16)),"&lt;scroll up&gt;",OFFSET(OFFSET('NBCC_C-2'!$B$1,INDEX($AF$3:$AF$16,MATCH(design_loads!$E$8,$AE$3:$AE$16))-1,0),$AI157-1,0)))</f>
        <v/>
      </c>
    </row>
    <row r="158" spans="2:39" x14ac:dyDescent="0.2">
      <c r="B158" s="66" t="s">
        <v>342</v>
      </c>
      <c r="C158" s="67" t="s">
        <v>224</v>
      </c>
      <c r="D158" s="68">
        <v>6</v>
      </c>
      <c r="F158" s="66" t="s">
        <v>523</v>
      </c>
      <c r="G158" s="67" t="s">
        <v>278</v>
      </c>
      <c r="H158" s="68">
        <v>5</v>
      </c>
      <c r="I158" s="70">
        <v>530</v>
      </c>
      <c r="J158" s="70">
        <v>-36</v>
      </c>
      <c r="K158" s="70">
        <v>-39</v>
      </c>
      <c r="L158" s="70">
        <v>29</v>
      </c>
      <c r="M158" s="70">
        <v>21</v>
      </c>
      <c r="N158" s="70">
        <v>6300</v>
      </c>
      <c r="O158" s="70">
        <v>20</v>
      </c>
      <c r="P158" s="71">
        <v>92</v>
      </c>
      <c r="Q158" s="71">
        <v>300</v>
      </c>
      <c r="R158" s="72">
        <v>0.46</v>
      </c>
      <c r="S158" s="71">
        <v>380</v>
      </c>
      <c r="T158" s="71">
        <v>140</v>
      </c>
      <c r="U158" s="73">
        <v>1.7</v>
      </c>
      <c r="V158" s="73">
        <v>0.1</v>
      </c>
      <c r="W158" s="72">
        <v>0.28000000000000003</v>
      </c>
      <c r="X158" s="72">
        <v>0.37</v>
      </c>
      <c r="Y158" s="72">
        <v>0.12</v>
      </c>
      <c r="Z158" s="74">
        <v>5.6000000000000001E-2</v>
      </c>
      <c r="AA158" s="74">
        <v>2.3E-2</v>
      </c>
      <c r="AB158" s="74">
        <v>6.0000000000000001E-3</v>
      </c>
      <c r="AC158" s="74">
        <v>5.8999999999999997E-2</v>
      </c>
      <c r="AE158" s="59"/>
      <c r="AF158" s="59"/>
      <c r="AG158" s="59"/>
      <c r="AH158" s="59"/>
      <c r="AI158" s="62">
        <v>156</v>
      </c>
      <c r="AJ158" s="63" t="str">
        <f ca="1">IF(design_loads!$E$5="","",IF($AI158&gt;INDEX($AG$3:$AG$16,MATCH(design_loads!$E$5,$AE$3:$AE$16)),"&lt;scroll up&gt;",OFFSET(OFFSET('NBCC_C-2'!$B$1,INDEX($AF$3:$AF$16,MATCH(design_loads!$E$5,$AE$3:$AE$16))-1,0),$AI158-1,0)))</f>
        <v>&lt;scroll up&gt;</v>
      </c>
      <c r="AK158" s="63" t="str">
        <f ca="1">IF(design_loads!$E$6="","",IF($AI158&gt;INDEX($AG$3:$AG$16,MATCH(design_loads!$E$6,$AE$3:$AE$16)),"&lt;scroll up&gt;",OFFSET(OFFSET('NBCC_C-2'!$B$1,INDEX($AF$3:$AF$16,MATCH(design_loads!$E$6,$AE$3:$AE$16))-1,0),$AI158-1,0)))</f>
        <v/>
      </c>
      <c r="AL158" s="63" t="str">
        <f ca="1">IF(design_loads!$E$7="","",IF($AI158&gt;INDEX($AG$3:$AG$16,MATCH(design_loads!$E$7,$AE$3:$AE$16)),"&lt;scroll up&gt;",OFFSET(OFFSET('NBCC_C-2'!$B$1,INDEX($AF$3:$AF$16,MATCH(design_loads!$E$7,$AE$3:$AE$16))-1,0),$AI158-1,0)))</f>
        <v/>
      </c>
      <c r="AM158" s="63" t="str">
        <f ca="1">IF(design_loads!$E$8="","",IF($AI158&gt;INDEX($AG$3:$AG$16,MATCH(design_loads!$E$8,$AE$3:$AE$16)),"&lt;scroll up&gt;",OFFSET(OFFSET('NBCC_C-2'!$B$1,INDEX($AF$3:$AF$16,MATCH(design_loads!$E$8,$AE$3:$AE$16))-1,0),$AI158-1,0)))</f>
        <v/>
      </c>
    </row>
    <row r="159" spans="2:39" x14ac:dyDescent="0.2">
      <c r="B159" s="66" t="s">
        <v>407</v>
      </c>
      <c r="C159" s="67" t="s">
        <v>224</v>
      </c>
      <c r="D159" s="68">
        <v>7</v>
      </c>
      <c r="F159" s="66" t="s">
        <v>524</v>
      </c>
      <c r="G159" s="67" t="s">
        <v>261</v>
      </c>
      <c r="H159" s="68">
        <v>5</v>
      </c>
      <c r="I159" s="70">
        <v>10</v>
      </c>
      <c r="J159" s="70">
        <v>-16</v>
      </c>
      <c r="K159" s="70">
        <v>-18</v>
      </c>
      <c r="L159" s="70">
        <v>26</v>
      </c>
      <c r="M159" s="70">
        <v>20</v>
      </c>
      <c r="N159" s="70">
        <v>4200</v>
      </c>
      <c r="O159" s="70">
        <v>18</v>
      </c>
      <c r="P159" s="71">
        <v>144</v>
      </c>
      <c r="Q159" s="71">
        <v>1250</v>
      </c>
      <c r="R159" s="72">
        <v>1.4</v>
      </c>
      <c r="S159" s="71">
        <v>1400</v>
      </c>
      <c r="T159" s="71">
        <v>280</v>
      </c>
      <c r="U159" s="73">
        <v>1.6</v>
      </c>
      <c r="V159" s="73">
        <v>0.6</v>
      </c>
      <c r="W159" s="72">
        <v>0.4</v>
      </c>
      <c r="X159" s="72">
        <v>0.57999999999999996</v>
      </c>
      <c r="Y159" s="72">
        <v>0.23</v>
      </c>
      <c r="Z159" s="74">
        <v>0.13</v>
      </c>
      <c r="AA159" s="74">
        <v>6.9000000000000006E-2</v>
      </c>
      <c r="AB159" s="74">
        <v>1.9E-2</v>
      </c>
      <c r="AC159" s="74">
        <v>0.12</v>
      </c>
      <c r="AE159" s="59"/>
      <c r="AF159" s="59"/>
      <c r="AG159" s="59"/>
      <c r="AH159" s="59"/>
      <c r="AI159" s="62">
        <v>157</v>
      </c>
      <c r="AJ159" s="63" t="str">
        <f ca="1">IF(design_loads!$E$5="","",IF($AI159&gt;INDEX($AG$3:$AG$16,MATCH(design_loads!$E$5,$AE$3:$AE$16)),"&lt;scroll up&gt;",OFFSET(OFFSET('NBCC_C-2'!$B$1,INDEX($AF$3:$AF$16,MATCH(design_loads!$E$5,$AE$3:$AE$16))-1,0),$AI159-1,0)))</f>
        <v>&lt;scroll up&gt;</v>
      </c>
      <c r="AK159" s="63" t="str">
        <f ca="1">IF(design_loads!$E$6="","",IF($AI159&gt;INDEX($AG$3:$AG$16,MATCH(design_loads!$E$6,$AE$3:$AE$16)),"&lt;scroll up&gt;",OFFSET(OFFSET('NBCC_C-2'!$B$1,INDEX($AF$3:$AF$16,MATCH(design_loads!$E$6,$AE$3:$AE$16))-1,0),$AI159-1,0)))</f>
        <v/>
      </c>
      <c r="AL159" s="63" t="str">
        <f ca="1">IF(design_loads!$E$7="","",IF($AI159&gt;INDEX($AG$3:$AG$16,MATCH(design_loads!$E$7,$AE$3:$AE$16)),"&lt;scroll up&gt;",OFFSET(OFFSET('NBCC_C-2'!$B$1,INDEX($AF$3:$AF$16,MATCH(design_loads!$E$7,$AE$3:$AE$16))-1,0),$AI159-1,0)))</f>
        <v/>
      </c>
      <c r="AM159" s="63" t="str">
        <f ca="1">IF(design_loads!$E$8="","",IF($AI159&gt;INDEX($AG$3:$AG$16,MATCH(design_loads!$E$8,$AE$3:$AE$16)),"&lt;scroll up&gt;",OFFSET(OFFSET('NBCC_C-2'!$B$1,INDEX($AF$3:$AF$16,MATCH(design_loads!$E$8,$AE$3:$AE$16))-1,0),$AI159-1,0)))</f>
        <v/>
      </c>
    </row>
    <row r="160" spans="2:39" x14ac:dyDescent="0.2">
      <c r="B160" s="66" t="s">
        <v>409</v>
      </c>
      <c r="C160" s="67" t="s">
        <v>224</v>
      </c>
      <c r="D160" s="68">
        <v>8</v>
      </c>
      <c r="F160" s="66" t="s">
        <v>525</v>
      </c>
      <c r="G160" s="67" t="s">
        <v>252</v>
      </c>
      <c r="H160" s="68">
        <v>5</v>
      </c>
      <c r="I160" s="70">
        <v>295</v>
      </c>
      <c r="J160" s="70">
        <v>-33</v>
      </c>
      <c r="K160" s="70">
        <v>-35</v>
      </c>
      <c r="L160" s="70">
        <v>30</v>
      </c>
      <c r="M160" s="70">
        <v>22</v>
      </c>
      <c r="N160" s="70">
        <v>6050</v>
      </c>
      <c r="O160" s="70">
        <v>25</v>
      </c>
      <c r="P160" s="71">
        <v>108</v>
      </c>
      <c r="Q160" s="71">
        <v>400</v>
      </c>
      <c r="R160" s="72">
        <v>0.56000000000000005</v>
      </c>
      <c r="S160" s="71">
        <v>490</v>
      </c>
      <c r="T160" s="71">
        <v>160</v>
      </c>
      <c r="U160" s="73">
        <v>1.9</v>
      </c>
      <c r="V160" s="73">
        <v>0.2</v>
      </c>
      <c r="W160" s="72">
        <v>0.31</v>
      </c>
      <c r="X160" s="72">
        <v>0.4</v>
      </c>
      <c r="Y160" s="72">
        <v>0.12</v>
      </c>
      <c r="Z160" s="74">
        <v>5.6000000000000001E-2</v>
      </c>
      <c r="AA160" s="74">
        <v>2.3E-2</v>
      </c>
      <c r="AB160" s="74">
        <v>6.0000000000000001E-3</v>
      </c>
      <c r="AC160" s="74">
        <v>5.8999999999999997E-2</v>
      </c>
      <c r="AE160" s="59"/>
      <c r="AF160" s="59"/>
      <c r="AG160" s="59"/>
      <c r="AH160" s="59"/>
      <c r="AI160" s="62">
        <v>158</v>
      </c>
      <c r="AJ160" s="63" t="str">
        <f ca="1">IF(design_loads!$E$5="","",IF($AI160&gt;INDEX($AG$3:$AG$16,MATCH(design_loads!$E$5,$AE$3:$AE$16)),"&lt;scroll up&gt;",OFFSET(OFFSET('NBCC_C-2'!$B$1,INDEX($AF$3:$AF$16,MATCH(design_loads!$E$5,$AE$3:$AE$16))-1,0),$AI160-1,0)))</f>
        <v>&lt;scroll up&gt;</v>
      </c>
      <c r="AK160" s="63" t="str">
        <f ca="1">IF(design_loads!$E$6="","",IF($AI160&gt;INDEX($AG$3:$AG$16,MATCH(design_loads!$E$6,$AE$3:$AE$16)),"&lt;scroll up&gt;",OFFSET(OFFSET('NBCC_C-2'!$B$1,INDEX($AF$3:$AF$16,MATCH(design_loads!$E$6,$AE$3:$AE$16))-1,0),$AI160-1,0)))</f>
        <v/>
      </c>
      <c r="AL160" s="63" t="str">
        <f ca="1">IF(design_loads!$E$7="","",IF($AI160&gt;INDEX($AG$3:$AG$16,MATCH(design_loads!$E$7,$AE$3:$AE$16)),"&lt;scroll up&gt;",OFFSET(OFFSET('NBCC_C-2'!$B$1,INDEX($AF$3:$AF$16,MATCH(design_loads!$E$7,$AE$3:$AE$16))-1,0),$AI160-1,0)))</f>
        <v/>
      </c>
      <c r="AM160" s="63" t="str">
        <f ca="1">IF(design_loads!$E$8="","",IF($AI160&gt;INDEX($AG$3:$AG$16,MATCH(design_loads!$E$8,$AE$3:$AE$16)),"&lt;scroll up&gt;",OFFSET(OFFSET('NBCC_C-2'!$B$1,INDEX($AF$3:$AF$16,MATCH(design_loads!$E$8,$AE$3:$AE$16))-1,0),$AI160-1,0)))</f>
        <v/>
      </c>
    </row>
    <row r="161" spans="2:39" x14ac:dyDescent="0.2">
      <c r="B161" s="66" t="s">
        <v>411</v>
      </c>
      <c r="C161" s="67" t="s">
        <v>224</v>
      </c>
      <c r="D161" s="68">
        <v>9</v>
      </c>
      <c r="F161" s="66" t="s">
        <v>526</v>
      </c>
      <c r="G161" s="67" t="s">
        <v>270</v>
      </c>
      <c r="H161" s="68">
        <v>2</v>
      </c>
      <c r="I161" s="70">
        <v>330</v>
      </c>
      <c r="J161" s="70">
        <v>-50</v>
      </c>
      <c r="K161" s="70">
        <v>-51</v>
      </c>
      <c r="L161" s="70">
        <v>26</v>
      </c>
      <c r="M161" s="70">
        <v>16</v>
      </c>
      <c r="N161" s="70">
        <v>8400</v>
      </c>
      <c r="O161" s="70">
        <v>8</v>
      </c>
      <c r="P161" s="71">
        <v>49</v>
      </c>
      <c r="Q161" s="71">
        <v>200</v>
      </c>
      <c r="R161" s="72">
        <v>0.56999999999999995</v>
      </c>
      <c r="S161" s="71">
        <v>350</v>
      </c>
      <c r="T161" s="71">
        <v>40</v>
      </c>
      <c r="U161" s="73">
        <v>2.7</v>
      </c>
      <c r="V161" s="73">
        <v>0.1</v>
      </c>
      <c r="W161" s="72">
        <v>0.23</v>
      </c>
      <c r="X161" s="72">
        <v>0.31</v>
      </c>
      <c r="Y161" s="72">
        <v>0.54</v>
      </c>
      <c r="Z161" s="74">
        <v>0.34</v>
      </c>
      <c r="AA161" s="74">
        <v>0.17</v>
      </c>
      <c r="AB161" s="74">
        <v>9.4E-2</v>
      </c>
      <c r="AC161" s="74">
        <v>0.25</v>
      </c>
      <c r="AE161" s="59"/>
      <c r="AF161" s="59"/>
      <c r="AG161" s="59"/>
      <c r="AH161" s="59"/>
      <c r="AI161" s="62">
        <v>159</v>
      </c>
      <c r="AJ161" s="63" t="str">
        <f ca="1">IF(design_loads!$E$5="","",IF($AI161&gt;INDEX($AG$3:$AG$16,MATCH(design_loads!$E$5,$AE$3:$AE$16)),"&lt;scroll up&gt;",OFFSET(OFFSET('NBCC_C-2'!$B$1,INDEX($AF$3:$AF$16,MATCH(design_loads!$E$5,$AE$3:$AE$16))-1,0),$AI161-1,0)))</f>
        <v>&lt;scroll up&gt;</v>
      </c>
      <c r="AK161" s="63" t="str">
        <f ca="1">IF(design_loads!$E$6="","",IF($AI161&gt;INDEX($AG$3:$AG$16,MATCH(design_loads!$E$6,$AE$3:$AE$16)),"&lt;scroll up&gt;",OFFSET(OFFSET('NBCC_C-2'!$B$1,INDEX($AF$3:$AF$16,MATCH(design_loads!$E$6,$AE$3:$AE$16))-1,0),$AI161-1,0)))</f>
        <v/>
      </c>
      <c r="AL161" s="63" t="str">
        <f ca="1">IF(design_loads!$E$7="","",IF($AI161&gt;INDEX($AG$3:$AG$16,MATCH(design_loads!$E$7,$AE$3:$AE$16)),"&lt;scroll up&gt;",OFFSET(OFFSET('NBCC_C-2'!$B$1,INDEX($AF$3:$AF$16,MATCH(design_loads!$E$7,$AE$3:$AE$16))-1,0),$AI161-1,0)))</f>
        <v/>
      </c>
      <c r="AM161" s="63" t="str">
        <f ca="1">IF(design_loads!$E$8="","",IF($AI161&gt;INDEX($AG$3:$AG$16,MATCH(design_loads!$E$8,$AE$3:$AE$16)),"&lt;scroll up&gt;",OFFSET(OFFSET('NBCC_C-2'!$B$1,INDEX($AF$3:$AF$16,MATCH(design_loads!$E$8,$AE$3:$AE$16))-1,0),$AI161-1,0)))</f>
        <v/>
      </c>
    </row>
    <row r="162" spans="2:39" x14ac:dyDescent="0.2">
      <c r="B162" s="66" t="s">
        <v>419</v>
      </c>
      <c r="C162" s="67" t="s">
        <v>224</v>
      </c>
      <c r="D162" s="68">
        <v>10</v>
      </c>
      <c r="F162" s="66" t="s">
        <v>527</v>
      </c>
      <c r="G162" s="67" t="s">
        <v>224</v>
      </c>
      <c r="H162" s="68">
        <v>21</v>
      </c>
      <c r="I162" s="70">
        <v>665</v>
      </c>
      <c r="J162" s="70">
        <v>-36</v>
      </c>
      <c r="K162" s="70">
        <v>-39</v>
      </c>
      <c r="L162" s="70">
        <v>27</v>
      </c>
      <c r="M162" s="70">
        <v>18</v>
      </c>
      <c r="N162" s="70">
        <v>6050</v>
      </c>
      <c r="O162" s="70">
        <v>18</v>
      </c>
      <c r="P162" s="71">
        <v>80</v>
      </c>
      <c r="Q162" s="71">
        <v>325</v>
      </c>
      <c r="R162" s="72">
        <v>0.49</v>
      </c>
      <c r="S162" s="71">
        <v>475</v>
      </c>
      <c r="T162" s="71">
        <v>100</v>
      </c>
      <c r="U162" s="73">
        <v>2.5</v>
      </c>
      <c r="V162" s="73">
        <v>0.2</v>
      </c>
      <c r="W162" s="72">
        <v>0.31</v>
      </c>
      <c r="X162" s="72">
        <v>0.4</v>
      </c>
      <c r="Y162" s="72">
        <v>0.12</v>
      </c>
      <c r="Z162" s="74">
        <v>7.0000000000000007E-2</v>
      </c>
      <c r="AA162" s="74">
        <v>3.5000000000000003E-2</v>
      </c>
      <c r="AB162" s="74">
        <v>2.1000000000000001E-2</v>
      </c>
      <c r="AC162" s="74">
        <v>6.3E-2</v>
      </c>
      <c r="AE162" s="59"/>
      <c r="AF162" s="59"/>
      <c r="AG162" s="59"/>
      <c r="AH162" s="59"/>
      <c r="AI162" s="62">
        <v>160</v>
      </c>
      <c r="AJ162" s="63" t="str">
        <f ca="1">IF(design_loads!$E$5="","",IF($AI162&gt;INDEX($AG$3:$AG$16,MATCH(design_loads!$E$5,$AE$3:$AE$16)),"&lt;scroll up&gt;",OFFSET(OFFSET('NBCC_C-2'!$B$1,INDEX($AF$3:$AF$16,MATCH(design_loads!$E$5,$AE$3:$AE$16))-1,0),$AI162-1,0)))</f>
        <v>&lt;scroll up&gt;</v>
      </c>
      <c r="AK162" s="63" t="str">
        <f ca="1">IF(design_loads!$E$6="","",IF($AI162&gt;INDEX($AG$3:$AG$16,MATCH(design_loads!$E$6,$AE$3:$AE$16)),"&lt;scroll up&gt;",OFFSET(OFFSET('NBCC_C-2'!$B$1,INDEX($AF$3:$AF$16,MATCH(design_loads!$E$6,$AE$3:$AE$16))-1,0),$AI162-1,0)))</f>
        <v/>
      </c>
      <c r="AL162" s="63" t="str">
        <f ca="1">IF(design_loads!$E$7="","",IF($AI162&gt;INDEX($AG$3:$AG$16,MATCH(design_loads!$E$7,$AE$3:$AE$16)),"&lt;scroll up&gt;",OFFSET(OFFSET('NBCC_C-2'!$B$1,INDEX($AF$3:$AF$16,MATCH(design_loads!$E$7,$AE$3:$AE$16))-1,0),$AI162-1,0)))</f>
        <v/>
      </c>
      <c r="AM162" s="63" t="str">
        <f ca="1">IF(design_loads!$E$8="","",IF($AI162&gt;INDEX($AG$3:$AG$16,MATCH(design_loads!$E$8,$AE$3:$AE$16)),"&lt;scroll up&gt;",OFFSET(OFFSET('NBCC_C-2'!$B$1,INDEX($AF$3:$AF$16,MATCH(design_loads!$E$8,$AE$3:$AE$16))-1,0),$AI162-1,0)))</f>
        <v/>
      </c>
    </row>
    <row r="163" spans="2:39" x14ac:dyDescent="0.2">
      <c r="B163" s="66" t="s">
        <v>441</v>
      </c>
      <c r="C163" s="67" t="s">
        <v>224</v>
      </c>
      <c r="D163" s="68">
        <v>11</v>
      </c>
      <c r="F163" s="66" t="s">
        <v>323</v>
      </c>
      <c r="G163" s="67" t="s">
        <v>247</v>
      </c>
      <c r="H163" s="68">
        <v>35</v>
      </c>
      <c r="I163" s="76">
        <v>708</v>
      </c>
      <c r="J163" s="70">
        <v>-36</v>
      </c>
      <c r="K163" s="70">
        <v>-39</v>
      </c>
      <c r="L163" s="70">
        <v>28</v>
      </c>
      <c r="M163" s="70">
        <v>19</v>
      </c>
      <c r="N163" s="76">
        <v>5700</v>
      </c>
      <c r="O163" s="76">
        <v>21</v>
      </c>
      <c r="P163" s="77">
        <v>85</v>
      </c>
      <c r="Q163" s="77">
        <v>340</v>
      </c>
      <c r="R163" s="72">
        <v>0.51</v>
      </c>
      <c r="S163" s="77">
        <v>455</v>
      </c>
      <c r="T163" s="77">
        <v>150</v>
      </c>
      <c r="U163" s="73">
        <v>1.9</v>
      </c>
      <c r="V163" s="73">
        <v>0.1</v>
      </c>
      <c r="W163" s="72">
        <v>0.24</v>
      </c>
      <c r="X163" s="72">
        <v>0.35</v>
      </c>
      <c r="Y163" s="72">
        <v>0.12</v>
      </c>
      <c r="Z163" s="74">
        <v>0.06</v>
      </c>
      <c r="AA163" s="74">
        <v>0.02</v>
      </c>
      <c r="AB163" s="74">
        <v>0.01</v>
      </c>
      <c r="AC163" s="74">
        <v>0.06</v>
      </c>
      <c r="AE163" s="59"/>
      <c r="AF163" s="59"/>
      <c r="AG163" s="59"/>
      <c r="AH163" s="59"/>
      <c r="AI163" s="62">
        <v>161</v>
      </c>
      <c r="AJ163" s="63" t="str">
        <f ca="1">IF(design_loads!$E$5="","",IF($AI163&gt;INDEX($AG$3:$AG$16,MATCH(design_loads!$E$5,$AE$3:$AE$16)),"&lt;scroll up&gt;",OFFSET(OFFSET('NBCC_C-2'!$B$1,INDEX($AF$3:$AF$16,MATCH(design_loads!$E$5,$AE$3:$AE$16))-1,0),$AI163-1,0)))</f>
        <v>&lt;scroll up&gt;</v>
      </c>
      <c r="AK163" s="63" t="str">
        <f ca="1">IF(design_loads!$E$6="","",IF($AI163&gt;INDEX($AG$3:$AG$16,MATCH(design_loads!$E$6,$AE$3:$AE$16)),"&lt;scroll up&gt;",OFFSET(OFFSET('NBCC_C-2'!$B$1,INDEX($AF$3:$AF$16,MATCH(design_loads!$E$6,$AE$3:$AE$16))-1,0),$AI163-1,0)))</f>
        <v/>
      </c>
      <c r="AL163" s="63" t="str">
        <f ca="1">IF(design_loads!$E$7="","",IF($AI163&gt;INDEX($AG$3:$AG$16,MATCH(design_loads!$E$7,$AE$3:$AE$16)),"&lt;scroll up&gt;",OFFSET(OFFSET('NBCC_C-2'!$B$1,INDEX($AF$3:$AF$16,MATCH(design_loads!$E$7,$AE$3:$AE$16))-1,0),$AI163-1,0)))</f>
        <v/>
      </c>
      <c r="AM163" s="63" t="str">
        <f ca="1">IF(design_loads!$E$8="","",IF($AI163&gt;INDEX($AG$3:$AG$16,MATCH(design_loads!$E$8,$AE$3:$AE$16)),"&lt;scroll up&gt;",OFFSET(OFFSET('NBCC_C-2'!$B$1,INDEX($AF$3:$AF$16,MATCH(design_loads!$E$8,$AE$3:$AE$16))-1,0),$AI163-1,0)))</f>
        <v/>
      </c>
    </row>
    <row r="164" spans="2:39" x14ac:dyDescent="0.2">
      <c r="B164" s="66" t="s">
        <v>444</v>
      </c>
      <c r="C164" s="67" t="s">
        <v>224</v>
      </c>
      <c r="D164" s="68">
        <v>12</v>
      </c>
      <c r="F164" s="66" t="s">
        <v>528</v>
      </c>
      <c r="G164" s="67" t="s">
        <v>261</v>
      </c>
      <c r="H164" s="68">
        <v>6</v>
      </c>
      <c r="I164" s="70">
        <v>45</v>
      </c>
      <c r="J164" s="70">
        <v>-22</v>
      </c>
      <c r="K164" s="70">
        <v>-25</v>
      </c>
      <c r="L164" s="70">
        <v>27</v>
      </c>
      <c r="M164" s="70">
        <v>21</v>
      </c>
      <c r="N164" s="70">
        <v>4600</v>
      </c>
      <c r="O164" s="70">
        <v>18</v>
      </c>
      <c r="P164" s="71">
        <v>118</v>
      </c>
      <c r="Q164" s="71">
        <v>1000</v>
      </c>
      <c r="R164" s="72">
        <v>1.1599999999999999</v>
      </c>
      <c r="S164" s="71">
        <v>1200</v>
      </c>
      <c r="T164" s="71">
        <v>240</v>
      </c>
      <c r="U164" s="73">
        <v>2.1</v>
      </c>
      <c r="V164" s="73">
        <v>0.6</v>
      </c>
      <c r="W164" s="72">
        <v>0.39</v>
      </c>
      <c r="X164" s="72">
        <v>0.55000000000000004</v>
      </c>
      <c r="Y164" s="72">
        <v>0.22</v>
      </c>
      <c r="Z164" s="74">
        <v>0.12</v>
      </c>
      <c r="AA164" s="74">
        <v>6.2E-2</v>
      </c>
      <c r="AB164" s="74">
        <v>1.7000000000000001E-2</v>
      </c>
      <c r="AC164" s="74">
        <v>0.12</v>
      </c>
      <c r="AE164" s="59"/>
      <c r="AF164" s="59"/>
      <c r="AG164" s="59"/>
      <c r="AH164" s="59"/>
      <c r="AI164" s="62">
        <v>162</v>
      </c>
      <c r="AJ164" s="63" t="str">
        <f ca="1">IF(design_loads!$E$5="","",IF($AI164&gt;INDEX($AG$3:$AG$16,MATCH(design_loads!$E$5,$AE$3:$AE$16)),"&lt;scroll up&gt;",OFFSET(OFFSET('NBCC_C-2'!$B$1,INDEX($AF$3:$AF$16,MATCH(design_loads!$E$5,$AE$3:$AE$16))-1,0),$AI164-1,0)))</f>
        <v>&lt;scroll up&gt;</v>
      </c>
      <c r="AK164" s="63" t="str">
        <f ca="1">IF(design_loads!$E$6="","",IF($AI164&gt;INDEX($AG$3:$AG$16,MATCH(design_loads!$E$6,$AE$3:$AE$16)),"&lt;scroll up&gt;",OFFSET(OFFSET('NBCC_C-2'!$B$1,INDEX($AF$3:$AF$16,MATCH(design_loads!$E$6,$AE$3:$AE$16))-1,0),$AI164-1,0)))</f>
        <v/>
      </c>
      <c r="AL164" s="63" t="str">
        <f ca="1">IF(design_loads!$E$7="","",IF($AI164&gt;INDEX($AG$3:$AG$16,MATCH(design_loads!$E$7,$AE$3:$AE$16)),"&lt;scroll up&gt;",OFFSET(OFFSET('NBCC_C-2'!$B$1,INDEX($AF$3:$AF$16,MATCH(design_loads!$E$7,$AE$3:$AE$16))-1,0),$AI164-1,0)))</f>
        <v/>
      </c>
      <c r="AM164" s="63" t="str">
        <f ca="1">IF(design_loads!$E$8="","",IF($AI164&gt;INDEX($AG$3:$AG$16,MATCH(design_loads!$E$8,$AE$3:$AE$16)),"&lt;scroll up&gt;",OFFSET(OFFSET('NBCC_C-2'!$B$1,INDEX($AF$3:$AF$16,MATCH(design_loads!$E$8,$AE$3:$AE$16))-1,0),$AI164-1,0)))</f>
        <v/>
      </c>
    </row>
    <row r="165" spans="2:39" x14ac:dyDescent="0.2">
      <c r="B165" s="66" t="s">
        <v>468</v>
      </c>
      <c r="C165" s="67" t="s">
        <v>224</v>
      </c>
      <c r="D165" s="68">
        <v>13</v>
      </c>
      <c r="F165" s="66" t="s">
        <v>529</v>
      </c>
      <c r="G165" s="67" t="s">
        <v>264</v>
      </c>
      <c r="H165" s="68">
        <v>43</v>
      </c>
      <c r="I165" s="70">
        <v>145</v>
      </c>
      <c r="J165" s="70">
        <v>-29</v>
      </c>
      <c r="K165" s="70">
        <v>-32</v>
      </c>
      <c r="L165" s="70">
        <v>30</v>
      </c>
      <c r="M165" s="70">
        <v>22</v>
      </c>
      <c r="N165" s="70">
        <v>5050</v>
      </c>
      <c r="O165" s="70">
        <v>23</v>
      </c>
      <c r="P165" s="71">
        <v>92</v>
      </c>
      <c r="Q165" s="71">
        <v>650</v>
      </c>
      <c r="R165" s="72">
        <v>0.82</v>
      </c>
      <c r="S165" s="71">
        <v>850</v>
      </c>
      <c r="T165" s="71">
        <v>100</v>
      </c>
      <c r="U165" s="73">
        <v>2.5</v>
      </c>
      <c r="V165" s="73">
        <v>0.4</v>
      </c>
      <c r="W165" s="72">
        <v>0.26</v>
      </c>
      <c r="X165" s="72">
        <v>0.35</v>
      </c>
      <c r="Y165" s="72">
        <v>0.66</v>
      </c>
      <c r="Z165" s="74">
        <v>0.32</v>
      </c>
      <c r="AA165" s="74">
        <v>0.13</v>
      </c>
      <c r="AB165" s="74">
        <v>4.2999999999999997E-2</v>
      </c>
      <c r="AC165" s="74">
        <v>0.42</v>
      </c>
      <c r="AE165" s="59"/>
      <c r="AF165" s="59"/>
      <c r="AG165" s="59"/>
      <c r="AH165" s="59"/>
      <c r="AI165" s="62">
        <v>163</v>
      </c>
      <c r="AJ165" s="63" t="str">
        <f ca="1">IF(design_loads!$E$5="","",IF($AI165&gt;INDEX($AG$3:$AG$16,MATCH(design_loads!$E$5,$AE$3:$AE$16)),"&lt;scroll up&gt;",OFFSET(OFFSET('NBCC_C-2'!$B$1,INDEX($AF$3:$AF$16,MATCH(design_loads!$E$5,$AE$3:$AE$16))-1,0),$AI165-1,0)))</f>
        <v>&lt;scroll up&gt;</v>
      </c>
      <c r="AK165" s="63" t="str">
        <f ca="1">IF(design_loads!$E$6="","",IF($AI165&gt;INDEX($AG$3:$AG$16,MATCH(design_loads!$E$6,$AE$3:$AE$16)),"&lt;scroll up&gt;",OFFSET(OFFSET('NBCC_C-2'!$B$1,INDEX($AF$3:$AF$16,MATCH(design_loads!$E$6,$AE$3:$AE$16))-1,0),$AI165-1,0)))</f>
        <v/>
      </c>
      <c r="AL165" s="63" t="str">
        <f ca="1">IF(design_loads!$E$7="","",IF($AI165&gt;INDEX($AG$3:$AG$16,MATCH(design_loads!$E$7,$AE$3:$AE$16)),"&lt;scroll up&gt;",OFFSET(OFFSET('NBCC_C-2'!$B$1,INDEX($AF$3:$AF$16,MATCH(design_loads!$E$7,$AE$3:$AE$16))-1,0),$AI165-1,0)))</f>
        <v/>
      </c>
      <c r="AM165" s="63" t="str">
        <f ca="1">IF(design_loads!$E$8="","",IF($AI165&gt;INDEX($AG$3:$AG$16,MATCH(design_loads!$E$8,$AE$3:$AE$16)),"&lt;scroll up&gt;",OFFSET(OFFSET('NBCC_C-2'!$B$1,INDEX($AF$3:$AF$16,MATCH(design_loads!$E$8,$AE$3:$AE$16))-1,0),$AI165-1,0)))</f>
        <v/>
      </c>
    </row>
    <row r="166" spans="2:39" x14ac:dyDescent="0.2">
      <c r="B166" s="66" t="s">
        <v>476</v>
      </c>
      <c r="C166" s="67" t="s">
        <v>224</v>
      </c>
      <c r="D166" s="68">
        <v>14</v>
      </c>
      <c r="F166" s="66" t="s">
        <v>530</v>
      </c>
      <c r="G166" s="67" t="s">
        <v>264</v>
      </c>
      <c r="H166" s="68">
        <v>44</v>
      </c>
      <c r="I166" s="70">
        <v>85</v>
      </c>
      <c r="J166" s="70">
        <v>-22</v>
      </c>
      <c r="K166" s="70">
        <v>-24</v>
      </c>
      <c r="L166" s="70">
        <v>28</v>
      </c>
      <c r="M166" s="70">
        <v>23</v>
      </c>
      <c r="N166" s="70">
        <v>4200</v>
      </c>
      <c r="O166" s="70">
        <v>23</v>
      </c>
      <c r="P166" s="71">
        <v>97</v>
      </c>
      <c r="Q166" s="71">
        <v>760</v>
      </c>
      <c r="R166" s="72">
        <v>0.89</v>
      </c>
      <c r="S166" s="71">
        <v>900</v>
      </c>
      <c r="T166" s="71">
        <v>160</v>
      </c>
      <c r="U166" s="73">
        <v>1.9</v>
      </c>
      <c r="V166" s="73">
        <v>0.4</v>
      </c>
      <c r="W166" s="72">
        <v>0.32</v>
      </c>
      <c r="X166" s="72">
        <v>0.43</v>
      </c>
      <c r="Y166" s="72">
        <v>0.27</v>
      </c>
      <c r="Z166" s="74">
        <v>0.15</v>
      </c>
      <c r="AA166" s="74">
        <v>7.5999999999999998E-2</v>
      </c>
      <c r="AB166" s="74">
        <v>2.1000000000000001E-2</v>
      </c>
      <c r="AC166" s="74">
        <v>0.14000000000000001</v>
      </c>
      <c r="AE166" s="59"/>
      <c r="AF166" s="59"/>
      <c r="AG166" s="59"/>
      <c r="AH166" s="59"/>
      <c r="AI166" s="62">
        <v>164</v>
      </c>
      <c r="AJ166" s="63" t="str">
        <f ca="1">IF(design_loads!$E$5="","",IF($AI166&gt;INDEX($AG$3:$AG$16,MATCH(design_loads!$E$5,$AE$3:$AE$16)),"&lt;scroll up&gt;",OFFSET(OFFSET('NBCC_C-2'!$B$1,INDEX($AF$3:$AF$16,MATCH(design_loads!$E$5,$AE$3:$AE$16))-1,0),$AI166-1,0)))</f>
        <v>&lt;scroll up&gt;</v>
      </c>
      <c r="AK166" s="63" t="str">
        <f ca="1">IF(design_loads!$E$6="","",IF($AI166&gt;INDEX($AG$3:$AG$16,MATCH(design_loads!$E$6,$AE$3:$AE$16)),"&lt;scroll up&gt;",OFFSET(OFFSET('NBCC_C-2'!$B$1,INDEX($AF$3:$AF$16,MATCH(design_loads!$E$6,$AE$3:$AE$16))-1,0),$AI166-1,0)))</f>
        <v/>
      </c>
      <c r="AL166" s="63" t="str">
        <f ca="1">IF(design_loads!$E$7="","",IF($AI166&gt;INDEX($AG$3:$AG$16,MATCH(design_loads!$E$7,$AE$3:$AE$16)),"&lt;scroll up&gt;",OFFSET(OFFSET('NBCC_C-2'!$B$1,INDEX($AF$3:$AF$16,MATCH(design_loads!$E$7,$AE$3:$AE$16))-1,0),$AI166-1,0)))</f>
        <v/>
      </c>
      <c r="AM166" s="63" t="str">
        <f ca="1">IF(design_loads!$E$8="","",IF($AI166&gt;INDEX($AG$3:$AG$16,MATCH(design_loads!$E$8,$AE$3:$AE$16)),"&lt;scroll up&gt;",OFFSET(OFFSET('NBCC_C-2'!$B$1,INDEX($AF$3:$AF$16,MATCH(design_loads!$E$8,$AE$3:$AE$16))-1,0),$AI166-1,0)))</f>
        <v/>
      </c>
    </row>
    <row r="167" spans="2:39" x14ac:dyDescent="0.2">
      <c r="B167" s="66" t="s">
        <v>483</v>
      </c>
      <c r="C167" s="67" t="s">
        <v>224</v>
      </c>
      <c r="D167" s="68">
        <v>15</v>
      </c>
      <c r="F167" s="66" t="s">
        <v>531</v>
      </c>
      <c r="G167" s="67" t="s">
        <v>270</v>
      </c>
      <c r="H167" s="68">
        <v>3</v>
      </c>
      <c r="I167" s="70">
        <v>815</v>
      </c>
      <c r="J167" s="70">
        <v>-43</v>
      </c>
      <c r="K167" s="70">
        <v>-45</v>
      </c>
      <c r="L167" s="70">
        <v>24</v>
      </c>
      <c r="M167" s="70">
        <v>15</v>
      </c>
      <c r="N167" s="70">
        <v>8100</v>
      </c>
      <c r="O167" s="70">
        <v>8</v>
      </c>
      <c r="P167" s="71">
        <v>49</v>
      </c>
      <c r="Q167" s="71">
        <v>190</v>
      </c>
      <c r="R167" s="72">
        <v>0.62</v>
      </c>
      <c r="S167" s="71">
        <v>300</v>
      </c>
      <c r="T167" s="71">
        <v>80</v>
      </c>
      <c r="U167" s="73">
        <v>1.6</v>
      </c>
      <c r="V167" s="73">
        <v>0.1</v>
      </c>
      <c r="W167" s="72">
        <v>0.45</v>
      </c>
      <c r="X167" s="72">
        <v>0.6</v>
      </c>
      <c r="Y167" s="72">
        <v>0.73</v>
      </c>
      <c r="Z167" s="74">
        <v>0.49</v>
      </c>
      <c r="AA167" s="74">
        <v>0.27</v>
      </c>
      <c r="AB167" s="74">
        <v>0.15</v>
      </c>
      <c r="AC167" s="74">
        <v>0.33</v>
      </c>
      <c r="AE167" s="59"/>
      <c r="AF167" s="59"/>
      <c r="AG167" s="59"/>
      <c r="AH167" s="59"/>
      <c r="AI167" s="62">
        <v>165</v>
      </c>
      <c r="AJ167" s="63" t="str">
        <f ca="1">IF(design_loads!$E$5="","",IF($AI167&gt;INDEX($AG$3:$AG$16,MATCH(design_loads!$E$5,$AE$3:$AE$16)),"&lt;scroll up&gt;",OFFSET(OFFSET('NBCC_C-2'!$B$1,INDEX($AF$3:$AF$16,MATCH(design_loads!$E$5,$AE$3:$AE$16))-1,0),$AI167-1,0)))</f>
        <v>&lt;scroll up&gt;</v>
      </c>
      <c r="AK167" s="63" t="str">
        <f ca="1">IF(design_loads!$E$6="","",IF($AI167&gt;INDEX($AG$3:$AG$16,MATCH(design_loads!$E$6,$AE$3:$AE$16)),"&lt;scroll up&gt;",OFFSET(OFFSET('NBCC_C-2'!$B$1,INDEX($AF$3:$AF$16,MATCH(design_loads!$E$6,$AE$3:$AE$16))-1,0),$AI167-1,0)))</f>
        <v/>
      </c>
      <c r="AL167" s="63" t="str">
        <f ca="1">IF(design_loads!$E$7="","",IF($AI167&gt;INDEX($AG$3:$AG$16,MATCH(design_loads!$E$7,$AE$3:$AE$16)),"&lt;scroll up&gt;",OFFSET(OFFSET('NBCC_C-2'!$B$1,INDEX($AF$3:$AF$16,MATCH(design_loads!$E$7,$AE$3:$AE$16))-1,0),$AI167-1,0)))</f>
        <v/>
      </c>
      <c r="AM167" s="63" t="str">
        <f ca="1">IF(design_loads!$E$8="","",IF($AI167&gt;INDEX($AG$3:$AG$16,MATCH(design_loads!$E$8,$AE$3:$AE$16)),"&lt;scroll up&gt;",OFFSET(OFFSET('NBCC_C-2'!$B$1,INDEX($AF$3:$AF$16,MATCH(design_loads!$E$8,$AE$3:$AE$16))-1,0),$AI167-1,0)))</f>
        <v/>
      </c>
    </row>
    <row r="168" spans="2:39" x14ac:dyDescent="0.2">
      <c r="B168" s="66" t="s">
        <v>502</v>
      </c>
      <c r="C168" s="67" t="s">
        <v>224</v>
      </c>
      <c r="D168" s="68">
        <v>16</v>
      </c>
      <c r="F168" s="66" t="s">
        <v>532</v>
      </c>
      <c r="G168" s="67" t="s">
        <v>257</v>
      </c>
      <c r="H168" s="68">
        <v>23</v>
      </c>
      <c r="I168" s="70">
        <v>25</v>
      </c>
      <c r="J168" s="70">
        <v>-25</v>
      </c>
      <c r="K168" s="70">
        <v>-27</v>
      </c>
      <c r="L168" s="70">
        <v>29</v>
      </c>
      <c r="M168" s="70">
        <v>23</v>
      </c>
      <c r="N168" s="70">
        <v>4600</v>
      </c>
      <c r="O168" s="70">
        <v>23</v>
      </c>
      <c r="P168" s="71">
        <v>96</v>
      </c>
      <c r="Q168" s="71">
        <v>820</v>
      </c>
      <c r="R168" s="72">
        <v>0.92</v>
      </c>
      <c r="S168" s="71">
        <v>1025</v>
      </c>
      <c r="T168" s="71">
        <v>160</v>
      </c>
      <c r="U168" s="73">
        <v>2.4</v>
      </c>
      <c r="V168" s="73">
        <v>0.4</v>
      </c>
      <c r="W168" s="72">
        <v>0.28000000000000003</v>
      </c>
      <c r="X168" s="72">
        <v>0.37</v>
      </c>
      <c r="Y168" s="72">
        <v>0.68</v>
      </c>
      <c r="Z168" s="74">
        <v>0.34</v>
      </c>
      <c r="AA168" s="74">
        <v>0.14000000000000001</v>
      </c>
      <c r="AB168" s="74">
        <v>4.8000000000000001E-2</v>
      </c>
      <c r="AC168" s="74">
        <v>0.43</v>
      </c>
      <c r="AE168" s="59"/>
      <c r="AF168" s="59"/>
      <c r="AG168" s="59"/>
      <c r="AH168" s="59"/>
      <c r="AI168" s="62">
        <v>166</v>
      </c>
      <c r="AJ168" s="63" t="str">
        <f ca="1">IF(design_loads!$E$5="","",IF($AI168&gt;INDEX($AG$3:$AG$16,MATCH(design_loads!$E$5,$AE$3:$AE$16)),"&lt;scroll up&gt;",OFFSET(OFFSET('NBCC_C-2'!$B$1,INDEX($AF$3:$AF$16,MATCH(design_loads!$E$5,$AE$3:$AE$16))-1,0),$AI168-1,0)))</f>
        <v>&lt;scroll up&gt;</v>
      </c>
      <c r="AK168" s="63" t="str">
        <f ca="1">IF(design_loads!$E$6="","",IF($AI168&gt;INDEX($AG$3:$AG$16,MATCH(design_loads!$E$6,$AE$3:$AE$16)),"&lt;scroll up&gt;",OFFSET(OFFSET('NBCC_C-2'!$B$1,INDEX($AF$3:$AF$16,MATCH(design_loads!$E$6,$AE$3:$AE$16))-1,0),$AI168-1,0)))</f>
        <v/>
      </c>
      <c r="AL168" s="63" t="str">
        <f ca="1">IF(design_loads!$E$7="","",IF($AI168&gt;INDEX($AG$3:$AG$16,MATCH(design_loads!$E$7,$AE$3:$AE$16)),"&lt;scroll up&gt;",OFFSET(OFFSET('NBCC_C-2'!$B$1,INDEX($AF$3:$AF$16,MATCH(design_loads!$E$7,$AE$3:$AE$16))-1,0),$AI168-1,0)))</f>
        <v/>
      </c>
      <c r="AM168" s="63" t="str">
        <f ca="1">IF(design_loads!$E$8="","",IF($AI168&gt;INDEX($AG$3:$AG$16,MATCH(design_loads!$E$8,$AE$3:$AE$16)),"&lt;scroll up&gt;",OFFSET(OFFSET('NBCC_C-2'!$B$1,INDEX($AF$3:$AF$16,MATCH(design_loads!$E$8,$AE$3:$AE$16))-1,0),$AI168-1,0)))</f>
        <v/>
      </c>
    </row>
    <row r="169" spans="2:39" x14ac:dyDescent="0.2">
      <c r="B169" s="66" t="s">
        <v>517</v>
      </c>
      <c r="C169" s="67" t="s">
        <v>224</v>
      </c>
      <c r="D169" s="68">
        <v>17</v>
      </c>
      <c r="F169" s="66" t="s">
        <v>325</v>
      </c>
      <c r="G169" s="67" t="s">
        <v>247</v>
      </c>
      <c r="H169" s="68">
        <v>36</v>
      </c>
      <c r="I169" s="76">
        <v>709</v>
      </c>
      <c r="J169" s="70">
        <v>-37</v>
      </c>
      <c r="K169" s="70">
        <v>-40</v>
      </c>
      <c r="L169" s="70">
        <v>27</v>
      </c>
      <c r="M169" s="70">
        <v>19</v>
      </c>
      <c r="N169" s="76">
        <v>5600</v>
      </c>
      <c r="O169" s="76">
        <v>20</v>
      </c>
      <c r="P169" s="77">
        <v>90</v>
      </c>
      <c r="Q169" s="77">
        <v>390</v>
      </c>
      <c r="R169" s="72">
        <v>0.51</v>
      </c>
      <c r="S169" s="77">
        <v>490</v>
      </c>
      <c r="T169" s="77">
        <v>150</v>
      </c>
      <c r="U169" s="73">
        <v>1.9</v>
      </c>
      <c r="V169" s="73">
        <v>0.1</v>
      </c>
      <c r="W169" s="72">
        <v>0.32</v>
      </c>
      <c r="X169" s="72">
        <v>0.45</v>
      </c>
      <c r="Y169" s="72">
        <v>0.12</v>
      </c>
      <c r="Z169" s="74">
        <v>0.06</v>
      </c>
      <c r="AA169" s="74">
        <v>0.02</v>
      </c>
      <c r="AB169" s="74">
        <v>0.01</v>
      </c>
      <c r="AC169" s="74">
        <v>0.06</v>
      </c>
      <c r="AE169" s="59"/>
      <c r="AF169" s="59"/>
      <c r="AG169" s="59"/>
      <c r="AH169" s="59"/>
      <c r="AI169" s="62">
        <v>167</v>
      </c>
      <c r="AJ169" s="63" t="str">
        <f ca="1">IF(design_loads!$E$5="","",IF($AI169&gt;INDEX($AG$3:$AG$16,MATCH(design_loads!$E$5,$AE$3:$AE$16)),"&lt;scroll up&gt;",OFFSET(OFFSET('NBCC_C-2'!$B$1,INDEX($AF$3:$AF$16,MATCH(design_loads!$E$5,$AE$3:$AE$16))-1,0),$AI169-1,0)))</f>
        <v>&lt;scroll up&gt;</v>
      </c>
      <c r="AK169" s="63" t="str">
        <f ca="1">IF(design_loads!$E$6="","",IF($AI169&gt;INDEX($AG$3:$AG$16,MATCH(design_loads!$E$6,$AE$3:$AE$16)),"&lt;scroll up&gt;",OFFSET(OFFSET('NBCC_C-2'!$B$1,INDEX($AF$3:$AF$16,MATCH(design_loads!$E$6,$AE$3:$AE$16))-1,0),$AI169-1,0)))</f>
        <v/>
      </c>
      <c r="AL169" s="63" t="str">
        <f ca="1">IF(design_loads!$E$7="","",IF($AI169&gt;INDEX($AG$3:$AG$16,MATCH(design_loads!$E$7,$AE$3:$AE$16)),"&lt;scroll up&gt;",OFFSET(OFFSET('NBCC_C-2'!$B$1,INDEX($AF$3:$AF$16,MATCH(design_loads!$E$7,$AE$3:$AE$16))-1,0),$AI169-1,0)))</f>
        <v/>
      </c>
      <c r="AM169" s="63" t="str">
        <f ca="1">IF(design_loads!$E$8="","",IF($AI169&gt;INDEX($AG$3:$AG$16,MATCH(design_loads!$E$8,$AE$3:$AE$16)),"&lt;scroll up&gt;",OFFSET(OFFSET('NBCC_C-2'!$B$1,INDEX($AF$3:$AF$16,MATCH(design_loads!$E$8,$AE$3:$AE$16))-1,0),$AI169-1,0)))</f>
        <v/>
      </c>
    </row>
    <row r="170" spans="2:39" x14ac:dyDescent="0.2">
      <c r="B170" s="66" t="s">
        <v>520</v>
      </c>
      <c r="C170" s="67" t="s">
        <v>224</v>
      </c>
      <c r="D170" s="68">
        <v>18</v>
      </c>
      <c r="F170" s="66" t="s">
        <v>327</v>
      </c>
      <c r="G170" s="67" t="s">
        <v>247</v>
      </c>
      <c r="H170" s="68">
        <v>37</v>
      </c>
      <c r="I170" s="76">
        <v>1037</v>
      </c>
      <c r="J170" s="70">
        <v>-33</v>
      </c>
      <c r="K170" s="70">
        <v>-36</v>
      </c>
      <c r="L170" s="70">
        <v>28</v>
      </c>
      <c r="M170" s="70">
        <v>18</v>
      </c>
      <c r="N170" s="76">
        <v>5600</v>
      </c>
      <c r="O170" s="76">
        <v>17</v>
      </c>
      <c r="P170" s="77">
        <v>100</v>
      </c>
      <c r="Q170" s="77">
        <v>370</v>
      </c>
      <c r="R170" s="72">
        <v>0.5</v>
      </c>
      <c r="S170" s="77">
        <v>480</v>
      </c>
      <c r="T170" s="77">
        <v>190</v>
      </c>
      <c r="U170" s="73">
        <v>1.5</v>
      </c>
      <c r="V170" s="73">
        <v>0.1</v>
      </c>
      <c r="W170" s="72">
        <v>0.28999999999999998</v>
      </c>
      <c r="X170" s="72">
        <v>0.42</v>
      </c>
      <c r="Y170" s="72">
        <v>0.15</v>
      </c>
      <c r="Z170" s="74">
        <v>0.08</v>
      </c>
      <c r="AA170" s="74">
        <v>0.04</v>
      </c>
      <c r="AB170" s="74">
        <v>0.02</v>
      </c>
      <c r="AC170" s="74">
        <v>0.08</v>
      </c>
      <c r="AE170" s="59"/>
      <c r="AF170" s="59"/>
      <c r="AG170" s="59"/>
      <c r="AH170" s="59"/>
      <c r="AI170" s="62">
        <v>168</v>
      </c>
      <c r="AJ170" s="63" t="str">
        <f ca="1">IF(design_loads!$E$5="","",IF($AI170&gt;INDEX($AG$3:$AG$16,MATCH(design_loads!$E$5,$AE$3:$AE$16)),"&lt;scroll up&gt;",OFFSET(OFFSET('NBCC_C-2'!$B$1,INDEX($AF$3:$AF$16,MATCH(design_loads!$E$5,$AE$3:$AE$16))-1,0),$AI170-1,0)))</f>
        <v>&lt;scroll up&gt;</v>
      </c>
      <c r="AK170" s="63" t="str">
        <f ca="1">IF(design_loads!$E$6="","",IF($AI170&gt;INDEX($AG$3:$AG$16,MATCH(design_loads!$E$6,$AE$3:$AE$16)),"&lt;scroll up&gt;",OFFSET(OFFSET('NBCC_C-2'!$B$1,INDEX($AF$3:$AF$16,MATCH(design_loads!$E$6,$AE$3:$AE$16))-1,0),$AI170-1,0)))</f>
        <v/>
      </c>
      <c r="AL170" s="63" t="str">
        <f ca="1">IF(design_loads!$E$7="","",IF($AI170&gt;INDEX($AG$3:$AG$16,MATCH(design_loads!$E$7,$AE$3:$AE$16)),"&lt;scroll up&gt;",OFFSET(OFFSET('NBCC_C-2'!$B$1,INDEX($AF$3:$AF$16,MATCH(design_loads!$E$7,$AE$3:$AE$16))-1,0),$AI170-1,0)))</f>
        <v/>
      </c>
      <c r="AM170" s="63" t="str">
        <f ca="1">IF(design_loads!$E$8="","",IF($AI170&gt;INDEX($AG$3:$AG$16,MATCH(design_loads!$E$8,$AE$3:$AE$16)),"&lt;scroll up&gt;",OFFSET(OFFSET('NBCC_C-2'!$B$1,INDEX($AF$3:$AF$16,MATCH(design_loads!$E$8,$AE$3:$AE$16))-1,0),$AI170-1,0)))</f>
        <v/>
      </c>
    </row>
    <row r="171" spans="2:39" x14ac:dyDescent="0.2">
      <c r="B171" s="66" t="s">
        <v>521</v>
      </c>
      <c r="C171" s="67" t="s">
        <v>224</v>
      </c>
      <c r="D171" s="68">
        <v>19</v>
      </c>
      <c r="F171" s="66" t="s">
        <v>533</v>
      </c>
      <c r="G171" s="67" t="s">
        <v>261</v>
      </c>
      <c r="H171" s="68">
        <v>7</v>
      </c>
      <c r="I171" s="70">
        <v>35</v>
      </c>
      <c r="J171" s="70">
        <v>-15</v>
      </c>
      <c r="K171" s="70">
        <v>-17</v>
      </c>
      <c r="L171" s="70">
        <v>25</v>
      </c>
      <c r="M171" s="70">
        <v>20</v>
      </c>
      <c r="N171" s="70">
        <v>4050</v>
      </c>
      <c r="O171" s="70">
        <v>15</v>
      </c>
      <c r="P171" s="71">
        <v>139</v>
      </c>
      <c r="Q171" s="71">
        <v>1100</v>
      </c>
      <c r="R171" s="72">
        <v>1.27</v>
      </c>
      <c r="S171" s="71">
        <v>1275</v>
      </c>
      <c r="T171" s="71">
        <v>260</v>
      </c>
      <c r="U171" s="73">
        <v>2.2000000000000002</v>
      </c>
      <c r="V171" s="73">
        <v>0.6</v>
      </c>
      <c r="W171" s="72">
        <v>0.4</v>
      </c>
      <c r="X171" s="72">
        <v>0.55000000000000004</v>
      </c>
      <c r="Y171" s="72">
        <v>0.26</v>
      </c>
      <c r="Z171" s="74">
        <v>0.14000000000000001</v>
      </c>
      <c r="AA171" s="74">
        <v>6.8000000000000005E-2</v>
      </c>
      <c r="AB171" s="74">
        <v>0.02</v>
      </c>
      <c r="AC171" s="74">
        <v>0.14000000000000001</v>
      </c>
      <c r="AE171" s="59"/>
      <c r="AF171" s="59"/>
      <c r="AG171" s="59"/>
      <c r="AH171" s="59"/>
      <c r="AI171" s="62">
        <v>169</v>
      </c>
      <c r="AJ171" s="63" t="str">
        <f ca="1">IF(design_loads!$E$5="","",IF($AI171&gt;INDEX($AG$3:$AG$16,MATCH(design_loads!$E$5,$AE$3:$AE$16)),"&lt;scroll up&gt;",OFFSET(OFFSET('NBCC_C-2'!$B$1,INDEX($AF$3:$AF$16,MATCH(design_loads!$E$5,$AE$3:$AE$16))-1,0),$AI171-1,0)))</f>
        <v>&lt;scroll up&gt;</v>
      </c>
      <c r="AK171" s="63" t="str">
        <f ca="1">IF(design_loads!$E$6="","",IF($AI171&gt;INDEX($AG$3:$AG$16,MATCH(design_loads!$E$6,$AE$3:$AE$16)),"&lt;scroll up&gt;",OFFSET(OFFSET('NBCC_C-2'!$B$1,INDEX($AF$3:$AF$16,MATCH(design_loads!$E$6,$AE$3:$AE$16))-1,0),$AI171-1,0)))</f>
        <v/>
      </c>
      <c r="AL171" s="63" t="str">
        <f ca="1">IF(design_loads!$E$7="","",IF($AI171&gt;INDEX($AG$3:$AG$16,MATCH(design_loads!$E$7,$AE$3:$AE$16)),"&lt;scroll up&gt;",OFFSET(OFFSET('NBCC_C-2'!$B$1,INDEX($AF$3:$AF$16,MATCH(design_loads!$E$7,$AE$3:$AE$16))-1,0),$AI171-1,0)))</f>
        <v/>
      </c>
      <c r="AM171" s="63" t="str">
        <f ca="1">IF(design_loads!$E$8="","",IF($AI171&gt;INDEX($AG$3:$AG$16,MATCH(design_loads!$E$8,$AE$3:$AE$16)),"&lt;scroll up&gt;",OFFSET(OFFSET('NBCC_C-2'!$B$1,INDEX($AF$3:$AF$16,MATCH(design_loads!$E$8,$AE$3:$AE$16))-1,0),$AI171-1,0)))</f>
        <v/>
      </c>
    </row>
    <row r="172" spans="2:39" x14ac:dyDescent="0.2">
      <c r="B172" s="66" t="s">
        <v>522</v>
      </c>
      <c r="C172" s="67" t="s">
        <v>224</v>
      </c>
      <c r="D172" s="68">
        <v>20</v>
      </c>
      <c r="F172" s="66" t="s">
        <v>534</v>
      </c>
      <c r="G172" s="67" t="s">
        <v>224</v>
      </c>
      <c r="H172" s="68">
        <v>22</v>
      </c>
      <c r="I172" s="70">
        <v>450</v>
      </c>
      <c r="J172" s="70">
        <v>-28</v>
      </c>
      <c r="K172" s="70">
        <v>-30</v>
      </c>
      <c r="L172" s="70">
        <v>29</v>
      </c>
      <c r="M172" s="70">
        <v>18</v>
      </c>
      <c r="N172" s="70">
        <v>5200</v>
      </c>
      <c r="O172" s="70">
        <v>10</v>
      </c>
      <c r="P172" s="71">
        <v>48</v>
      </c>
      <c r="Q172" s="71">
        <v>275</v>
      </c>
      <c r="R172" s="72">
        <v>0.41</v>
      </c>
      <c r="S172" s="71">
        <v>375</v>
      </c>
      <c r="T172" s="71">
        <v>100</v>
      </c>
      <c r="U172" s="73">
        <v>1.8</v>
      </c>
      <c r="V172" s="73">
        <v>0.2</v>
      </c>
      <c r="W172" s="72">
        <v>0.31</v>
      </c>
      <c r="X172" s="72">
        <v>0.4</v>
      </c>
      <c r="Y172" s="72">
        <v>0.32</v>
      </c>
      <c r="Z172" s="74">
        <v>0.25</v>
      </c>
      <c r="AA172" s="74">
        <v>0.15</v>
      </c>
      <c r="AB172" s="74">
        <v>8.7999999999999995E-2</v>
      </c>
      <c r="AC172" s="74">
        <v>0.16</v>
      </c>
      <c r="AE172" s="59"/>
      <c r="AF172" s="59"/>
      <c r="AG172" s="59"/>
      <c r="AH172" s="59"/>
      <c r="AI172" s="62">
        <v>170</v>
      </c>
      <c r="AJ172" s="63" t="str">
        <f ca="1">IF(design_loads!$E$5="","",IF($AI172&gt;INDEX($AG$3:$AG$16,MATCH(design_loads!$E$5,$AE$3:$AE$16)),"&lt;scroll up&gt;",OFFSET(OFFSET('NBCC_C-2'!$B$1,INDEX($AF$3:$AF$16,MATCH(design_loads!$E$5,$AE$3:$AE$16))-1,0),$AI172-1,0)))</f>
        <v>&lt;scroll up&gt;</v>
      </c>
      <c r="AK172" s="63" t="str">
        <f ca="1">IF(design_loads!$E$6="","",IF($AI172&gt;INDEX($AG$3:$AG$16,MATCH(design_loads!$E$6,$AE$3:$AE$16)),"&lt;scroll up&gt;",OFFSET(OFFSET('NBCC_C-2'!$B$1,INDEX($AF$3:$AF$16,MATCH(design_loads!$E$6,$AE$3:$AE$16))-1,0),$AI172-1,0)))</f>
        <v/>
      </c>
      <c r="AL172" s="63" t="str">
        <f ca="1">IF(design_loads!$E$7="","",IF($AI172&gt;INDEX($AG$3:$AG$16,MATCH(design_loads!$E$7,$AE$3:$AE$16)),"&lt;scroll up&gt;",OFFSET(OFFSET('NBCC_C-2'!$B$1,INDEX($AF$3:$AF$16,MATCH(design_loads!$E$7,$AE$3:$AE$16))-1,0),$AI172-1,0)))</f>
        <v/>
      </c>
      <c r="AM172" s="63" t="str">
        <f ca="1">IF(design_loads!$E$8="","",IF($AI172&gt;INDEX($AG$3:$AG$16,MATCH(design_loads!$E$8,$AE$3:$AE$16)),"&lt;scroll up&gt;",OFFSET(OFFSET('NBCC_C-2'!$B$1,INDEX($AF$3:$AF$16,MATCH(design_loads!$E$8,$AE$3:$AE$16))-1,0),$AI172-1,0)))</f>
        <v/>
      </c>
    </row>
    <row r="173" spans="2:39" x14ac:dyDescent="0.2">
      <c r="B173" s="66" t="s">
        <v>527</v>
      </c>
      <c r="C173" s="67" t="s">
        <v>224</v>
      </c>
      <c r="D173" s="68">
        <v>21</v>
      </c>
      <c r="F173" s="66" t="s">
        <v>535</v>
      </c>
      <c r="G173" s="67" t="s">
        <v>257</v>
      </c>
      <c r="H173" s="68">
        <v>24</v>
      </c>
      <c r="I173" s="70">
        <v>120</v>
      </c>
      <c r="J173" s="70">
        <v>-31</v>
      </c>
      <c r="K173" s="70">
        <v>-33</v>
      </c>
      <c r="L173" s="70">
        <v>28</v>
      </c>
      <c r="M173" s="70">
        <v>21</v>
      </c>
      <c r="N173" s="70">
        <v>6050</v>
      </c>
      <c r="O173" s="70">
        <v>28</v>
      </c>
      <c r="P173" s="71">
        <v>91</v>
      </c>
      <c r="Q173" s="71">
        <v>670</v>
      </c>
      <c r="R173" s="72">
        <v>0.85</v>
      </c>
      <c r="S173" s="71">
        <v>900</v>
      </c>
      <c r="T173" s="71">
        <v>140</v>
      </c>
      <c r="U173" s="73">
        <v>3.5</v>
      </c>
      <c r="V173" s="73">
        <v>0.3</v>
      </c>
      <c r="W173" s="72">
        <v>0.26</v>
      </c>
      <c r="X173" s="72">
        <v>0.35</v>
      </c>
      <c r="Y173" s="72">
        <v>0.31</v>
      </c>
      <c r="Z173" s="74">
        <v>0.17</v>
      </c>
      <c r="AA173" s="74">
        <v>8.4000000000000005E-2</v>
      </c>
      <c r="AB173" s="74">
        <v>2.8000000000000001E-2</v>
      </c>
      <c r="AC173" s="74">
        <v>0.2</v>
      </c>
      <c r="AE173" s="59"/>
      <c r="AF173" s="59"/>
      <c r="AG173" s="59"/>
      <c r="AH173" s="59"/>
      <c r="AI173" s="62">
        <v>171</v>
      </c>
      <c r="AJ173" s="63" t="str">
        <f ca="1">IF(design_loads!$E$5="","",IF($AI173&gt;INDEX($AG$3:$AG$16,MATCH(design_loads!$E$5,$AE$3:$AE$16)),"&lt;scroll up&gt;",OFFSET(OFFSET('NBCC_C-2'!$B$1,INDEX($AF$3:$AF$16,MATCH(design_loads!$E$5,$AE$3:$AE$16))-1,0),$AI173-1,0)))</f>
        <v>&lt;scroll up&gt;</v>
      </c>
      <c r="AK173" s="63" t="str">
        <f ca="1">IF(design_loads!$E$6="","",IF($AI173&gt;INDEX($AG$3:$AG$16,MATCH(design_loads!$E$6,$AE$3:$AE$16)),"&lt;scroll up&gt;",OFFSET(OFFSET('NBCC_C-2'!$B$1,INDEX($AF$3:$AF$16,MATCH(design_loads!$E$6,$AE$3:$AE$16))-1,0),$AI173-1,0)))</f>
        <v/>
      </c>
      <c r="AL173" s="63" t="str">
        <f ca="1">IF(design_loads!$E$7="","",IF($AI173&gt;INDEX($AG$3:$AG$16,MATCH(design_loads!$E$7,$AE$3:$AE$16)),"&lt;scroll up&gt;",OFFSET(OFFSET('NBCC_C-2'!$B$1,INDEX($AF$3:$AF$16,MATCH(design_loads!$E$7,$AE$3:$AE$16))-1,0),$AI173-1,0)))</f>
        <v/>
      </c>
      <c r="AM173" s="63" t="str">
        <f ca="1">IF(design_loads!$E$8="","",IF($AI173&gt;INDEX($AG$3:$AG$16,MATCH(design_loads!$E$8,$AE$3:$AE$16)),"&lt;scroll up&gt;",OFFSET(OFFSET('NBCC_C-2'!$B$1,INDEX($AF$3:$AF$16,MATCH(design_loads!$E$8,$AE$3:$AE$16))-1,0),$AI173-1,0)))</f>
        <v/>
      </c>
    </row>
    <row r="174" spans="2:39" x14ac:dyDescent="0.2">
      <c r="B174" s="66" t="s">
        <v>534</v>
      </c>
      <c r="C174" s="67" t="s">
        <v>224</v>
      </c>
      <c r="D174" s="68">
        <v>22</v>
      </c>
      <c r="F174" s="66" t="s">
        <v>536</v>
      </c>
      <c r="G174" s="67" t="s">
        <v>264</v>
      </c>
      <c r="H174" s="68">
        <v>45</v>
      </c>
      <c r="I174" s="70">
        <v>260</v>
      </c>
      <c r="J174" s="70">
        <v>-18</v>
      </c>
      <c r="K174" s="70">
        <v>-20</v>
      </c>
      <c r="L174" s="70">
        <v>30</v>
      </c>
      <c r="M174" s="70">
        <v>23</v>
      </c>
      <c r="N174" s="70">
        <v>4100</v>
      </c>
      <c r="O174" s="70">
        <v>28</v>
      </c>
      <c r="P174" s="71">
        <v>103</v>
      </c>
      <c r="Q174" s="71">
        <v>850</v>
      </c>
      <c r="R174" s="72">
        <v>0.96</v>
      </c>
      <c r="S174" s="71">
        <v>950</v>
      </c>
      <c r="T174" s="71">
        <v>180</v>
      </c>
      <c r="U174" s="73">
        <v>1.9</v>
      </c>
      <c r="V174" s="73">
        <v>0.4</v>
      </c>
      <c r="W174" s="72">
        <v>0.33</v>
      </c>
      <c r="X174" s="72">
        <v>0.48</v>
      </c>
      <c r="Y174" s="72">
        <v>0.19</v>
      </c>
      <c r="Z174" s="74">
        <v>9.6000000000000002E-2</v>
      </c>
      <c r="AA174" s="74">
        <v>4.8000000000000001E-2</v>
      </c>
      <c r="AB174" s="74">
        <v>1.2999999999999999E-2</v>
      </c>
      <c r="AC174" s="74">
        <v>0.12</v>
      </c>
      <c r="AE174" s="59"/>
      <c r="AF174" s="59"/>
      <c r="AG174" s="59"/>
      <c r="AH174" s="59"/>
      <c r="AI174" s="62">
        <v>172</v>
      </c>
      <c r="AJ174" s="63" t="str">
        <f ca="1">IF(design_loads!$E$5="","",IF($AI174&gt;INDEX($AG$3:$AG$16,MATCH(design_loads!$E$5,$AE$3:$AE$16)),"&lt;scroll up&gt;",OFFSET(OFFSET('NBCC_C-2'!$B$1,INDEX($AF$3:$AF$16,MATCH(design_loads!$E$5,$AE$3:$AE$16))-1,0),$AI174-1,0)))</f>
        <v>&lt;scroll up&gt;</v>
      </c>
      <c r="AK174" s="63" t="str">
        <f ca="1">IF(design_loads!$E$6="","",IF($AI174&gt;INDEX($AG$3:$AG$16,MATCH(design_loads!$E$6,$AE$3:$AE$16)),"&lt;scroll up&gt;",OFFSET(OFFSET('NBCC_C-2'!$B$1,INDEX($AF$3:$AF$16,MATCH(design_loads!$E$6,$AE$3:$AE$16))-1,0),$AI174-1,0)))</f>
        <v/>
      </c>
      <c r="AL174" s="63" t="str">
        <f ca="1">IF(design_loads!$E$7="","",IF($AI174&gt;INDEX($AG$3:$AG$16,MATCH(design_loads!$E$7,$AE$3:$AE$16)),"&lt;scroll up&gt;",OFFSET(OFFSET('NBCC_C-2'!$B$1,INDEX($AF$3:$AF$16,MATCH(design_loads!$E$7,$AE$3:$AE$16))-1,0),$AI174-1,0)))</f>
        <v/>
      </c>
      <c r="AM174" s="63" t="str">
        <f ca="1">IF(design_loads!$E$8="","",IF($AI174&gt;INDEX($AG$3:$AG$16,MATCH(design_loads!$E$8,$AE$3:$AE$16)),"&lt;scroll up&gt;",OFFSET(OFFSET('NBCC_C-2'!$B$1,INDEX($AF$3:$AF$16,MATCH(design_loads!$E$8,$AE$3:$AE$16))-1,0),$AI174-1,0)))</f>
        <v/>
      </c>
    </row>
    <row r="175" spans="2:39" x14ac:dyDescent="0.2">
      <c r="B175" s="66" t="s">
        <v>537</v>
      </c>
      <c r="C175" s="67" t="s">
        <v>224</v>
      </c>
      <c r="D175" s="68">
        <v>23</v>
      </c>
      <c r="F175" s="66" t="s">
        <v>538</v>
      </c>
      <c r="G175" s="67" t="s">
        <v>264</v>
      </c>
      <c r="H175" s="68">
        <v>46</v>
      </c>
      <c r="I175" s="70">
        <v>200</v>
      </c>
      <c r="J175" s="70">
        <v>-33</v>
      </c>
      <c r="K175" s="70">
        <v>-35</v>
      </c>
      <c r="L175" s="70">
        <v>28</v>
      </c>
      <c r="M175" s="70">
        <v>21</v>
      </c>
      <c r="N175" s="70">
        <v>5950</v>
      </c>
      <c r="O175" s="70">
        <v>20</v>
      </c>
      <c r="P175" s="71">
        <v>103</v>
      </c>
      <c r="Q175" s="71">
        <v>550</v>
      </c>
      <c r="R175" s="72">
        <v>0.77</v>
      </c>
      <c r="S175" s="71">
        <v>725</v>
      </c>
      <c r="T175" s="71">
        <v>160</v>
      </c>
      <c r="U175" s="73">
        <v>2.8</v>
      </c>
      <c r="V175" s="73">
        <v>0.4</v>
      </c>
      <c r="W175" s="72">
        <v>0.3</v>
      </c>
      <c r="X175" s="72">
        <v>0.39</v>
      </c>
      <c r="Y175" s="72">
        <v>0.12</v>
      </c>
      <c r="Z175" s="74">
        <v>5.6000000000000001E-2</v>
      </c>
      <c r="AA175" s="74">
        <v>2.3E-2</v>
      </c>
      <c r="AB175" s="74">
        <v>6.0000000000000001E-3</v>
      </c>
      <c r="AC175" s="74">
        <v>5.8999999999999997E-2</v>
      </c>
      <c r="AE175" s="59"/>
      <c r="AF175" s="59"/>
      <c r="AG175" s="59"/>
      <c r="AH175" s="59"/>
      <c r="AI175" s="62">
        <v>173</v>
      </c>
      <c r="AJ175" s="63" t="str">
        <f ca="1">IF(design_loads!$E$5="","",IF($AI175&gt;INDEX($AG$3:$AG$16,MATCH(design_loads!$E$5,$AE$3:$AE$16)),"&lt;scroll up&gt;",OFFSET(OFFSET('NBCC_C-2'!$B$1,INDEX($AF$3:$AF$16,MATCH(design_loads!$E$5,$AE$3:$AE$16))-1,0),$AI175-1,0)))</f>
        <v>&lt;scroll up&gt;</v>
      </c>
      <c r="AK175" s="63" t="str">
        <f ca="1">IF(design_loads!$E$6="","",IF($AI175&gt;INDEX($AG$3:$AG$16,MATCH(design_loads!$E$6,$AE$3:$AE$16)),"&lt;scroll up&gt;",OFFSET(OFFSET('NBCC_C-2'!$B$1,INDEX($AF$3:$AF$16,MATCH(design_loads!$E$6,$AE$3:$AE$16))-1,0),$AI175-1,0)))</f>
        <v/>
      </c>
      <c r="AL175" s="63" t="str">
        <f ca="1">IF(design_loads!$E$7="","",IF($AI175&gt;INDEX($AG$3:$AG$16,MATCH(design_loads!$E$7,$AE$3:$AE$16)),"&lt;scroll up&gt;",OFFSET(OFFSET('NBCC_C-2'!$B$1,INDEX($AF$3:$AF$16,MATCH(design_loads!$E$7,$AE$3:$AE$16))-1,0),$AI175-1,0)))</f>
        <v/>
      </c>
      <c r="AM175" s="63" t="str">
        <f ca="1">IF(design_loads!$E$8="","",IF($AI175&gt;INDEX($AG$3:$AG$16,MATCH(design_loads!$E$8,$AE$3:$AE$16)),"&lt;scroll up&gt;",OFFSET(OFFSET('NBCC_C-2'!$B$1,INDEX($AF$3:$AF$16,MATCH(design_loads!$E$8,$AE$3:$AE$16))-1,0),$AI175-1,0)))</f>
        <v/>
      </c>
    </row>
    <row r="176" spans="2:39" x14ac:dyDescent="0.2">
      <c r="B176" s="66" t="s">
        <v>539</v>
      </c>
      <c r="C176" s="67" t="s">
        <v>224</v>
      </c>
      <c r="D176" s="68">
        <v>24</v>
      </c>
      <c r="F176" s="66" t="s">
        <v>540</v>
      </c>
      <c r="G176" s="67" t="s">
        <v>257</v>
      </c>
      <c r="H176" s="68">
        <v>25</v>
      </c>
      <c r="I176" s="70">
        <v>25</v>
      </c>
      <c r="J176" s="70">
        <v>-23</v>
      </c>
      <c r="K176" s="70">
        <v>-26</v>
      </c>
      <c r="L176" s="70">
        <v>30</v>
      </c>
      <c r="M176" s="70">
        <v>23</v>
      </c>
      <c r="N176" s="70">
        <v>4550</v>
      </c>
      <c r="O176" s="70">
        <v>23</v>
      </c>
      <c r="P176" s="71">
        <v>91</v>
      </c>
      <c r="Q176" s="71">
        <v>760</v>
      </c>
      <c r="R176" s="72">
        <v>0.85</v>
      </c>
      <c r="S176" s="71">
        <v>940</v>
      </c>
      <c r="T176" s="71">
        <v>180</v>
      </c>
      <c r="U176" s="73">
        <v>2.4</v>
      </c>
      <c r="V176" s="73">
        <v>0.4</v>
      </c>
      <c r="W176" s="72">
        <v>0.31</v>
      </c>
      <c r="X176" s="72">
        <v>0.4</v>
      </c>
      <c r="Y176" s="72">
        <v>0.69</v>
      </c>
      <c r="Z176" s="74">
        <v>0.34</v>
      </c>
      <c r="AA176" s="74">
        <v>0.14000000000000001</v>
      </c>
      <c r="AB176" s="74">
        <v>4.8000000000000001E-2</v>
      </c>
      <c r="AC176" s="74">
        <v>0.43</v>
      </c>
      <c r="AE176" s="59"/>
      <c r="AF176" s="59"/>
      <c r="AG176" s="59"/>
      <c r="AH176" s="59"/>
      <c r="AI176" s="62">
        <v>174</v>
      </c>
      <c r="AJ176" s="63" t="str">
        <f ca="1">IF(design_loads!$E$5="","",IF($AI176&gt;INDEX($AG$3:$AG$16,MATCH(design_loads!$E$5,$AE$3:$AE$16)),"&lt;scroll up&gt;",OFFSET(OFFSET('NBCC_C-2'!$B$1,INDEX($AF$3:$AF$16,MATCH(design_loads!$E$5,$AE$3:$AE$16))-1,0),$AI176-1,0)))</f>
        <v>&lt;scroll up&gt;</v>
      </c>
      <c r="AK176" s="63" t="str">
        <f ca="1">IF(design_loads!$E$6="","",IF($AI176&gt;INDEX($AG$3:$AG$16,MATCH(design_loads!$E$6,$AE$3:$AE$16)),"&lt;scroll up&gt;",OFFSET(OFFSET('NBCC_C-2'!$B$1,INDEX($AF$3:$AF$16,MATCH(design_loads!$E$6,$AE$3:$AE$16))-1,0),$AI176-1,0)))</f>
        <v/>
      </c>
      <c r="AL176" s="63" t="str">
        <f ca="1">IF(design_loads!$E$7="","",IF($AI176&gt;INDEX($AG$3:$AG$16,MATCH(design_loads!$E$7,$AE$3:$AE$16)),"&lt;scroll up&gt;",OFFSET(OFFSET('NBCC_C-2'!$B$1,INDEX($AF$3:$AF$16,MATCH(design_loads!$E$7,$AE$3:$AE$16))-1,0),$AI176-1,0)))</f>
        <v/>
      </c>
      <c r="AM176" s="63" t="str">
        <f ca="1">IF(design_loads!$E$8="","",IF($AI176&gt;INDEX($AG$3:$AG$16,MATCH(design_loads!$E$8,$AE$3:$AE$16)),"&lt;scroll up&gt;",OFFSET(OFFSET('NBCC_C-2'!$B$1,INDEX($AF$3:$AF$16,MATCH(design_loads!$E$8,$AE$3:$AE$16))-1,0),$AI176-1,0)))</f>
        <v/>
      </c>
    </row>
    <row r="177" spans="2:39" x14ac:dyDescent="0.2">
      <c r="B177" s="66" t="s">
        <v>541</v>
      </c>
      <c r="C177" s="67" t="s">
        <v>224</v>
      </c>
      <c r="D177" s="68">
        <v>25</v>
      </c>
      <c r="F177" s="66" t="s">
        <v>328</v>
      </c>
      <c r="G177" s="67" t="s">
        <v>247</v>
      </c>
      <c r="H177" s="68">
        <v>38</v>
      </c>
      <c r="I177" s="76">
        <v>869</v>
      </c>
      <c r="J177" s="70">
        <v>-35</v>
      </c>
      <c r="K177" s="70">
        <v>-37</v>
      </c>
      <c r="L177" s="70">
        <v>27</v>
      </c>
      <c r="M177" s="70">
        <v>19</v>
      </c>
      <c r="N177" s="76">
        <v>5700</v>
      </c>
      <c r="O177" s="76">
        <v>20</v>
      </c>
      <c r="P177" s="77">
        <v>85</v>
      </c>
      <c r="Q177" s="77">
        <v>420</v>
      </c>
      <c r="R177" s="72">
        <v>0.6</v>
      </c>
      <c r="S177" s="77">
        <v>525</v>
      </c>
      <c r="T177" s="77">
        <v>120</v>
      </c>
      <c r="U177" s="73">
        <v>2</v>
      </c>
      <c r="V177" s="73">
        <v>0.1</v>
      </c>
      <c r="W177" s="72">
        <v>0.32</v>
      </c>
      <c r="X177" s="72">
        <v>0.43</v>
      </c>
      <c r="Y177" s="72">
        <v>0.12</v>
      </c>
      <c r="Z177" s="74">
        <v>0.06</v>
      </c>
      <c r="AA177" s="74">
        <v>0.03</v>
      </c>
      <c r="AB177" s="74">
        <v>0.02</v>
      </c>
      <c r="AC177" s="74">
        <v>0.06</v>
      </c>
      <c r="AE177" s="59"/>
      <c r="AF177" s="59"/>
      <c r="AG177" s="59"/>
      <c r="AH177" s="59"/>
      <c r="AI177" s="62">
        <v>175</v>
      </c>
      <c r="AJ177" s="63" t="str">
        <f ca="1">IF(design_loads!$E$5="","",IF($AI177&gt;INDEX($AG$3:$AG$16,MATCH(design_loads!$E$5,$AE$3:$AE$16)),"&lt;scroll up&gt;",OFFSET(OFFSET('NBCC_C-2'!$B$1,INDEX($AF$3:$AF$16,MATCH(design_loads!$E$5,$AE$3:$AE$16))-1,0),$AI177-1,0)))</f>
        <v>&lt;scroll up&gt;</v>
      </c>
      <c r="AK177" s="63" t="str">
        <f ca="1">IF(design_loads!$E$6="","",IF($AI177&gt;INDEX($AG$3:$AG$16,MATCH(design_loads!$E$6,$AE$3:$AE$16)),"&lt;scroll up&gt;",OFFSET(OFFSET('NBCC_C-2'!$B$1,INDEX($AF$3:$AF$16,MATCH(design_loads!$E$6,$AE$3:$AE$16))-1,0),$AI177-1,0)))</f>
        <v/>
      </c>
      <c r="AL177" s="63" t="str">
        <f ca="1">IF(design_loads!$E$7="","",IF($AI177&gt;INDEX($AG$3:$AG$16,MATCH(design_loads!$E$7,$AE$3:$AE$16)),"&lt;scroll up&gt;",OFFSET(OFFSET('NBCC_C-2'!$B$1,INDEX($AF$3:$AF$16,MATCH(design_loads!$E$7,$AE$3:$AE$16))-1,0),$AI177-1,0)))</f>
        <v/>
      </c>
      <c r="AM177" s="63" t="str">
        <f ca="1">IF(design_loads!$E$8="","",IF($AI177&gt;INDEX($AG$3:$AG$16,MATCH(design_loads!$E$8,$AE$3:$AE$16)),"&lt;scroll up&gt;",OFFSET(OFFSET('NBCC_C-2'!$B$1,INDEX($AF$3:$AF$16,MATCH(design_loads!$E$8,$AE$3:$AE$16))-1,0),$AI177-1,0)))</f>
        <v/>
      </c>
    </row>
    <row r="178" spans="2:39" x14ac:dyDescent="0.2">
      <c r="B178" s="66" t="s">
        <v>542</v>
      </c>
      <c r="C178" s="67" t="s">
        <v>224</v>
      </c>
      <c r="D178" s="68">
        <v>26</v>
      </c>
      <c r="F178" s="66" t="s">
        <v>543</v>
      </c>
      <c r="G178" s="67" t="s">
        <v>264</v>
      </c>
      <c r="H178" s="68">
        <v>47</v>
      </c>
      <c r="I178" s="70">
        <v>185</v>
      </c>
      <c r="J178" s="70">
        <v>-16</v>
      </c>
      <c r="K178" s="70">
        <v>-18</v>
      </c>
      <c r="L178" s="70">
        <v>31</v>
      </c>
      <c r="M178" s="70">
        <v>24</v>
      </c>
      <c r="N178" s="70">
        <v>3750</v>
      </c>
      <c r="O178" s="70">
        <v>28</v>
      </c>
      <c r="P178" s="71">
        <v>97</v>
      </c>
      <c r="Q178" s="71">
        <v>760</v>
      </c>
      <c r="R178" s="72">
        <v>0.84</v>
      </c>
      <c r="S178" s="71">
        <v>820</v>
      </c>
      <c r="T178" s="71">
        <v>180</v>
      </c>
      <c r="U178" s="73">
        <v>1</v>
      </c>
      <c r="V178" s="73">
        <v>0.4</v>
      </c>
      <c r="W178" s="72">
        <v>0.32</v>
      </c>
      <c r="X178" s="72">
        <v>0.43</v>
      </c>
      <c r="Y178" s="72">
        <v>0.18</v>
      </c>
      <c r="Z178" s="74">
        <v>9.0999999999999998E-2</v>
      </c>
      <c r="AA178" s="74">
        <v>4.3999999999999997E-2</v>
      </c>
      <c r="AB178" s="74">
        <v>1.2E-2</v>
      </c>
      <c r="AC178" s="74">
        <v>0.12</v>
      </c>
      <c r="AE178" s="59"/>
      <c r="AF178" s="59"/>
      <c r="AG178" s="59"/>
      <c r="AH178" s="59"/>
      <c r="AI178" s="62">
        <v>176</v>
      </c>
      <c r="AJ178" s="63" t="str">
        <f ca="1">IF(design_loads!$E$5="","",IF($AI178&gt;INDEX($AG$3:$AG$16,MATCH(design_loads!$E$5,$AE$3:$AE$16)),"&lt;scroll up&gt;",OFFSET(OFFSET('NBCC_C-2'!$B$1,INDEX($AF$3:$AF$16,MATCH(design_loads!$E$5,$AE$3:$AE$16))-1,0),$AI178-1,0)))</f>
        <v>&lt;scroll up&gt;</v>
      </c>
      <c r="AK178" s="63" t="str">
        <f ca="1">IF(design_loads!$E$6="","",IF($AI178&gt;INDEX($AG$3:$AG$16,MATCH(design_loads!$E$6,$AE$3:$AE$16)),"&lt;scroll up&gt;",OFFSET(OFFSET('NBCC_C-2'!$B$1,INDEX($AF$3:$AF$16,MATCH(design_loads!$E$6,$AE$3:$AE$16))-1,0),$AI178-1,0)))</f>
        <v/>
      </c>
      <c r="AL178" s="63" t="str">
        <f ca="1">IF(design_loads!$E$7="","",IF($AI178&gt;INDEX($AG$3:$AG$16,MATCH(design_loads!$E$7,$AE$3:$AE$16)),"&lt;scroll up&gt;",OFFSET(OFFSET('NBCC_C-2'!$B$1,INDEX($AF$3:$AF$16,MATCH(design_loads!$E$7,$AE$3:$AE$16))-1,0),$AI178-1,0)))</f>
        <v/>
      </c>
      <c r="AM178" s="63" t="str">
        <f ca="1">IF(design_loads!$E$8="","",IF($AI178&gt;INDEX($AG$3:$AG$16,MATCH(design_loads!$E$8,$AE$3:$AE$16)),"&lt;scroll up&gt;",OFFSET(OFFSET('NBCC_C-2'!$B$1,INDEX($AF$3:$AF$16,MATCH(design_loads!$E$8,$AE$3:$AE$16))-1,0),$AI178-1,0)))</f>
        <v/>
      </c>
    </row>
    <row r="179" spans="2:39" x14ac:dyDescent="0.2">
      <c r="B179" s="66" t="s">
        <v>544</v>
      </c>
      <c r="C179" s="67" t="s">
        <v>224</v>
      </c>
      <c r="D179" s="68">
        <v>27</v>
      </c>
      <c r="F179" s="66" t="s">
        <v>329</v>
      </c>
      <c r="G179" s="67" t="s">
        <v>247</v>
      </c>
      <c r="H179" s="68">
        <v>39</v>
      </c>
      <c r="I179" s="76">
        <v>685</v>
      </c>
      <c r="J179" s="70">
        <v>-31</v>
      </c>
      <c r="K179" s="70">
        <v>-33</v>
      </c>
      <c r="L179" s="70">
        <v>29</v>
      </c>
      <c r="M179" s="70">
        <v>18</v>
      </c>
      <c r="N179" s="76">
        <v>5300</v>
      </c>
      <c r="O179" s="76">
        <v>20</v>
      </c>
      <c r="P179" s="77">
        <v>86</v>
      </c>
      <c r="Q179" s="77">
        <v>300</v>
      </c>
      <c r="R179" s="72">
        <v>0.39</v>
      </c>
      <c r="S179" s="77">
        <v>375</v>
      </c>
      <c r="T179" s="77">
        <v>220</v>
      </c>
      <c r="U179" s="73">
        <v>1.2</v>
      </c>
      <c r="V179" s="73">
        <v>0.1</v>
      </c>
      <c r="W179" s="72">
        <v>0.32</v>
      </c>
      <c r="X179" s="72">
        <v>0.44</v>
      </c>
      <c r="Y179" s="72">
        <v>0.12</v>
      </c>
      <c r="Z179" s="74">
        <v>5.6000000000000001E-2</v>
      </c>
      <c r="AA179" s="74">
        <v>2.3E-2</v>
      </c>
      <c r="AB179" s="74">
        <v>1.2E-2</v>
      </c>
      <c r="AC179" s="74">
        <v>5.8999999999999997E-2</v>
      </c>
      <c r="AE179" s="59"/>
      <c r="AF179" s="59"/>
      <c r="AG179" s="59"/>
      <c r="AH179" s="59"/>
      <c r="AI179" s="62">
        <v>177</v>
      </c>
      <c r="AJ179" s="63" t="str">
        <f ca="1">IF(design_loads!$E$5="","",IF($AI179&gt;INDEX($AG$3:$AG$16,MATCH(design_loads!$E$5,$AE$3:$AE$16)),"&lt;scroll up&gt;",OFFSET(OFFSET('NBCC_C-2'!$B$1,INDEX($AF$3:$AF$16,MATCH(design_loads!$E$5,$AE$3:$AE$16))-1,0),$AI179-1,0)))</f>
        <v>&lt;scroll up&gt;</v>
      </c>
      <c r="AK179" s="63" t="str">
        <f ca="1">IF(design_loads!$E$6="","",IF($AI179&gt;INDEX($AG$3:$AG$16,MATCH(design_loads!$E$6,$AE$3:$AE$16)),"&lt;scroll up&gt;",OFFSET(OFFSET('NBCC_C-2'!$B$1,INDEX($AF$3:$AF$16,MATCH(design_loads!$E$6,$AE$3:$AE$16))-1,0),$AI179-1,0)))</f>
        <v/>
      </c>
      <c r="AL179" s="63" t="str">
        <f ca="1">IF(design_loads!$E$7="","",IF($AI179&gt;INDEX($AG$3:$AG$16,MATCH(design_loads!$E$7,$AE$3:$AE$16)),"&lt;scroll up&gt;",OFFSET(OFFSET('NBCC_C-2'!$B$1,INDEX($AF$3:$AF$16,MATCH(design_loads!$E$7,$AE$3:$AE$16))-1,0),$AI179-1,0)))</f>
        <v/>
      </c>
      <c r="AM179" s="63" t="str">
        <f ca="1">IF(design_loads!$E$8="","",IF($AI179&gt;INDEX($AG$3:$AG$16,MATCH(design_loads!$E$8,$AE$3:$AE$16)),"&lt;scroll up&gt;",OFFSET(OFFSET('NBCC_C-2'!$B$1,INDEX($AF$3:$AF$16,MATCH(design_loads!$E$8,$AE$3:$AE$16))-1,0),$AI179-1,0)))</f>
        <v/>
      </c>
    </row>
    <row r="180" spans="2:39" x14ac:dyDescent="0.2">
      <c r="B180" s="66" t="s">
        <v>545</v>
      </c>
      <c r="C180" s="67" t="s">
        <v>224</v>
      </c>
      <c r="D180" s="68">
        <v>28</v>
      </c>
      <c r="F180" s="66" t="s">
        <v>546</v>
      </c>
      <c r="G180" s="67" t="s">
        <v>257</v>
      </c>
      <c r="H180" s="68">
        <v>26</v>
      </c>
      <c r="I180" s="70">
        <v>85</v>
      </c>
      <c r="J180" s="70">
        <v>-25</v>
      </c>
      <c r="K180" s="70">
        <v>-28</v>
      </c>
      <c r="L180" s="70">
        <v>30</v>
      </c>
      <c r="M180" s="70">
        <v>23</v>
      </c>
      <c r="N180" s="70">
        <v>4800</v>
      </c>
      <c r="O180" s="70">
        <v>20</v>
      </c>
      <c r="P180" s="71">
        <v>118</v>
      </c>
      <c r="Q180" s="71">
        <v>870</v>
      </c>
      <c r="R180" s="72">
        <v>0.98</v>
      </c>
      <c r="S180" s="71">
        <v>1075</v>
      </c>
      <c r="T180" s="71">
        <v>180</v>
      </c>
      <c r="U180" s="73">
        <v>2.5</v>
      </c>
      <c r="V180" s="73">
        <v>0.4</v>
      </c>
      <c r="W180" s="72">
        <v>0.24</v>
      </c>
      <c r="X180" s="72">
        <v>0.32</v>
      </c>
      <c r="Y180" s="72">
        <v>0.5</v>
      </c>
      <c r="Z180" s="74">
        <v>0.25</v>
      </c>
      <c r="AA180" s="74">
        <v>0.1</v>
      </c>
      <c r="AB180" s="74">
        <v>3.6999999999999998E-2</v>
      </c>
      <c r="AC180" s="74">
        <v>0.32</v>
      </c>
      <c r="AE180" s="59"/>
      <c r="AF180" s="59"/>
      <c r="AG180" s="59"/>
      <c r="AH180" s="59"/>
      <c r="AI180" s="62">
        <v>178</v>
      </c>
      <c r="AJ180" s="63" t="str">
        <f ca="1">IF(design_loads!$E$5="","",IF($AI180&gt;INDEX($AG$3:$AG$16,MATCH(design_loads!$E$5,$AE$3:$AE$16)),"&lt;scroll up&gt;",OFFSET(OFFSET('NBCC_C-2'!$B$1,INDEX($AF$3:$AF$16,MATCH(design_loads!$E$5,$AE$3:$AE$16))-1,0),$AI180-1,0)))</f>
        <v>&lt;scroll up&gt;</v>
      </c>
      <c r="AK180" s="63" t="str">
        <f ca="1">IF(design_loads!$E$6="","",IF($AI180&gt;INDEX($AG$3:$AG$16,MATCH(design_loads!$E$6,$AE$3:$AE$16)),"&lt;scroll up&gt;",OFFSET(OFFSET('NBCC_C-2'!$B$1,INDEX($AF$3:$AF$16,MATCH(design_loads!$E$6,$AE$3:$AE$16))-1,0),$AI180-1,0)))</f>
        <v/>
      </c>
      <c r="AL180" s="63" t="str">
        <f ca="1">IF(design_loads!$E$7="","",IF($AI180&gt;INDEX($AG$3:$AG$16,MATCH(design_loads!$E$7,$AE$3:$AE$16)),"&lt;scroll up&gt;",OFFSET(OFFSET('NBCC_C-2'!$B$1,INDEX($AF$3:$AF$16,MATCH(design_loads!$E$7,$AE$3:$AE$16))-1,0),$AI180-1,0)))</f>
        <v/>
      </c>
      <c r="AM180" s="63" t="str">
        <f ca="1">IF(design_loads!$E$8="","",IF($AI180&gt;INDEX($AG$3:$AG$16,MATCH(design_loads!$E$8,$AE$3:$AE$16)),"&lt;scroll up&gt;",OFFSET(OFFSET('NBCC_C-2'!$B$1,INDEX($AF$3:$AF$16,MATCH(design_loads!$E$8,$AE$3:$AE$16))-1,0),$AI180-1,0)))</f>
        <v/>
      </c>
    </row>
    <row r="181" spans="2:39" x14ac:dyDescent="0.2">
      <c r="B181" s="66" t="s">
        <v>547</v>
      </c>
      <c r="C181" s="67" t="s">
        <v>224</v>
      </c>
      <c r="D181" s="68">
        <v>29</v>
      </c>
      <c r="F181" s="66" t="s">
        <v>548</v>
      </c>
      <c r="G181" s="67" t="s">
        <v>264</v>
      </c>
      <c r="H181" s="68">
        <v>48</v>
      </c>
      <c r="I181" s="70">
        <v>370</v>
      </c>
      <c r="J181" s="70">
        <v>-34</v>
      </c>
      <c r="K181" s="70">
        <v>-36</v>
      </c>
      <c r="L181" s="70">
        <v>27</v>
      </c>
      <c r="M181" s="70">
        <v>22</v>
      </c>
      <c r="N181" s="70">
        <v>6000</v>
      </c>
      <c r="O181" s="70">
        <v>25</v>
      </c>
      <c r="P181" s="71">
        <v>97</v>
      </c>
      <c r="Q181" s="71">
        <v>550</v>
      </c>
      <c r="R181" s="72">
        <v>0.7</v>
      </c>
      <c r="S181" s="71">
        <v>700</v>
      </c>
      <c r="T181" s="71">
        <v>120</v>
      </c>
      <c r="U181" s="73">
        <v>2.4</v>
      </c>
      <c r="V181" s="73">
        <v>0.3</v>
      </c>
      <c r="W181" s="72">
        <v>0.21</v>
      </c>
      <c r="X181" s="72">
        <v>0.27</v>
      </c>
      <c r="Y181" s="72">
        <v>0.12</v>
      </c>
      <c r="Z181" s="74">
        <v>5.6000000000000001E-2</v>
      </c>
      <c r="AA181" s="74">
        <v>2.3E-2</v>
      </c>
      <c r="AB181" s="74">
        <v>6.0000000000000001E-3</v>
      </c>
      <c r="AC181" s="74">
        <v>5.8999999999999997E-2</v>
      </c>
      <c r="AE181" s="59"/>
      <c r="AF181" s="59"/>
      <c r="AG181" s="59"/>
      <c r="AH181" s="59"/>
      <c r="AI181" s="62">
        <v>179</v>
      </c>
      <c r="AJ181" s="63" t="str">
        <f ca="1">IF(design_loads!$E$5="","",IF($AI181&gt;INDEX($AG$3:$AG$16,MATCH(design_loads!$E$5,$AE$3:$AE$16)),"&lt;scroll up&gt;",OFFSET(OFFSET('NBCC_C-2'!$B$1,INDEX($AF$3:$AF$16,MATCH(design_loads!$E$5,$AE$3:$AE$16))-1,0),$AI181-1,0)))</f>
        <v>&lt;scroll up&gt;</v>
      </c>
      <c r="AK181" s="63" t="str">
        <f ca="1">IF(design_loads!$E$6="","",IF($AI181&gt;INDEX($AG$3:$AG$16,MATCH(design_loads!$E$6,$AE$3:$AE$16)),"&lt;scroll up&gt;",OFFSET(OFFSET('NBCC_C-2'!$B$1,INDEX($AF$3:$AF$16,MATCH(design_loads!$E$6,$AE$3:$AE$16))-1,0),$AI181-1,0)))</f>
        <v/>
      </c>
      <c r="AL181" s="63" t="str">
        <f ca="1">IF(design_loads!$E$7="","",IF($AI181&gt;INDEX($AG$3:$AG$16,MATCH(design_loads!$E$7,$AE$3:$AE$16)),"&lt;scroll up&gt;",OFFSET(OFFSET('NBCC_C-2'!$B$1,INDEX($AF$3:$AF$16,MATCH(design_loads!$E$7,$AE$3:$AE$16))-1,0),$AI181-1,0)))</f>
        <v/>
      </c>
      <c r="AM181" s="63" t="str">
        <f ca="1">IF(design_loads!$E$8="","",IF($AI181&gt;INDEX($AG$3:$AG$16,MATCH(design_loads!$E$8,$AE$3:$AE$16)),"&lt;scroll up&gt;",OFFSET(OFFSET('NBCC_C-2'!$B$1,INDEX($AF$3:$AF$16,MATCH(design_loads!$E$8,$AE$3:$AE$16))-1,0),$AI181-1,0)))</f>
        <v/>
      </c>
    </row>
    <row r="182" spans="2:39" x14ac:dyDescent="0.2">
      <c r="B182" s="66" t="s">
        <v>549</v>
      </c>
      <c r="C182" s="67" t="s">
        <v>224</v>
      </c>
      <c r="D182" s="68">
        <v>30</v>
      </c>
      <c r="F182" s="66" t="s">
        <v>537</v>
      </c>
      <c r="G182" s="67" t="s">
        <v>224</v>
      </c>
      <c r="H182" s="68">
        <v>23</v>
      </c>
      <c r="I182" s="70">
        <v>10</v>
      </c>
      <c r="J182" s="70">
        <v>-6</v>
      </c>
      <c r="K182" s="70">
        <v>-8</v>
      </c>
      <c r="L182" s="70">
        <v>29</v>
      </c>
      <c r="M182" s="70">
        <v>18</v>
      </c>
      <c r="N182" s="70">
        <v>3150</v>
      </c>
      <c r="O182" s="70">
        <v>8</v>
      </c>
      <c r="P182" s="71">
        <v>107</v>
      </c>
      <c r="Q182" s="71">
        <v>1000</v>
      </c>
      <c r="R182" s="72">
        <v>1.1299999999999999</v>
      </c>
      <c r="S182" s="71">
        <v>1050</v>
      </c>
      <c r="T182" s="71">
        <v>180</v>
      </c>
      <c r="U182" s="73">
        <v>1.8</v>
      </c>
      <c r="V182" s="73">
        <v>0.4</v>
      </c>
      <c r="W182" s="72">
        <v>0.48</v>
      </c>
      <c r="X182" s="72">
        <v>0.63</v>
      </c>
      <c r="Y182" s="72">
        <v>1.1000000000000001</v>
      </c>
      <c r="Z182" s="74">
        <v>0.74</v>
      </c>
      <c r="AA182" s="74">
        <v>0.37</v>
      </c>
      <c r="AB182" s="74">
        <v>0.18</v>
      </c>
      <c r="AC182" s="74">
        <v>0.54</v>
      </c>
      <c r="AE182" s="59"/>
      <c r="AF182" s="59"/>
      <c r="AG182" s="59"/>
      <c r="AH182" s="59"/>
      <c r="AI182" s="62">
        <v>180</v>
      </c>
      <c r="AJ182" s="63" t="str">
        <f ca="1">IF(design_loads!$E$5="","",IF($AI182&gt;INDEX($AG$3:$AG$16,MATCH(design_loads!$E$5,$AE$3:$AE$16)),"&lt;scroll up&gt;",OFFSET(OFFSET('NBCC_C-2'!$B$1,INDEX($AF$3:$AF$16,MATCH(design_loads!$E$5,$AE$3:$AE$16))-1,0),$AI182-1,0)))</f>
        <v>&lt;scroll up&gt;</v>
      </c>
      <c r="AK182" s="63" t="str">
        <f ca="1">IF(design_loads!$E$6="","",IF($AI182&gt;INDEX($AG$3:$AG$16,MATCH(design_loads!$E$6,$AE$3:$AE$16)),"&lt;scroll up&gt;",OFFSET(OFFSET('NBCC_C-2'!$B$1,INDEX($AF$3:$AF$16,MATCH(design_loads!$E$6,$AE$3:$AE$16))-1,0),$AI182-1,0)))</f>
        <v/>
      </c>
      <c r="AL182" s="63" t="str">
        <f ca="1">IF(design_loads!$E$7="","",IF($AI182&gt;INDEX($AG$3:$AG$16,MATCH(design_loads!$E$7,$AE$3:$AE$16)),"&lt;scroll up&gt;",OFFSET(OFFSET('NBCC_C-2'!$B$1,INDEX($AF$3:$AF$16,MATCH(design_loads!$E$7,$AE$3:$AE$16))-1,0),$AI182-1,0)))</f>
        <v/>
      </c>
      <c r="AM182" s="63" t="str">
        <f ca="1">IF(design_loads!$E$8="","",IF($AI182&gt;INDEX($AG$3:$AG$16,MATCH(design_loads!$E$8,$AE$3:$AE$16)),"&lt;scroll up&gt;",OFFSET(OFFSET('NBCC_C-2'!$B$1,INDEX($AF$3:$AF$16,MATCH(design_loads!$E$8,$AE$3:$AE$16))-1,0),$AI182-1,0)))</f>
        <v/>
      </c>
    </row>
    <row r="183" spans="2:39" x14ac:dyDescent="0.2">
      <c r="B183" s="66" t="s">
        <v>550</v>
      </c>
      <c r="C183" s="67" t="s">
        <v>224</v>
      </c>
      <c r="D183" s="68">
        <v>31</v>
      </c>
      <c r="F183" s="66" t="s">
        <v>551</v>
      </c>
      <c r="G183" s="67" t="s">
        <v>278</v>
      </c>
      <c r="H183" s="68">
        <v>6</v>
      </c>
      <c r="I183" s="70">
        <v>525</v>
      </c>
      <c r="J183" s="70">
        <v>-35</v>
      </c>
      <c r="K183" s="70">
        <v>-37</v>
      </c>
      <c r="L183" s="70">
        <v>31</v>
      </c>
      <c r="M183" s="70">
        <v>20</v>
      </c>
      <c r="N183" s="70">
        <v>5900</v>
      </c>
      <c r="O183" s="70">
        <v>10</v>
      </c>
      <c r="P183" s="71">
        <v>97</v>
      </c>
      <c r="Q183" s="71">
        <v>275</v>
      </c>
      <c r="R183" s="72">
        <v>0.4</v>
      </c>
      <c r="S183" s="71">
        <v>380</v>
      </c>
      <c r="T183" s="71">
        <v>180</v>
      </c>
      <c r="U183" s="73">
        <v>1.5</v>
      </c>
      <c r="V183" s="73">
        <v>0.1</v>
      </c>
      <c r="W183" s="72">
        <v>0.39</v>
      </c>
      <c r="X183" s="72">
        <v>0.52</v>
      </c>
      <c r="Y183" s="72">
        <v>0.12</v>
      </c>
      <c r="Z183" s="74">
        <v>5.6000000000000001E-2</v>
      </c>
      <c r="AA183" s="74">
        <v>2.3E-2</v>
      </c>
      <c r="AB183" s="74">
        <v>6.0000000000000001E-3</v>
      </c>
      <c r="AC183" s="74">
        <v>5.8999999999999997E-2</v>
      </c>
      <c r="AE183" s="59"/>
      <c r="AF183" s="59"/>
      <c r="AG183" s="59"/>
      <c r="AH183" s="59"/>
      <c r="AI183" s="62">
        <v>181</v>
      </c>
      <c r="AJ183" s="63" t="str">
        <f ca="1">IF(design_loads!$E$5="","",IF($AI183&gt;INDEX($AG$3:$AG$16,MATCH(design_loads!$E$5,$AE$3:$AE$16)),"&lt;scroll up&gt;",OFFSET(OFFSET('NBCC_C-2'!$B$1,INDEX($AF$3:$AF$16,MATCH(design_loads!$E$5,$AE$3:$AE$16))-1,0),$AI183-1,0)))</f>
        <v>&lt;scroll up&gt;</v>
      </c>
      <c r="AK183" s="63" t="str">
        <f ca="1">IF(design_loads!$E$6="","",IF($AI183&gt;INDEX($AG$3:$AG$16,MATCH(design_loads!$E$6,$AE$3:$AE$16)),"&lt;scroll up&gt;",OFFSET(OFFSET('NBCC_C-2'!$B$1,INDEX($AF$3:$AF$16,MATCH(design_loads!$E$6,$AE$3:$AE$16))-1,0),$AI183-1,0)))</f>
        <v/>
      </c>
      <c r="AL183" s="63" t="str">
        <f ca="1">IF(design_loads!$E$7="","",IF($AI183&gt;INDEX($AG$3:$AG$16,MATCH(design_loads!$E$7,$AE$3:$AE$16)),"&lt;scroll up&gt;",OFFSET(OFFSET('NBCC_C-2'!$B$1,INDEX($AF$3:$AF$16,MATCH(design_loads!$E$7,$AE$3:$AE$16))-1,0),$AI183-1,0)))</f>
        <v/>
      </c>
      <c r="AM183" s="63" t="str">
        <f ca="1">IF(design_loads!$E$8="","",IF($AI183&gt;INDEX($AG$3:$AG$16,MATCH(design_loads!$E$8,$AE$3:$AE$16)),"&lt;scroll up&gt;",OFFSET(OFFSET('NBCC_C-2'!$B$1,INDEX($AF$3:$AF$16,MATCH(design_loads!$E$8,$AE$3:$AE$16))-1,0),$AI183-1,0)))</f>
        <v/>
      </c>
    </row>
    <row r="184" spans="2:39" x14ac:dyDescent="0.2">
      <c r="B184" s="66" t="s">
        <v>552</v>
      </c>
      <c r="C184" s="67" t="s">
        <v>224</v>
      </c>
      <c r="D184" s="68">
        <v>32</v>
      </c>
      <c r="F184" s="66" t="s">
        <v>553</v>
      </c>
      <c r="G184" s="67" t="s">
        <v>264</v>
      </c>
      <c r="H184" s="68">
        <v>49</v>
      </c>
      <c r="I184" s="70">
        <v>175</v>
      </c>
      <c r="J184" s="70">
        <v>-15</v>
      </c>
      <c r="K184" s="70">
        <v>-17</v>
      </c>
      <c r="L184" s="70">
        <v>30</v>
      </c>
      <c r="M184" s="70">
        <v>24</v>
      </c>
      <c r="N184" s="70">
        <v>3900</v>
      </c>
      <c r="O184" s="70">
        <v>23</v>
      </c>
      <c r="P184" s="71">
        <v>119</v>
      </c>
      <c r="Q184" s="71">
        <v>830</v>
      </c>
      <c r="R184" s="72">
        <v>0.95</v>
      </c>
      <c r="S184" s="71">
        <v>950</v>
      </c>
      <c r="T184" s="71">
        <v>160</v>
      </c>
      <c r="U184" s="73">
        <v>2</v>
      </c>
      <c r="V184" s="73">
        <v>0.4</v>
      </c>
      <c r="W184" s="72">
        <v>0.33</v>
      </c>
      <c r="X184" s="72">
        <v>0.42</v>
      </c>
      <c r="Y184" s="72">
        <v>0.35</v>
      </c>
      <c r="Z184" s="74">
        <v>0.17</v>
      </c>
      <c r="AA184" s="74">
        <v>6.2E-2</v>
      </c>
      <c r="AB184" s="74">
        <v>1.9E-2</v>
      </c>
      <c r="AC184" s="74">
        <v>0.26</v>
      </c>
      <c r="AE184" s="59"/>
      <c r="AF184" s="59"/>
      <c r="AG184" s="59"/>
      <c r="AH184" s="59"/>
      <c r="AI184" s="62">
        <v>182</v>
      </c>
      <c r="AJ184" s="63" t="str">
        <f ca="1">IF(design_loads!$E$5="","",IF($AI184&gt;INDEX($AG$3:$AG$16,MATCH(design_loads!$E$5,$AE$3:$AE$16)),"&lt;scroll up&gt;",OFFSET(OFFSET('NBCC_C-2'!$B$1,INDEX($AF$3:$AF$16,MATCH(design_loads!$E$5,$AE$3:$AE$16))-1,0),$AI184-1,0)))</f>
        <v>&lt;scroll up&gt;</v>
      </c>
      <c r="AK184" s="63" t="str">
        <f ca="1">IF(design_loads!$E$6="","",IF($AI184&gt;INDEX($AG$3:$AG$16,MATCH(design_loads!$E$6,$AE$3:$AE$16)),"&lt;scroll up&gt;",OFFSET(OFFSET('NBCC_C-2'!$B$1,INDEX($AF$3:$AF$16,MATCH(design_loads!$E$6,$AE$3:$AE$16))-1,0),$AI184-1,0)))</f>
        <v/>
      </c>
      <c r="AL184" s="63" t="str">
        <f ca="1">IF(design_loads!$E$7="","",IF($AI184&gt;INDEX($AG$3:$AG$16,MATCH(design_loads!$E$7,$AE$3:$AE$16)),"&lt;scroll up&gt;",OFFSET(OFFSET('NBCC_C-2'!$B$1,INDEX($AF$3:$AF$16,MATCH(design_loads!$E$7,$AE$3:$AE$16))-1,0),$AI184-1,0)))</f>
        <v/>
      </c>
      <c r="AM184" s="63" t="str">
        <f ca="1">IF(design_loads!$E$8="","",IF($AI184&gt;INDEX($AG$3:$AG$16,MATCH(design_loads!$E$8,$AE$3:$AE$16)),"&lt;scroll up&gt;",OFFSET(OFFSET('NBCC_C-2'!$B$1,INDEX($AF$3:$AF$16,MATCH(design_loads!$E$8,$AE$3:$AE$16))-1,0),$AI184-1,0)))</f>
        <v/>
      </c>
    </row>
    <row r="185" spans="2:39" x14ac:dyDescent="0.2">
      <c r="B185" s="66" t="s">
        <v>554</v>
      </c>
      <c r="C185" s="67" t="s">
        <v>224</v>
      </c>
      <c r="D185" s="68">
        <v>33</v>
      </c>
      <c r="F185" s="66" t="s">
        <v>555</v>
      </c>
      <c r="G185" s="67" t="s">
        <v>264</v>
      </c>
      <c r="H185" s="68">
        <v>50</v>
      </c>
      <c r="I185" s="70">
        <v>340</v>
      </c>
      <c r="J185" s="70">
        <v>-20</v>
      </c>
      <c r="K185" s="70">
        <v>-22</v>
      </c>
      <c r="L185" s="70">
        <v>29</v>
      </c>
      <c r="M185" s="70">
        <v>22</v>
      </c>
      <c r="N185" s="70">
        <v>4700</v>
      </c>
      <c r="O185" s="70">
        <v>28</v>
      </c>
      <c r="P185" s="71">
        <v>103</v>
      </c>
      <c r="Q185" s="71">
        <v>815</v>
      </c>
      <c r="R185" s="72">
        <v>0.94</v>
      </c>
      <c r="S185" s="71">
        <v>1025</v>
      </c>
      <c r="T185" s="71">
        <v>140</v>
      </c>
      <c r="U185" s="73">
        <v>2.8</v>
      </c>
      <c r="V185" s="73">
        <v>0.4</v>
      </c>
      <c r="W185" s="72">
        <v>0.31</v>
      </c>
      <c r="X185" s="72">
        <v>0.44</v>
      </c>
      <c r="Y185" s="72">
        <v>0.14000000000000001</v>
      </c>
      <c r="Z185" s="74">
        <v>0.08</v>
      </c>
      <c r="AA185" s="74">
        <v>4.2000000000000003E-2</v>
      </c>
      <c r="AB185" s="74">
        <v>1.2E-2</v>
      </c>
      <c r="AC185" s="74">
        <v>6.8000000000000005E-2</v>
      </c>
      <c r="AE185" s="59"/>
      <c r="AF185" s="59"/>
      <c r="AG185" s="59"/>
      <c r="AH185" s="59"/>
      <c r="AI185" s="62">
        <v>183</v>
      </c>
      <c r="AJ185" s="63" t="str">
        <f ca="1">IF(design_loads!$E$5="","",IF($AI185&gt;INDEX($AG$3:$AG$16,MATCH(design_loads!$E$5,$AE$3:$AE$16)),"&lt;scroll up&gt;",OFFSET(OFFSET('NBCC_C-2'!$B$1,INDEX($AF$3:$AF$16,MATCH(design_loads!$E$5,$AE$3:$AE$16))-1,0),$AI185-1,0)))</f>
        <v>&lt;scroll up&gt;</v>
      </c>
      <c r="AK185" s="63" t="str">
        <f ca="1">IF(design_loads!$E$6="","",IF($AI185&gt;INDEX($AG$3:$AG$16,MATCH(design_loads!$E$6,$AE$3:$AE$16)),"&lt;scroll up&gt;",OFFSET(OFFSET('NBCC_C-2'!$B$1,INDEX($AF$3:$AF$16,MATCH(design_loads!$E$6,$AE$3:$AE$16))-1,0),$AI185-1,0)))</f>
        <v/>
      </c>
      <c r="AL185" s="63" t="str">
        <f ca="1">IF(design_loads!$E$7="","",IF($AI185&gt;INDEX($AG$3:$AG$16,MATCH(design_loads!$E$7,$AE$3:$AE$16)),"&lt;scroll up&gt;",OFFSET(OFFSET('NBCC_C-2'!$B$1,INDEX($AF$3:$AF$16,MATCH(design_loads!$E$7,$AE$3:$AE$16))-1,0),$AI185-1,0)))</f>
        <v/>
      </c>
      <c r="AM185" s="63" t="str">
        <f ca="1">IF(design_loads!$E$8="","",IF($AI185&gt;INDEX($AG$3:$AG$16,MATCH(design_loads!$E$8,$AE$3:$AE$16)),"&lt;scroll up&gt;",OFFSET(OFFSET('NBCC_C-2'!$B$1,INDEX($AF$3:$AF$16,MATCH(design_loads!$E$8,$AE$3:$AE$16))-1,0),$AI185-1,0)))</f>
        <v/>
      </c>
    </row>
    <row r="186" spans="2:39" x14ac:dyDescent="0.2">
      <c r="B186" s="66" t="s">
        <v>556</v>
      </c>
      <c r="C186" s="67" t="s">
        <v>224</v>
      </c>
      <c r="D186" s="68">
        <v>34</v>
      </c>
      <c r="F186" s="66" t="s">
        <v>557</v>
      </c>
      <c r="G186" s="67" t="s">
        <v>264</v>
      </c>
      <c r="H186" s="68">
        <v>51</v>
      </c>
      <c r="I186" s="70">
        <v>225</v>
      </c>
      <c r="J186" s="70">
        <v>-16</v>
      </c>
      <c r="K186" s="70">
        <v>-18</v>
      </c>
      <c r="L186" s="70">
        <v>31</v>
      </c>
      <c r="M186" s="70">
        <v>24</v>
      </c>
      <c r="N186" s="70">
        <v>3900</v>
      </c>
      <c r="O186" s="70">
        <v>28</v>
      </c>
      <c r="P186" s="71">
        <v>92</v>
      </c>
      <c r="Q186" s="71">
        <v>850</v>
      </c>
      <c r="R186" s="72">
        <v>0.96</v>
      </c>
      <c r="S186" s="71">
        <v>925</v>
      </c>
      <c r="T186" s="71">
        <v>180</v>
      </c>
      <c r="U186" s="73">
        <v>1.3</v>
      </c>
      <c r="V186" s="73">
        <v>0.4</v>
      </c>
      <c r="W186" s="72">
        <v>0.34</v>
      </c>
      <c r="X186" s="72">
        <v>0.47</v>
      </c>
      <c r="Y186" s="72">
        <v>0.2</v>
      </c>
      <c r="Z186" s="74">
        <v>9.7000000000000003E-2</v>
      </c>
      <c r="AA186" s="74">
        <v>4.7E-2</v>
      </c>
      <c r="AB186" s="74">
        <v>1.2999999999999999E-2</v>
      </c>
      <c r="AC186" s="74">
        <v>0.13</v>
      </c>
      <c r="AE186" s="59"/>
      <c r="AF186" s="59"/>
      <c r="AG186" s="59"/>
      <c r="AH186" s="59"/>
      <c r="AI186" s="62">
        <v>184</v>
      </c>
      <c r="AJ186" s="63" t="str">
        <f ca="1">IF(design_loads!$E$5="","",IF($AI186&gt;INDEX($AG$3:$AG$16,MATCH(design_loads!$E$5,$AE$3:$AE$16)),"&lt;scroll up&gt;",OFFSET(OFFSET('NBCC_C-2'!$B$1,INDEX($AF$3:$AF$16,MATCH(design_loads!$E$5,$AE$3:$AE$16))-1,0),$AI186-1,0)))</f>
        <v>&lt;scroll up&gt;</v>
      </c>
      <c r="AK186" s="63" t="str">
        <f ca="1">IF(design_loads!$E$6="","",IF($AI186&gt;INDEX($AG$3:$AG$16,MATCH(design_loads!$E$6,$AE$3:$AE$16)),"&lt;scroll up&gt;",OFFSET(OFFSET('NBCC_C-2'!$B$1,INDEX($AF$3:$AF$16,MATCH(design_loads!$E$6,$AE$3:$AE$16))-1,0),$AI186-1,0)))</f>
        <v/>
      </c>
      <c r="AL186" s="63" t="str">
        <f ca="1">IF(design_loads!$E$7="","",IF($AI186&gt;INDEX($AG$3:$AG$16,MATCH(design_loads!$E$7,$AE$3:$AE$16)),"&lt;scroll up&gt;",OFFSET(OFFSET('NBCC_C-2'!$B$1,INDEX($AF$3:$AF$16,MATCH(design_loads!$E$7,$AE$3:$AE$16))-1,0),$AI186-1,0)))</f>
        <v/>
      </c>
      <c r="AM186" s="63" t="str">
        <f ca="1">IF(design_loads!$E$8="","",IF($AI186&gt;INDEX($AG$3:$AG$16,MATCH(design_loads!$E$8,$AE$3:$AE$16)),"&lt;scroll up&gt;",OFFSET(OFFSET('NBCC_C-2'!$B$1,INDEX($AF$3:$AF$16,MATCH(design_loads!$E$8,$AE$3:$AE$16))-1,0),$AI186-1,0)))</f>
        <v/>
      </c>
    </row>
    <row r="187" spans="2:39" x14ac:dyDescent="0.2">
      <c r="B187" s="66" t="s">
        <v>558</v>
      </c>
      <c r="C187" s="67" t="s">
        <v>224</v>
      </c>
      <c r="D187" s="68">
        <v>35</v>
      </c>
      <c r="F187" s="66" t="s">
        <v>559</v>
      </c>
      <c r="G187" s="67" t="s">
        <v>264</v>
      </c>
      <c r="H187" s="68">
        <v>52</v>
      </c>
      <c r="I187" s="70">
        <v>245</v>
      </c>
      <c r="J187" s="70">
        <v>-33</v>
      </c>
      <c r="K187" s="70">
        <v>-36</v>
      </c>
      <c r="L187" s="70">
        <v>30</v>
      </c>
      <c r="M187" s="70">
        <v>21</v>
      </c>
      <c r="N187" s="70">
        <v>5900</v>
      </c>
      <c r="O187" s="70">
        <v>23</v>
      </c>
      <c r="P187" s="71">
        <v>92</v>
      </c>
      <c r="Q187" s="71">
        <v>560</v>
      </c>
      <c r="R187" s="72">
        <v>0.75</v>
      </c>
      <c r="S187" s="71">
        <v>820</v>
      </c>
      <c r="T187" s="71">
        <v>120</v>
      </c>
      <c r="U187" s="73">
        <v>2.6</v>
      </c>
      <c r="V187" s="73">
        <v>0.4</v>
      </c>
      <c r="W187" s="72">
        <v>0.32</v>
      </c>
      <c r="X187" s="72">
        <v>0.45</v>
      </c>
      <c r="Y187" s="72">
        <v>0.26</v>
      </c>
      <c r="Z187" s="74">
        <v>0.13</v>
      </c>
      <c r="AA187" s="74">
        <v>6.3E-2</v>
      </c>
      <c r="AB187" s="74">
        <v>1.7999999999999999E-2</v>
      </c>
      <c r="AC187" s="74">
        <v>0.16</v>
      </c>
      <c r="AE187" s="59"/>
      <c r="AF187" s="59"/>
      <c r="AG187" s="59"/>
      <c r="AH187" s="59"/>
      <c r="AI187" s="62">
        <v>185</v>
      </c>
      <c r="AJ187" s="63" t="str">
        <f ca="1">IF(design_loads!$E$5="","",IF($AI187&gt;INDEX($AG$3:$AG$16,MATCH(design_loads!$E$5,$AE$3:$AE$16)),"&lt;scroll up&gt;",OFFSET(OFFSET('NBCC_C-2'!$B$1,INDEX($AF$3:$AF$16,MATCH(design_loads!$E$5,$AE$3:$AE$16))-1,0),$AI187-1,0)))</f>
        <v>&lt;scroll up&gt;</v>
      </c>
      <c r="AK187" s="63" t="str">
        <f ca="1">IF(design_loads!$E$6="","",IF($AI187&gt;INDEX($AG$3:$AG$16,MATCH(design_loads!$E$6,$AE$3:$AE$16)),"&lt;scroll up&gt;",OFFSET(OFFSET('NBCC_C-2'!$B$1,INDEX($AF$3:$AF$16,MATCH(design_loads!$E$6,$AE$3:$AE$16))-1,0),$AI187-1,0)))</f>
        <v/>
      </c>
      <c r="AL187" s="63" t="str">
        <f ca="1">IF(design_loads!$E$7="","",IF($AI187&gt;INDEX($AG$3:$AG$16,MATCH(design_loads!$E$7,$AE$3:$AE$16)),"&lt;scroll up&gt;",OFFSET(OFFSET('NBCC_C-2'!$B$1,INDEX($AF$3:$AF$16,MATCH(design_loads!$E$7,$AE$3:$AE$16))-1,0),$AI187-1,0)))</f>
        <v/>
      </c>
      <c r="AM187" s="63" t="str">
        <f ca="1">IF(design_loads!$E$8="","",IF($AI187&gt;INDEX($AG$3:$AG$16,MATCH(design_loads!$E$8,$AE$3:$AE$16)),"&lt;scroll up&gt;",OFFSET(OFFSET('NBCC_C-2'!$B$1,INDEX($AF$3:$AF$16,MATCH(design_loads!$E$8,$AE$3:$AE$16))-1,0),$AI187-1,0)))</f>
        <v/>
      </c>
    </row>
    <row r="188" spans="2:39" x14ac:dyDescent="0.2">
      <c r="B188" s="66" t="s">
        <v>560</v>
      </c>
      <c r="C188" s="67" t="s">
        <v>224</v>
      </c>
      <c r="D188" s="68">
        <v>36</v>
      </c>
      <c r="F188" s="66" t="s">
        <v>561</v>
      </c>
      <c r="G188" s="67" t="s">
        <v>265</v>
      </c>
      <c r="H188" s="68">
        <v>2</v>
      </c>
      <c r="I188" s="70">
        <v>195</v>
      </c>
      <c r="J188" s="70">
        <v>-44</v>
      </c>
      <c r="K188" s="70">
        <v>-46</v>
      </c>
      <c r="L188" s="70">
        <v>22</v>
      </c>
      <c r="M188" s="70">
        <v>16</v>
      </c>
      <c r="N188" s="70">
        <v>9300</v>
      </c>
      <c r="O188" s="70">
        <v>5</v>
      </c>
      <c r="P188" s="71">
        <v>60</v>
      </c>
      <c r="Q188" s="71">
        <v>160</v>
      </c>
      <c r="R188" s="72">
        <v>0.7</v>
      </c>
      <c r="S188" s="71">
        <v>250</v>
      </c>
      <c r="T188" s="71">
        <v>80</v>
      </c>
      <c r="U188" s="73">
        <v>3</v>
      </c>
      <c r="V188" s="73">
        <v>0.1</v>
      </c>
      <c r="W188" s="72">
        <v>0.38</v>
      </c>
      <c r="X188" s="72">
        <v>0.53</v>
      </c>
      <c r="Y188" s="72">
        <v>0.12</v>
      </c>
      <c r="Z188" s="74">
        <v>5.6000000000000001E-2</v>
      </c>
      <c r="AA188" s="74">
        <v>2.3E-2</v>
      </c>
      <c r="AB188" s="74">
        <v>8.9999999999999993E-3</v>
      </c>
      <c r="AC188" s="74">
        <v>5.8999999999999997E-2</v>
      </c>
      <c r="AE188" s="59"/>
      <c r="AF188" s="59"/>
      <c r="AG188" s="59"/>
      <c r="AH188" s="59"/>
      <c r="AI188" s="62">
        <v>186</v>
      </c>
      <c r="AJ188" s="63" t="str">
        <f ca="1">IF(design_loads!$E$5="","",IF($AI188&gt;INDEX($AG$3:$AG$16,MATCH(design_loads!$E$5,$AE$3:$AE$16)),"&lt;scroll up&gt;",OFFSET(OFFSET('NBCC_C-2'!$B$1,INDEX($AF$3:$AF$16,MATCH(design_loads!$E$5,$AE$3:$AE$16))-1,0),$AI188-1,0)))</f>
        <v>&lt;scroll up&gt;</v>
      </c>
      <c r="AK188" s="63" t="str">
        <f ca="1">IF(design_loads!$E$6="","",IF($AI188&gt;INDEX($AG$3:$AG$16,MATCH(design_loads!$E$6,$AE$3:$AE$16)),"&lt;scroll up&gt;",OFFSET(OFFSET('NBCC_C-2'!$B$1,INDEX($AF$3:$AF$16,MATCH(design_loads!$E$6,$AE$3:$AE$16))-1,0),$AI188-1,0)))</f>
        <v/>
      </c>
      <c r="AL188" s="63" t="str">
        <f ca="1">IF(design_loads!$E$7="","",IF($AI188&gt;INDEX($AG$3:$AG$16,MATCH(design_loads!$E$7,$AE$3:$AE$16)),"&lt;scroll up&gt;",OFFSET(OFFSET('NBCC_C-2'!$B$1,INDEX($AF$3:$AF$16,MATCH(design_loads!$E$7,$AE$3:$AE$16))-1,0),$AI188-1,0)))</f>
        <v/>
      </c>
      <c r="AM188" s="63" t="str">
        <f ca="1">IF(design_loads!$E$8="","",IF($AI188&gt;INDEX($AG$3:$AG$16,MATCH(design_loads!$E$8,$AE$3:$AE$16)),"&lt;scroll up&gt;",OFFSET(OFFSET('NBCC_C-2'!$B$1,INDEX($AF$3:$AF$16,MATCH(design_loads!$E$8,$AE$3:$AE$16))-1,0),$AI188-1,0)))</f>
        <v/>
      </c>
    </row>
    <row r="189" spans="2:39" x14ac:dyDescent="0.2">
      <c r="B189" s="66" t="s">
        <v>562</v>
      </c>
      <c r="C189" s="67" t="s">
        <v>224</v>
      </c>
      <c r="D189" s="68">
        <v>37</v>
      </c>
      <c r="F189" s="66" t="s">
        <v>331</v>
      </c>
      <c r="G189" s="67" t="s">
        <v>247</v>
      </c>
      <c r="H189" s="68">
        <v>40</v>
      </c>
      <c r="I189" s="76">
        <v>930</v>
      </c>
      <c r="J189" s="70">
        <v>-34</v>
      </c>
      <c r="K189" s="70">
        <v>-37</v>
      </c>
      <c r="L189" s="70">
        <v>27</v>
      </c>
      <c r="M189" s="70">
        <v>19</v>
      </c>
      <c r="N189" s="76">
        <v>5700</v>
      </c>
      <c r="O189" s="76">
        <v>17</v>
      </c>
      <c r="P189" s="77">
        <v>105</v>
      </c>
      <c r="Q189" s="77">
        <v>400</v>
      </c>
      <c r="R189" s="72">
        <v>0.56999999999999995</v>
      </c>
      <c r="S189" s="77">
        <v>540</v>
      </c>
      <c r="T189" s="77">
        <v>160</v>
      </c>
      <c r="U189" s="73">
        <v>2</v>
      </c>
      <c r="V189" s="73">
        <v>0.1</v>
      </c>
      <c r="W189" s="72">
        <v>0.32</v>
      </c>
      <c r="X189" s="72">
        <v>0.43</v>
      </c>
      <c r="Y189" s="72">
        <v>0.12</v>
      </c>
      <c r="Z189" s="74">
        <v>0.06</v>
      </c>
      <c r="AA189" s="74">
        <v>0.02</v>
      </c>
      <c r="AB189" s="74">
        <v>0.01</v>
      </c>
      <c r="AC189" s="74">
        <v>7.0000000000000007E-2</v>
      </c>
      <c r="AE189" s="59"/>
      <c r="AF189" s="59"/>
      <c r="AG189" s="59"/>
      <c r="AH189" s="59"/>
      <c r="AI189" s="62">
        <v>187</v>
      </c>
      <c r="AJ189" s="63" t="str">
        <f ca="1">IF(design_loads!$E$5="","",IF($AI189&gt;INDEX($AG$3:$AG$16,MATCH(design_loads!$E$5,$AE$3:$AE$16)),"&lt;scroll up&gt;",OFFSET(OFFSET('NBCC_C-2'!$B$1,INDEX($AF$3:$AF$16,MATCH(design_loads!$E$5,$AE$3:$AE$16))-1,0),$AI189-1,0)))</f>
        <v>&lt;scroll up&gt;</v>
      </c>
      <c r="AK189" s="63" t="str">
        <f ca="1">IF(design_loads!$E$6="","",IF($AI189&gt;INDEX($AG$3:$AG$16,MATCH(design_loads!$E$6,$AE$3:$AE$16)),"&lt;scroll up&gt;",OFFSET(OFFSET('NBCC_C-2'!$B$1,INDEX($AF$3:$AF$16,MATCH(design_loads!$E$6,$AE$3:$AE$16))-1,0),$AI189-1,0)))</f>
        <v/>
      </c>
      <c r="AL189" s="63" t="str">
        <f ca="1">IF(design_loads!$E$7="","",IF($AI189&gt;INDEX($AG$3:$AG$16,MATCH(design_loads!$E$7,$AE$3:$AE$16)),"&lt;scroll up&gt;",OFFSET(OFFSET('NBCC_C-2'!$B$1,INDEX($AF$3:$AF$16,MATCH(design_loads!$E$7,$AE$3:$AE$16))-1,0),$AI189-1,0)))</f>
        <v/>
      </c>
      <c r="AM189" s="63" t="str">
        <f ca="1">IF(design_loads!$E$8="","",IF($AI189&gt;INDEX($AG$3:$AG$16,MATCH(design_loads!$E$8,$AE$3:$AE$16)),"&lt;scroll up&gt;",OFFSET(OFFSET('NBCC_C-2'!$B$1,INDEX($AF$3:$AF$16,MATCH(design_loads!$E$8,$AE$3:$AE$16))-1,0),$AI189-1,0)))</f>
        <v/>
      </c>
    </row>
    <row r="190" spans="2:39" x14ac:dyDescent="0.2">
      <c r="B190" s="66" t="s">
        <v>563</v>
      </c>
      <c r="C190" s="67" t="s">
        <v>224</v>
      </c>
      <c r="D190" s="68">
        <v>38</v>
      </c>
      <c r="F190" s="66" t="s">
        <v>564</v>
      </c>
      <c r="G190" s="67" t="s">
        <v>264</v>
      </c>
      <c r="H190" s="68">
        <v>53</v>
      </c>
      <c r="I190" s="70">
        <v>365</v>
      </c>
      <c r="J190" s="70">
        <v>-34</v>
      </c>
      <c r="K190" s="70">
        <v>-36</v>
      </c>
      <c r="L190" s="70">
        <v>28</v>
      </c>
      <c r="M190" s="70">
        <v>22</v>
      </c>
      <c r="N190" s="70">
        <v>5950</v>
      </c>
      <c r="O190" s="70">
        <v>25</v>
      </c>
      <c r="P190" s="71">
        <v>108</v>
      </c>
      <c r="Q190" s="71">
        <v>510</v>
      </c>
      <c r="R190" s="72">
        <v>0.65</v>
      </c>
      <c r="S190" s="71">
        <v>680</v>
      </c>
      <c r="T190" s="71">
        <v>120</v>
      </c>
      <c r="U190" s="73">
        <v>2.4</v>
      </c>
      <c r="V190" s="73">
        <v>0.3</v>
      </c>
      <c r="W190" s="72">
        <v>0.23</v>
      </c>
      <c r="X190" s="72">
        <v>0.31</v>
      </c>
      <c r="Y190" s="72">
        <v>0.12</v>
      </c>
      <c r="Z190" s="74">
        <v>5.6000000000000001E-2</v>
      </c>
      <c r="AA190" s="74">
        <v>2.3E-2</v>
      </c>
      <c r="AB190" s="74">
        <v>6.0000000000000001E-3</v>
      </c>
      <c r="AC190" s="74">
        <v>5.8999999999999997E-2</v>
      </c>
      <c r="AE190" s="59"/>
      <c r="AF190" s="59"/>
      <c r="AG190" s="59"/>
      <c r="AH190" s="59"/>
      <c r="AI190" s="62">
        <v>188</v>
      </c>
      <c r="AJ190" s="63" t="str">
        <f ca="1">IF(design_loads!$E$5="","",IF($AI190&gt;INDEX($AG$3:$AG$16,MATCH(design_loads!$E$5,$AE$3:$AE$16)),"&lt;scroll up&gt;",OFFSET(OFFSET('NBCC_C-2'!$B$1,INDEX($AF$3:$AF$16,MATCH(design_loads!$E$5,$AE$3:$AE$16))-1,0),$AI190-1,0)))</f>
        <v>&lt;scroll up&gt;</v>
      </c>
      <c r="AK190" s="63" t="str">
        <f ca="1">IF(design_loads!$E$6="","",IF($AI190&gt;INDEX($AG$3:$AG$16,MATCH(design_loads!$E$6,$AE$3:$AE$16)),"&lt;scroll up&gt;",OFFSET(OFFSET('NBCC_C-2'!$B$1,INDEX($AF$3:$AF$16,MATCH(design_loads!$E$6,$AE$3:$AE$16))-1,0),$AI190-1,0)))</f>
        <v/>
      </c>
      <c r="AL190" s="63" t="str">
        <f ca="1">IF(design_loads!$E$7="","",IF($AI190&gt;INDEX($AG$3:$AG$16,MATCH(design_loads!$E$7,$AE$3:$AE$16)),"&lt;scroll up&gt;",OFFSET(OFFSET('NBCC_C-2'!$B$1,INDEX($AF$3:$AF$16,MATCH(design_loads!$E$7,$AE$3:$AE$16))-1,0),$AI190-1,0)))</f>
        <v/>
      </c>
      <c r="AM190" s="63" t="str">
        <f ca="1">IF(design_loads!$E$8="","",IF($AI190&gt;INDEX($AG$3:$AG$16,MATCH(design_loads!$E$8,$AE$3:$AE$16)),"&lt;scroll up&gt;",OFFSET(OFFSET('NBCC_C-2'!$B$1,INDEX($AF$3:$AF$16,MATCH(design_loads!$E$8,$AE$3:$AE$16))-1,0),$AI190-1,0)))</f>
        <v/>
      </c>
    </row>
    <row r="191" spans="2:39" x14ac:dyDescent="0.2">
      <c r="B191" s="66" t="s">
        <v>565</v>
      </c>
      <c r="C191" s="67" t="s">
        <v>224</v>
      </c>
      <c r="D191" s="68">
        <v>39</v>
      </c>
      <c r="F191" s="66" t="s">
        <v>333</v>
      </c>
      <c r="G191" s="67" t="s">
        <v>247</v>
      </c>
      <c r="H191" s="68">
        <v>41</v>
      </c>
      <c r="I191" s="76">
        <v>645</v>
      </c>
      <c r="J191" s="70">
        <v>-32</v>
      </c>
      <c r="K191" s="70">
        <v>-34</v>
      </c>
      <c r="L191" s="70">
        <v>28</v>
      </c>
      <c r="M191" s="70">
        <v>19</v>
      </c>
      <c r="N191" s="76">
        <v>5400</v>
      </c>
      <c r="O191" s="76">
        <v>23</v>
      </c>
      <c r="P191" s="77">
        <v>97</v>
      </c>
      <c r="Q191" s="77">
        <v>360</v>
      </c>
      <c r="R191" s="72">
        <v>0.48</v>
      </c>
      <c r="S191" s="77">
        <v>460</v>
      </c>
      <c r="T191" s="77">
        <v>160</v>
      </c>
      <c r="U191" s="73">
        <v>1.7</v>
      </c>
      <c r="V191" s="73">
        <v>0.1</v>
      </c>
      <c r="W191" s="72">
        <v>0.32</v>
      </c>
      <c r="X191" s="72">
        <v>0.45</v>
      </c>
      <c r="Y191" s="72">
        <v>0.12</v>
      </c>
      <c r="Z191" s="74">
        <v>5.6000000000000001E-2</v>
      </c>
      <c r="AA191" s="74">
        <v>2.3E-2</v>
      </c>
      <c r="AB191" s="74">
        <v>8.0000000000000002E-3</v>
      </c>
      <c r="AC191" s="74">
        <v>5.8999999999999997E-2</v>
      </c>
      <c r="AE191" s="59"/>
      <c r="AF191" s="59"/>
      <c r="AG191" s="59"/>
      <c r="AH191" s="59"/>
      <c r="AI191" s="62">
        <v>189</v>
      </c>
      <c r="AJ191" s="63" t="str">
        <f ca="1">IF(design_loads!$E$5="","",IF($AI191&gt;INDEX($AG$3:$AG$16,MATCH(design_loads!$E$5,$AE$3:$AE$16)),"&lt;scroll up&gt;",OFFSET(OFFSET('NBCC_C-2'!$B$1,INDEX($AF$3:$AF$16,MATCH(design_loads!$E$5,$AE$3:$AE$16))-1,0),$AI191-1,0)))</f>
        <v>&lt;scroll up&gt;</v>
      </c>
      <c r="AK191" s="63" t="str">
        <f ca="1">IF(design_loads!$E$6="","",IF($AI191&gt;INDEX($AG$3:$AG$16,MATCH(design_loads!$E$6,$AE$3:$AE$16)),"&lt;scroll up&gt;",OFFSET(OFFSET('NBCC_C-2'!$B$1,INDEX($AF$3:$AF$16,MATCH(design_loads!$E$6,$AE$3:$AE$16))-1,0),$AI191-1,0)))</f>
        <v/>
      </c>
      <c r="AL191" s="63" t="str">
        <f ca="1">IF(design_loads!$E$7="","",IF($AI191&gt;INDEX($AG$3:$AG$16,MATCH(design_loads!$E$7,$AE$3:$AE$16)),"&lt;scroll up&gt;",OFFSET(OFFSET('NBCC_C-2'!$B$1,INDEX($AF$3:$AF$16,MATCH(design_loads!$E$7,$AE$3:$AE$16))-1,0),$AI191-1,0)))</f>
        <v/>
      </c>
      <c r="AM191" s="63" t="str">
        <f ca="1">IF(design_loads!$E$8="","",IF($AI191&gt;INDEX($AG$3:$AG$16,MATCH(design_loads!$E$8,$AE$3:$AE$16)),"&lt;scroll up&gt;",OFFSET(OFFSET('NBCC_C-2'!$B$1,INDEX($AF$3:$AF$16,MATCH(design_loads!$E$8,$AE$3:$AE$16))-1,0),$AI191-1,0)))</f>
        <v/>
      </c>
    </row>
    <row r="192" spans="2:39" x14ac:dyDescent="0.2">
      <c r="B192" s="66" t="s">
        <v>566</v>
      </c>
      <c r="C192" s="67" t="s">
        <v>224</v>
      </c>
      <c r="D192" s="68">
        <v>40</v>
      </c>
      <c r="F192" s="66" t="s">
        <v>567</v>
      </c>
      <c r="G192" s="67" t="s">
        <v>254</v>
      </c>
      <c r="H192" s="68">
        <v>5</v>
      </c>
      <c r="I192" s="70">
        <v>160</v>
      </c>
      <c r="J192" s="70">
        <v>-27</v>
      </c>
      <c r="K192" s="70">
        <v>-29</v>
      </c>
      <c r="L192" s="70">
        <v>28</v>
      </c>
      <c r="M192" s="70">
        <v>22</v>
      </c>
      <c r="N192" s="70">
        <v>5400</v>
      </c>
      <c r="O192" s="70">
        <v>23</v>
      </c>
      <c r="P192" s="71">
        <v>91</v>
      </c>
      <c r="Q192" s="71">
        <v>750</v>
      </c>
      <c r="R192" s="72">
        <v>0.94</v>
      </c>
      <c r="S192" s="71">
        <v>1000</v>
      </c>
      <c r="T192" s="71">
        <v>160</v>
      </c>
      <c r="U192" s="73">
        <v>3.4</v>
      </c>
      <c r="V192" s="73">
        <v>0.6</v>
      </c>
      <c r="W192" s="72">
        <v>0.3</v>
      </c>
      <c r="X192" s="72">
        <v>0.44</v>
      </c>
      <c r="Y192" s="72">
        <v>0.41</v>
      </c>
      <c r="Z192" s="74">
        <v>0.25</v>
      </c>
      <c r="AA192" s="74">
        <v>0.12</v>
      </c>
      <c r="AB192" s="74">
        <v>4.1000000000000002E-2</v>
      </c>
      <c r="AC192" s="74">
        <v>0.22</v>
      </c>
      <c r="AE192" s="59"/>
      <c r="AF192" s="59"/>
      <c r="AG192" s="59"/>
      <c r="AH192" s="59"/>
      <c r="AI192" s="62">
        <v>190</v>
      </c>
      <c r="AJ192" s="63" t="str">
        <f ca="1">IF(design_loads!$E$5="","",IF($AI192&gt;INDEX($AG$3:$AG$16,MATCH(design_loads!$E$5,$AE$3:$AE$16)),"&lt;scroll up&gt;",OFFSET(OFFSET('NBCC_C-2'!$B$1,INDEX($AF$3:$AF$16,MATCH(design_loads!$E$5,$AE$3:$AE$16))-1,0),$AI192-1,0)))</f>
        <v>&lt;scroll up&gt;</v>
      </c>
      <c r="AK192" s="63" t="str">
        <f ca="1">IF(design_loads!$E$6="","",IF($AI192&gt;INDEX($AG$3:$AG$16,MATCH(design_loads!$E$6,$AE$3:$AE$16)),"&lt;scroll up&gt;",OFFSET(OFFSET('NBCC_C-2'!$B$1,INDEX($AF$3:$AF$16,MATCH(design_loads!$E$6,$AE$3:$AE$16))-1,0),$AI192-1,0)))</f>
        <v/>
      </c>
      <c r="AL192" s="63" t="str">
        <f ca="1">IF(design_loads!$E$7="","",IF($AI192&gt;INDEX($AG$3:$AG$16,MATCH(design_loads!$E$7,$AE$3:$AE$16)),"&lt;scroll up&gt;",OFFSET(OFFSET('NBCC_C-2'!$B$1,INDEX($AF$3:$AF$16,MATCH(design_loads!$E$7,$AE$3:$AE$16))-1,0),$AI192-1,0)))</f>
        <v/>
      </c>
      <c r="AM192" s="63" t="str">
        <f ca="1">IF(design_loads!$E$8="","",IF($AI192&gt;INDEX($AG$3:$AG$16,MATCH(design_loads!$E$8,$AE$3:$AE$16)),"&lt;scroll up&gt;",OFFSET(OFFSET('NBCC_C-2'!$B$1,INDEX($AF$3:$AF$16,MATCH(design_loads!$E$8,$AE$3:$AE$16))-1,0),$AI192-1,0)))</f>
        <v/>
      </c>
    </row>
    <row r="193" spans="2:39" x14ac:dyDescent="0.2">
      <c r="B193" s="66" t="s">
        <v>568</v>
      </c>
      <c r="C193" s="67" t="s">
        <v>224</v>
      </c>
      <c r="D193" s="68">
        <v>41</v>
      </c>
      <c r="F193" s="66" t="s">
        <v>334</v>
      </c>
      <c r="G193" s="67" t="s">
        <v>247</v>
      </c>
      <c r="H193" s="68">
        <v>42</v>
      </c>
      <c r="I193" s="76">
        <v>920</v>
      </c>
      <c r="J193" s="70">
        <v>-34</v>
      </c>
      <c r="K193" s="70">
        <v>-37</v>
      </c>
      <c r="L193" s="70">
        <v>28</v>
      </c>
      <c r="M193" s="70">
        <v>18</v>
      </c>
      <c r="N193" s="76">
        <v>5900</v>
      </c>
      <c r="O193" s="76">
        <v>18</v>
      </c>
      <c r="P193" s="77">
        <v>81</v>
      </c>
      <c r="Q193" s="77">
        <v>450</v>
      </c>
      <c r="R193" s="72">
        <v>0.63</v>
      </c>
      <c r="S193" s="77">
        <v>570</v>
      </c>
      <c r="T193" s="77">
        <v>100</v>
      </c>
      <c r="U193" s="73">
        <v>2.1</v>
      </c>
      <c r="V193" s="73">
        <v>0.1</v>
      </c>
      <c r="W193" s="72">
        <v>0.36</v>
      </c>
      <c r="X193" s="72">
        <v>0.46</v>
      </c>
      <c r="Y193" s="72">
        <v>0.15</v>
      </c>
      <c r="Z193" s="74">
        <v>8.3000000000000004E-2</v>
      </c>
      <c r="AA193" s="74">
        <v>3.7999999999999999E-2</v>
      </c>
      <c r="AB193" s="74">
        <v>2.1000000000000001E-2</v>
      </c>
      <c r="AC193" s="74">
        <v>8.3000000000000004E-2</v>
      </c>
      <c r="AE193" s="59"/>
      <c r="AF193" s="59"/>
      <c r="AG193" s="59"/>
      <c r="AH193" s="59"/>
      <c r="AI193" s="62">
        <v>191</v>
      </c>
      <c r="AJ193" s="63" t="str">
        <f ca="1">IF(design_loads!$E$5="","",IF($AI193&gt;INDEX($AG$3:$AG$16,MATCH(design_loads!$E$5,$AE$3:$AE$16)),"&lt;scroll up&gt;",OFFSET(OFFSET('NBCC_C-2'!$B$1,INDEX($AF$3:$AF$16,MATCH(design_loads!$E$5,$AE$3:$AE$16))-1,0),$AI193-1,0)))</f>
        <v>&lt;scroll up&gt;</v>
      </c>
      <c r="AK193" s="63" t="str">
        <f ca="1">IF(design_loads!$E$6="","",IF($AI193&gt;INDEX($AG$3:$AG$16,MATCH(design_loads!$E$6,$AE$3:$AE$16)),"&lt;scroll up&gt;",OFFSET(OFFSET('NBCC_C-2'!$B$1,INDEX($AF$3:$AF$16,MATCH(design_loads!$E$6,$AE$3:$AE$16))-1,0),$AI193-1,0)))</f>
        <v/>
      </c>
      <c r="AL193" s="63" t="str">
        <f ca="1">IF(design_loads!$E$7="","",IF($AI193&gt;INDEX($AG$3:$AG$16,MATCH(design_loads!$E$7,$AE$3:$AE$16)),"&lt;scroll up&gt;",OFFSET(OFFSET('NBCC_C-2'!$B$1,INDEX($AF$3:$AF$16,MATCH(design_loads!$E$7,$AE$3:$AE$16))-1,0),$AI193-1,0)))</f>
        <v/>
      </c>
      <c r="AM193" s="63" t="str">
        <f ca="1">IF(design_loads!$E$8="","",IF($AI193&gt;INDEX($AG$3:$AG$16,MATCH(design_loads!$E$8,$AE$3:$AE$16)),"&lt;scroll up&gt;",OFFSET(OFFSET('NBCC_C-2'!$B$1,INDEX($AF$3:$AF$16,MATCH(design_loads!$E$8,$AE$3:$AE$16))-1,0),$AI193-1,0)))</f>
        <v/>
      </c>
    </row>
    <row r="194" spans="2:39" x14ac:dyDescent="0.2">
      <c r="B194" s="66" t="s">
        <v>569</v>
      </c>
      <c r="C194" s="67" t="s">
        <v>224</v>
      </c>
      <c r="D194" s="68">
        <v>42</v>
      </c>
      <c r="F194" s="66" t="s">
        <v>335</v>
      </c>
      <c r="G194" s="67" t="s">
        <v>247</v>
      </c>
      <c r="H194" s="68">
        <v>43</v>
      </c>
      <c r="I194" s="76">
        <v>598</v>
      </c>
      <c r="J194" s="70">
        <v>-38</v>
      </c>
      <c r="K194" s="70">
        <v>-40</v>
      </c>
      <c r="L194" s="70">
        <v>28</v>
      </c>
      <c r="M194" s="70">
        <v>20</v>
      </c>
      <c r="N194" s="76">
        <v>6200</v>
      </c>
      <c r="O194" s="76">
        <v>21</v>
      </c>
      <c r="P194" s="77">
        <v>75</v>
      </c>
      <c r="Q194" s="77">
        <v>330</v>
      </c>
      <c r="R194" s="72">
        <v>0.54</v>
      </c>
      <c r="S194" s="77">
        <v>440</v>
      </c>
      <c r="T194" s="77">
        <v>100</v>
      </c>
      <c r="U194" s="73">
        <v>1.9</v>
      </c>
      <c r="V194" s="73">
        <v>0.1</v>
      </c>
      <c r="W194" s="72">
        <v>0.25</v>
      </c>
      <c r="X194" s="72">
        <v>0.33</v>
      </c>
      <c r="Y194" s="72">
        <v>0.12</v>
      </c>
      <c r="Z194" s="74">
        <v>0.06</v>
      </c>
      <c r="AA194" s="74">
        <v>0.02</v>
      </c>
      <c r="AB194" s="74">
        <v>0.01</v>
      </c>
      <c r="AC194" s="74">
        <v>0.06</v>
      </c>
      <c r="AE194" s="59"/>
      <c r="AF194" s="59"/>
      <c r="AG194" s="59"/>
      <c r="AH194" s="59"/>
      <c r="AI194" s="62">
        <v>192</v>
      </c>
      <c r="AJ194" s="63" t="str">
        <f ca="1">IF(design_loads!$E$5="","",IF($AI194&gt;INDEX($AG$3:$AG$16,MATCH(design_loads!$E$5,$AE$3:$AE$16)),"&lt;scroll up&gt;",OFFSET(OFFSET('NBCC_C-2'!$B$1,INDEX($AF$3:$AF$16,MATCH(design_loads!$E$5,$AE$3:$AE$16))-1,0),$AI194-1,0)))</f>
        <v>&lt;scroll up&gt;</v>
      </c>
      <c r="AK194" s="63" t="str">
        <f ca="1">IF(design_loads!$E$6="","",IF($AI194&gt;INDEX($AG$3:$AG$16,MATCH(design_loads!$E$6,$AE$3:$AE$16)),"&lt;scroll up&gt;",OFFSET(OFFSET('NBCC_C-2'!$B$1,INDEX($AF$3:$AF$16,MATCH(design_loads!$E$6,$AE$3:$AE$16))-1,0),$AI194-1,0)))</f>
        <v/>
      </c>
      <c r="AL194" s="63" t="str">
        <f ca="1">IF(design_loads!$E$7="","",IF($AI194&gt;INDEX($AG$3:$AG$16,MATCH(design_loads!$E$7,$AE$3:$AE$16)),"&lt;scroll up&gt;",OFFSET(OFFSET('NBCC_C-2'!$B$1,INDEX($AF$3:$AF$16,MATCH(design_loads!$E$7,$AE$3:$AE$16))-1,0),$AI194-1,0)))</f>
        <v/>
      </c>
      <c r="AM194" s="63" t="str">
        <f ca="1">IF(design_loads!$E$8="","",IF($AI194&gt;INDEX($AG$3:$AG$16,MATCH(design_loads!$E$8,$AE$3:$AE$16)),"&lt;scroll up&gt;",OFFSET(OFFSET('NBCC_C-2'!$B$1,INDEX($AF$3:$AF$16,MATCH(design_loads!$E$8,$AE$3:$AE$16))-1,0),$AI194-1,0)))</f>
        <v/>
      </c>
    </row>
    <row r="195" spans="2:39" x14ac:dyDescent="0.2">
      <c r="B195" s="66" t="s">
        <v>570</v>
      </c>
      <c r="C195" s="67" t="s">
        <v>224</v>
      </c>
      <c r="D195" s="68">
        <v>43</v>
      </c>
      <c r="F195" s="66" t="s">
        <v>539</v>
      </c>
      <c r="G195" s="67" t="s">
        <v>224</v>
      </c>
      <c r="H195" s="68">
        <v>24</v>
      </c>
      <c r="I195" s="70">
        <v>1065</v>
      </c>
      <c r="J195" s="70">
        <v>-28</v>
      </c>
      <c r="K195" s="70">
        <v>-31</v>
      </c>
      <c r="L195" s="70">
        <v>29</v>
      </c>
      <c r="M195" s="70">
        <v>19</v>
      </c>
      <c r="N195" s="70">
        <v>4800</v>
      </c>
      <c r="O195" s="70">
        <v>13</v>
      </c>
      <c r="P195" s="71">
        <v>64</v>
      </c>
      <c r="Q195" s="71">
        <v>440</v>
      </c>
      <c r="R195" s="72">
        <v>0.48</v>
      </c>
      <c r="S195" s="71">
        <v>650</v>
      </c>
      <c r="T195" s="71">
        <v>100</v>
      </c>
      <c r="U195" s="73">
        <v>3.6</v>
      </c>
      <c r="V195" s="73">
        <v>0.2</v>
      </c>
      <c r="W195" s="72">
        <v>0.27</v>
      </c>
      <c r="X195" s="72">
        <v>0.42</v>
      </c>
      <c r="Y195" s="72">
        <v>0.27</v>
      </c>
      <c r="Z195" s="74">
        <v>0.16</v>
      </c>
      <c r="AA195" s="74">
        <v>0.08</v>
      </c>
      <c r="AB195" s="74">
        <v>4.4999999999999998E-2</v>
      </c>
      <c r="AC195" s="74">
        <v>0.14000000000000001</v>
      </c>
      <c r="AE195" s="59"/>
      <c r="AF195" s="59"/>
      <c r="AG195" s="59"/>
      <c r="AH195" s="59"/>
      <c r="AI195" s="62">
        <v>193</v>
      </c>
      <c r="AJ195" s="63" t="str">
        <f ca="1">IF(design_loads!$E$5="","",IF($AI195&gt;INDEX($AG$3:$AG$16,MATCH(design_loads!$E$5,$AE$3:$AE$16)),"&lt;scroll up&gt;",OFFSET(OFFSET('NBCC_C-2'!$B$1,INDEX($AF$3:$AF$16,MATCH(design_loads!$E$5,$AE$3:$AE$16))-1,0),$AI195-1,0)))</f>
        <v>&lt;scroll up&gt;</v>
      </c>
      <c r="AK195" s="63" t="str">
        <f ca="1">IF(design_loads!$E$6="","",IF($AI195&gt;INDEX($AG$3:$AG$16,MATCH(design_loads!$E$6,$AE$3:$AE$16)),"&lt;scroll up&gt;",OFFSET(OFFSET('NBCC_C-2'!$B$1,INDEX($AF$3:$AF$16,MATCH(design_loads!$E$6,$AE$3:$AE$16))-1,0),$AI195-1,0)))</f>
        <v/>
      </c>
      <c r="AL195" s="63" t="str">
        <f ca="1">IF(design_loads!$E$7="","",IF($AI195&gt;INDEX($AG$3:$AG$16,MATCH(design_loads!$E$7,$AE$3:$AE$16)),"&lt;scroll up&gt;",OFFSET(OFFSET('NBCC_C-2'!$B$1,INDEX($AF$3:$AF$16,MATCH(design_loads!$E$7,$AE$3:$AE$16))-1,0),$AI195-1,0)))</f>
        <v/>
      </c>
      <c r="AM195" s="63" t="str">
        <f ca="1">IF(design_loads!$E$8="","",IF($AI195&gt;INDEX($AG$3:$AG$16,MATCH(design_loads!$E$8,$AE$3:$AE$16)),"&lt;scroll up&gt;",OFFSET(OFFSET('NBCC_C-2'!$B$1,INDEX($AF$3:$AF$16,MATCH(design_loads!$E$8,$AE$3:$AE$16))-1,0),$AI195-1,0)))</f>
        <v/>
      </c>
    </row>
    <row r="196" spans="2:39" x14ac:dyDescent="0.2">
      <c r="B196" s="66" t="s">
        <v>571</v>
      </c>
      <c r="C196" s="67" t="s">
        <v>224</v>
      </c>
      <c r="D196" s="68">
        <v>44</v>
      </c>
      <c r="F196" s="66" t="s">
        <v>572</v>
      </c>
      <c r="G196" s="67" t="s">
        <v>264</v>
      </c>
      <c r="H196" s="68">
        <v>54</v>
      </c>
      <c r="I196" s="70">
        <v>220</v>
      </c>
      <c r="J196" s="70">
        <v>-24</v>
      </c>
      <c r="K196" s="70">
        <v>-26</v>
      </c>
      <c r="L196" s="70">
        <v>29</v>
      </c>
      <c r="M196" s="70">
        <v>22</v>
      </c>
      <c r="N196" s="70">
        <v>4400</v>
      </c>
      <c r="O196" s="70">
        <v>28</v>
      </c>
      <c r="P196" s="71">
        <v>97</v>
      </c>
      <c r="Q196" s="71">
        <v>720</v>
      </c>
      <c r="R196" s="72">
        <v>0.87</v>
      </c>
      <c r="S196" s="71">
        <v>950</v>
      </c>
      <c r="T196" s="71">
        <v>140</v>
      </c>
      <c r="U196" s="73">
        <v>2.6</v>
      </c>
      <c r="V196" s="73">
        <v>0.4</v>
      </c>
      <c r="W196" s="72">
        <v>0.24</v>
      </c>
      <c r="X196" s="72">
        <v>0.36</v>
      </c>
      <c r="Y196" s="72">
        <v>0.15</v>
      </c>
      <c r="Z196" s="74">
        <v>9.1999999999999998E-2</v>
      </c>
      <c r="AA196" s="74">
        <v>4.8000000000000001E-2</v>
      </c>
      <c r="AB196" s="74">
        <v>1.4E-2</v>
      </c>
      <c r="AC196" s="74">
        <v>7.0000000000000007E-2</v>
      </c>
      <c r="AE196" s="59"/>
      <c r="AF196" s="59"/>
      <c r="AG196" s="59"/>
      <c r="AH196" s="59"/>
      <c r="AI196" s="62">
        <v>194</v>
      </c>
      <c r="AJ196" s="63" t="str">
        <f ca="1">IF(design_loads!$E$5="","",IF($AI196&gt;INDEX($AG$3:$AG$16,MATCH(design_loads!$E$5,$AE$3:$AE$16)),"&lt;scroll up&gt;",OFFSET(OFFSET('NBCC_C-2'!$B$1,INDEX($AF$3:$AF$16,MATCH(design_loads!$E$5,$AE$3:$AE$16))-1,0),$AI196-1,0)))</f>
        <v>&lt;scroll up&gt;</v>
      </c>
      <c r="AK196" s="63" t="str">
        <f ca="1">IF(design_loads!$E$6="","",IF($AI196&gt;INDEX($AG$3:$AG$16,MATCH(design_loads!$E$6,$AE$3:$AE$16)),"&lt;scroll up&gt;",OFFSET(OFFSET('NBCC_C-2'!$B$1,INDEX($AF$3:$AF$16,MATCH(design_loads!$E$6,$AE$3:$AE$16))-1,0),$AI196-1,0)))</f>
        <v/>
      </c>
      <c r="AL196" s="63" t="str">
        <f ca="1">IF(design_loads!$E$7="","",IF($AI196&gt;INDEX($AG$3:$AG$16,MATCH(design_loads!$E$7,$AE$3:$AE$16)),"&lt;scroll up&gt;",OFFSET(OFFSET('NBCC_C-2'!$B$1,INDEX($AF$3:$AF$16,MATCH(design_loads!$E$7,$AE$3:$AE$16))-1,0),$AI196-1,0)))</f>
        <v/>
      </c>
      <c r="AM196" s="63" t="str">
        <f ca="1">IF(design_loads!$E$8="","",IF($AI196&gt;INDEX($AG$3:$AG$16,MATCH(design_loads!$E$8,$AE$3:$AE$16)),"&lt;scroll up&gt;",OFFSET(OFFSET('NBCC_C-2'!$B$1,INDEX($AF$3:$AF$16,MATCH(design_loads!$E$8,$AE$3:$AE$16))-1,0),$AI196-1,0)))</f>
        <v/>
      </c>
    </row>
    <row r="197" spans="2:39" x14ac:dyDescent="0.2">
      <c r="B197" s="66" t="s">
        <v>573</v>
      </c>
      <c r="C197" s="67" t="s">
        <v>224</v>
      </c>
      <c r="D197" s="68">
        <v>45</v>
      </c>
      <c r="F197" s="66" t="s">
        <v>337</v>
      </c>
      <c r="G197" s="67" t="s">
        <v>247</v>
      </c>
      <c r="H197" s="68">
        <v>44</v>
      </c>
      <c r="I197" s="76">
        <v>220</v>
      </c>
      <c r="J197" s="70">
        <v>-41</v>
      </c>
      <c r="K197" s="70">
        <v>-44</v>
      </c>
      <c r="L197" s="70">
        <v>27</v>
      </c>
      <c r="M197" s="70">
        <v>19</v>
      </c>
      <c r="N197" s="76">
        <v>7100</v>
      </c>
      <c r="O197" s="76">
        <v>10</v>
      </c>
      <c r="P197" s="77">
        <v>86</v>
      </c>
      <c r="Q197" s="77">
        <v>250</v>
      </c>
      <c r="R197" s="72">
        <v>0.56000000000000005</v>
      </c>
      <c r="S197" s="77">
        <v>390</v>
      </c>
      <c r="T197" s="77">
        <v>80</v>
      </c>
      <c r="U197" s="73">
        <v>1.9</v>
      </c>
      <c r="V197" s="73">
        <v>0.1</v>
      </c>
      <c r="W197" s="72">
        <v>0.31</v>
      </c>
      <c r="X197" s="72">
        <v>0.41</v>
      </c>
      <c r="Y197" s="72">
        <v>0.12</v>
      </c>
      <c r="Z197" s="74">
        <v>5.6000000000000001E-2</v>
      </c>
      <c r="AA197" s="74">
        <v>2.3E-2</v>
      </c>
      <c r="AB197" s="74">
        <v>6.0000000000000001E-3</v>
      </c>
      <c r="AC197" s="74">
        <v>5.8999999999999997E-2</v>
      </c>
      <c r="AE197" s="59"/>
      <c r="AF197" s="59"/>
      <c r="AG197" s="59"/>
      <c r="AH197" s="59"/>
      <c r="AI197" s="62">
        <v>195</v>
      </c>
      <c r="AJ197" s="63" t="str">
        <f ca="1">IF(design_loads!$E$5="","",IF($AI197&gt;INDEX($AG$3:$AG$16,MATCH(design_loads!$E$5,$AE$3:$AE$16)),"&lt;scroll up&gt;",OFFSET(OFFSET('NBCC_C-2'!$B$1,INDEX($AF$3:$AF$16,MATCH(design_loads!$E$5,$AE$3:$AE$16))-1,0),$AI197-1,0)))</f>
        <v>&lt;scroll up&gt;</v>
      </c>
      <c r="AK197" s="63" t="str">
        <f ca="1">IF(design_loads!$E$6="","",IF($AI197&gt;INDEX($AG$3:$AG$16,MATCH(design_loads!$E$6,$AE$3:$AE$16)),"&lt;scroll up&gt;",OFFSET(OFFSET('NBCC_C-2'!$B$1,INDEX($AF$3:$AF$16,MATCH(design_loads!$E$6,$AE$3:$AE$16))-1,0),$AI197-1,0)))</f>
        <v/>
      </c>
      <c r="AL197" s="63" t="str">
        <f ca="1">IF(design_loads!$E$7="","",IF($AI197&gt;INDEX($AG$3:$AG$16,MATCH(design_loads!$E$7,$AE$3:$AE$16)),"&lt;scroll up&gt;",OFFSET(OFFSET('NBCC_C-2'!$B$1,INDEX($AF$3:$AF$16,MATCH(design_loads!$E$7,$AE$3:$AE$16))-1,0),$AI197-1,0)))</f>
        <v/>
      </c>
      <c r="AM197" s="63" t="str">
        <f ca="1">IF(design_loads!$E$8="","",IF($AI197&gt;INDEX($AG$3:$AG$16,MATCH(design_loads!$E$8,$AE$3:$AE$16)),"&lt;scroll up&gt;",OFFSET(OFFSET('NBCC_C-2'!$B$1,INDEX($AF$3:$AF$16,MATCH(design_loads!$E$8,$AE$3:$AE$16))-1,0),$AI197-1,0)))</f>
        <v/>
      </c>
    </row>
    <row r="198" spans="2:39" x14ac:dyDescent="0.2">
      <c r="B198" s="66" t="s">
        <v>574</v>
      </c>
      <c r="C198" s="67" t="s">
        <v>224</v>
      </c>
      <c r="D198" s="68">
        <v>46</v>
      </c>
      <c r="F198" s="66" t="s">
        <v>575</v>
      </c>
      <c r="G198" s="67" t="s">
        <v>264</v>
      </c>
      <c r="H198" s="68">
        <v>55</v>
      </c>
      <c r="I198" s="70">
        <v>310</v>
      </c>
      <c r="J198" s="70">
        <v>-18</v>
      </c>
      <c r="K198" s="70">
        <v>-20</v>
      </c>
      <c r="L198" s="70">
        <v>29</v>
      </c>
      <c r="M198" s="70">
        <v>23</v>
      </c>
      <c r="N198" s="70">
        <v>4200</v>
      </c>
      <c r="O198" s="70">
        <v>28</v>
      </c>
      <c r="P198" s="71">
        <v>119</v>
      </c>
      <c r="Q198" s="71">
        <v>830</v>
      </c>
      <c r="R198" s="72">
        <v>0.94</v>
      </c>
      <c r="S198" s="71">
        <v>950</v>
      </c>
      <c r="T198" s="71">
        <v>160</v>
      </c>
      <c r="U198" s="73">
        <v>2</v>
      </c>
      <c r="V198" s="73">
        <v>0.4</v>
      </c>
      <c r="W198" s="72">
        <v>0.33</v>
      </c>
      <c r="X198" s="72">
        <v>0.48</v>
      </c>
      <c r="Y198" s="72">
        <v>0.18</v>
      </c>
      <c r="Z198" s="74">
        <v>9.4E-2</v>
      </c>
      <c r="AA198" s="74">
        <v>4.8000000000000001E-2</v>
      </c>
      <c r="AB198" s="74">
        <v>1.2999999999999999E-2</v>
      </c>
      <c r="AC198" s="74">
        <v>0.12</v>
      </c>
      <c r="AE198" s="59"/>
      <c r="AF198" s="59"/>
      <c r="AG198" s="59"/>
      <c r="AH198" s="59"/>
      <c r="AI198" s="62">
        <v>196</v>
      </c>
      <c r="AJ198" s="63" t="str">
        <f ca="1">IF(design_loads!$E$5="","",IF($AI198&gt;INDEX($AG$3:$AG$16,MATCH(design_loads!$E$5,$AE$3:$AE$16)),"&lt;scroll up&gt;",OFFSET(OFFSET('NBCC_C-2'!$B$1,INDEX($AF$3:$AF$16,MATCH(design_loads!$E$5,$AE$3:$AE$16))-1,0),$AI198-1,0)))</f>
        <v>&lt;scroll up&gt;</v>
      </c>
      <c r="AK198" s="63" t="str">
        <f ca="1">IF(design_loads!$E$6="","",IF($AI198&gt;INDEX($AG$3:$AG$16,MATCH(design_loads!$E$6,$AE$3:$AE$16)),"&lt;scroll up&gt;",OFFSET(OFFSET('NBCC_C-2'!$B$1,INDEX($AF$3:$AF$16,MATCH(design_loads!$E$6,$AE$3:$AE$16))-1,0),$AI198-1,0)))</f>
        <v/>
      </c>
      <c r="AL198" s="63" t="str">
        <f ca="1">IF(design_loads!$E$7="","",IF($AI198&gt;INDEX($AG$3:$AG$16,MATCH(design_loads!$E$7,$AE$3:$AE$16)),"&lt;scroll up&gt;",OFFSET(OFFSET('NBCC_C-2'!$B$1,INDEX($AF$3:$AF$16,MATCH(design_loads!$E$7,$AE$3:$AE$16))-1,0),$AI198-1,0)))</f>
        <v/>
      </c>
      <c r="AM198" s="63" t="str">
        <f ca="1">IF(design_loads!$E$8="","",IF($AI198&gt;INDEX($AG$3:$AG$16,MATCH(design_loads!$E$8,$AE$3:$AE$16)),"&lt;scroll up&gt;",OFFSET(OFFSET('NBCC_C-2'!$B$1,INDEX($AF$3:$AF$16,MATCH(design_loads!$E$8,$AE$3:$AE$16))-1,0),$AI198-1,0)))</f>
        <v/>
      </c>
    </row>
    <row r="199" spans="2:39" x14ac:dyDescent="0.2">
      <c r="B199" s="66" t="s">
        <v>576</v>
      </c>
      <c r="C199" s="67" t="s">
        <v>224</v>
      </c>
      <c r="D199" s="68">
        <v>47</v>
      </c>
      <c r="F199" s="66" t="s">
        <v>577</v>
      </c>
      <c r="G199" s="67" t="s">
        <v>264</v>
      </c>
      <c r="H199" s="68">
        <v>56</v>
      </c>
      <c r="I199" s="70">
        <v>205</v>
      </c>
      <c r="J199" s="70">
        <v>-33</v>
      </c>
      <c r="K199" s="70">
        <v>-36</v>
      </c>
      <c r="L199" s="70">
        <v>30</v>
      </c>
      <c r="M199" s="70">
        <v>21</v>
      </c>
      <c r="N199" s="70">
        <v>6000</v>
      </c>
      <c r="O199" s="70">
        <v>23</v>
      </c>
      <c r="P199" s="71">
        <v>92</v>
      </c>
      <c r="Q199" s="71">
        <v>600</v>
      </c>
      <c r="R199" s="72">
        <v>0.78</v>
      </c>
      <c r="S199" s="71">
        <v>880</v>
      </c>
      <c r="T199" s="71">
        <v>100</v>
      </c>
      <c r="U199" s="73">
        <v>2.5</v>
      </c>
      <c r="V199" s="73">
        <v>0.4</v>
      </c>
      <c r="W199" s="72">
        <v>0.28999999999999998</v>
      </c>
      <c r="X199" s="72">
        <v>0.41</v>
      </c>
      <c r="Y199" s="72">
        <v>0.25</v>
      </c>
      <c r="Z199" s="74">
        <v>0.12</v>
      </c>
      <c r="AA199" s="74">
        <v>6.0999999999999999E-2</v>
      </c>
      <c r="AB199" s="74">
        <v>1.7999999999999999E-2</v>
      </c>
      <c r="AC199" s="74">
        <v>0.16</v>
      </c>
      <c r="AE199" s="59"/>
      <c r="AF199" s="59"/>
      <c r="AG199" s="59"/>
      <c r="AH199" s="59"/>
      <c r="AI199" s="62">
        <v>197</v>
      </c>
      <c r="AJ199" s="63" t="str">
        <f ca="1">IF(design_loads!$E$5="","",IF($AI199&gt;INDEX($AG$3:$AG$16,MATCH(design_loads!$E$5,$AE$3:$AE$16)),"&lt;scroll up&gt;",OFFSET(OFFSET('NBCC_C-2'!$B$1,INDEX($AF$3:$AF$16,MATCH(design_loads!$E$5,$AE$3:$AE$16))-1,0),$AI199-1,0)))</f>
        <v>&lt;scroll up&gt;</v>
      </c>
      <c r="AK199" s="63" t="str">
        <f ca="1">IF(design_loads!$E$6="","",IF($AI199&gt;INDEX($AG$3:$AG$16,MATCH(design_loads!$E$6,$AE$3:$AE$16)),"&lt;scroll up&gt;",OFFSET(OFFSET('NBCC_C-2'!$B$1,INDEX($AF$3:$AF$16,MATCH(design_loads!$E$6,$AE$3:$AE$16))-1,0),$AI199-1,0)))</f>
        <v/>
      </c>
      <c r="AL199" s="63" t="str">
        <f ca="1">IF(design_loads!$E$7="","",IF($AI199&gt;INDEX($AG$3:$AG$16,MATCH(design_loads!$E$7,$AE$3:$AE$16)),"&lt;scroll up&gt;",OFFSET(OFFSET('NBCC_C-2'!$B$1,INDEX($AF$3:$AF$16,MATCH(design_loads!$E$7,$AE$3:$AE$16))-1,0),$AI199-1,0)))</f>
        <v/>
      </c>
      <c r="AM199" s="63" t="str">
        <f ca="1">IF(design_loads!$E$8="","",IF($AI199&gt;INDEX($AG$3:$AG$16,MATCH(design_loads!$E$8,$AE$3:$AE$16)),"&lt;scroll up&gt;",OFFSET(OFFSET('NBCC_C-2'!$B$1,INDEX($AF$3:$AF$16,MATCH(design_loads!$E$8,$AE$3:$AE$16))-1,0),$AI199-1,0)))</f>
        <v/>
      </c>
    </row>
    <row r="200" spans="2:39" x14ac:dyDescent="0.2">
      <c r="B200" s="66" t="s">
        <v>578</v>
      </c>
      <c r="C200" s="67" t="s">
        <v>224</v>
      </c>
      <c r="D200" s="68">
        <v>48</v>
      </c>
      <c r="F200" s="66" t="s">
        <v>579</v>
      </c>
      <c r="G200" s="67" t="s">
        <v>264</v>
      </c>
      <c r="H200" s="68">
        <v>57</v>
      </c>
      <c r="I200" s="70">
        <v>220</v>
      </c>
      <c r="J200" s="70">
        <v>-25</v>
      </c>
      <c r="K200" s="70">
        <v>-27</v>
      </c>
      <c r="L200" s="70">
        <v>28</v>
      </c>
      <c r="M200" s="70">
        <v>21</v>
      </c>
      <c r="N200" s="70">
        <v>5200</v>
      </c>
      <c r="O200" s="70">
        <v>23</v>
      </c>
      <c r="P200" s="71">
        <v>108</v>
      </c>
      <c r="Q200" s="71">
        <v>650</v>
      </c>
      <c r="R200" s="72">
        <v>0.83</v>
      </c>
      <c r="S200" s="71">
        <v>840</v>
      </c>
      <c r="T200" s="71">
        <v>160</v>
      </c>
      <c r="U200" s="73">
        <v>2.2999999999999998</v>
      </c>
      <c r="V200" s="73">
        <v>0.4</v>
      </c>
      <c r="W200" s="72">
        <v>0.28000000000000003</v>
      </c>
      <c r="X200" s="72">
        <v>0.42</v>
      </c>
      <c r="Y200" s="72">
        <v>0.12</v>
      </c>
      <c r="Z200" s="74">
        <v>7.4999999999999997E-2</v>
      </c>
      <c r="AA200" s="74">
        <v>3.7999999999999999E-2</v>
      </c>
      <c r="AB200" s="74">
        <v>1.0999999999999999E-2</v>
      </c>
      <c r="AC200" s="74">
        <v>5.8999999999999997E-2</v>
      </c>
      <c r="AE200" s="59"/>
      <c r="AF200" s="59"/>
      <c r="AG200" s="59"/>
      <c r="AH200" s="59"/>
      <c r="AI200" s="62">
        <v>198</v>
      </c>
      <c r="AJ200" s="63" t="str">
        <f ca="1">IF(design_loads!$E$5="","",IF($AI200&gt;INDEX($AG$3:$AG$16,MATCH(design_loads!$E$5,$AE$3:$AE$16)),"&lt;scroll up&gt;",OFFSET(OFFSET('NBCC_C-2'!$B$1,INDEX($AF$3:$AF$16,MATCH(design_loads!$E$5,$AE$3:$AE$16))-1,0),$AI200-1,0)))</f>
        <v>&lt;scroll up&gt;</v>
      </c>
      <c r="AK200" s="63" t="str">
        <f ca="1">IF(design_loads!$E$6="","",IF($AI200&gt;INDEX($AG$3:$AG$16,MATCH(design_loads!$E$6,$AE$3:$AE$16)),"&lt;scroll up&gt;",OFFSET(OFFSET('NBCC_C-2'!$B$1,INDEX($AF$3:$AF$16,MATCH(design_loads!$E$6,$AE$3:$AE$16))-1,0),$AI200-1,0)))</f>
        <v/>
      </c>
      <c r="AL200" s="63" t="str">
        <f ca="1">IF(design_loads!$E$7="","",IF($AI200&gt;INDEX($AG$3:$AG$16,MATCH(design_loads!$E$7,$AE$3:$AE$16)),"&lt;scroll up&gt;",OFFSET(OFFSET('NBCC_C-2'!$B$1,INDEX($AF$3:$AF$16,MATCH(design_loads!$E$7,$AE$3:$AE$16))-1,0),$AI200-1,0)))</f>
        <v/>
      </c>
      <c r="AM200" s="63" t="str">
        <f ca="1">IF(design_loads!$E$8="","",IF($AI200&gt;INDEX($AG$3:$AG$16,MATCH(design_loads!$E$8,$AE$3:$AE$16)),"&lt;scroll up&gt;",OFFSET(OFFSET('NBCC_C-2'!$B$1,INDEX($AF$3:$AF$16,MATCH(design_loads!$E$8,$AE$3:$AE$16))-1,0),$AI200-1,0)))</f>
        <v/>
      </c>
    </row>
    <row r="201" spans="2:39" x14ac:dyDescent="0.2">
      <c r="B201" s="66" t="s">
        <v>580</v>
      </c>
      <c r="C201" s="67" t="s">
        <v>224</v>
      </c>
      <c r="D201" s="68">
        <v>49</v>
      </c>
      <c r="F201" s="66" t="s">
        <v>581</v>
      </c>
      <c r="G201" s="67" t="s">
        <v>278</v>
      </c>
      <c r="H201" s="68">
        <v>7</v>
      </c>
      <c r="I201" s="70">
        <v>565</v>
      </c>
      <c r="J201" s="70">
        <v>-32</v>
      </c>
      <c r="K201" s="70">
        <v>-34</v>
      </c>
      <c r="L201" s="70">
        <v>32</v>
      </c>
      <c r="M201" s="70">
        <v>22</v>
      </c>
      <c r="N201" s="70">
        <v>5400</v>
      </c>
      <c r="O201" s="70">
        <v>36</v>
      </c>
      <c r="P201" s="71">
        <v>92</v>
      </c>
      <c r="Q201" s="71">
        <v>330</v>
      </c>
      <c r="R201" s="72">
        <v>0.43</v>
      </c>
      <c r="S201" s="71">
        <v>420</v>
      </c>
      <c r="T201" s="71">
        <v>200</v>
      </c>
      <c r="U201" s="73">
        <v>1.6</v>
      </c>
      <c r="V201" s="73">
        <v>0.1</v>
      </c>
      <c r="W201" s="72">
        <v>0.42</v>
      </c>
      <c r="X201" s="72">
        <v>0.56000000000000005</v>
      </c>
      <c r="Y201" s="72">
        <v>0.15</v>
      </c>
      <c r="Z201" s="74">
        <v>6.8000000000000005E-2</v>
      </c>
      <c r="AA201" s="74">
        <v>2.5000000000000001E-2</v>
      </c>
      <c r="AB201" s="74">
        <v>8.0000000000000002E-3</v>
      </c>
      <c r="AC201" s="74">
        <v>9.5000000000000001E-2</v>
      </c>
      <c r="AE201" s="59"/>
      <c r="AF201" s="59"/>
      <c r="AG201" s="59"/>
      <c r="AH201" s="59"/>
      <c r="AI201" s="62">
        <v>199</v>
      </c>
      <c r="AJ201" s="63" t="str">
        <f ca="1">IF(design_loads!$E$5="","",IF($AI201&gt;INDEX($AG$3:$AG$16,MATCH(design_loads!$E$5,$AE$3:$AE$16)),"&lt;scroll up&gt;",OFFSET(OFFSET('NBCC_C-2'!$B$1,INDEX($AF$3:$AF$16,MATCH(design_loads!$E$5,$AE$3:$AE$16))-1,0),$AI201-1,0)))</f>
        <v>&lt;scroll up&gt;</v>
      </c>
      <c r="AK201" s="63" t="str">
        <f ca="1">IF(design_loads!$E$6="","",IF($AI201&gt;INDEX($AG$3:$AG$16,MATCH(design_loads!$E$6,$AE$3:$AE$16)),"&lt;scroll up&gt;",OFFSET(OFFSET('NBCC_C-2'!$B$1,INDEX($AF$3:$AF$16,MATCH(design_loads!$E$6,$AE$3:$AE$16))-1,0),$AI201-1,0)))</f>
        <v/>
      </c>
      <c r="AL201" s="63" t="str">
        <f ca="1">IF(design_loads!$E$7="","",IF($AI201&gt;INDEX($AG$3:$AG$16,MATCH(design_loads!$E$7,$AE$3:$AE$16)),"&lt;scroll up&gt;",OFFSET(OFFSET('NBCC_C-2'!$B$1,INDEX($AF$3:$AF$16,MATCH(design_loads!$E$7,$AE$3:$AE$16))-1,0),$AI201-1,0)))</f>
        <v/>
      </c>
      <c r="AM201" s="63" t="str">
        <f ca="1">IF(design_loads!$E$8="","",IF($AI201&gt;INDEX($AG$3:$AG$16,MATCH(design_loads!$E$8,$AE$3:$AE$16)),"&lt;scroll up&gt;",OFFSET(OFFSET('NBCC_C-2'!$B$1,INDEX($AF$3:$AF$16,MATCH(design_loads!$E$8,$AE$3:$AE$16))-1,0),$AI201-1,0)))</f>
        <v/>
      </c>
    </row>
    <row r="202" spans="2:39" x14ac:dyDescent="0.2">
      <c r="B202" s="66" t="s">
        <v>582</v>
      </c>
      <c r="C202" s="67" t="s">
        <v>224</v>
      </c>
      <c r="D202" s="68">
        <v>50</v>
      </c>
      <c r="F202" s="66" t="s">
        <v>583</v>
      </c>
      <c r="G202" s="67" t="s">
        <v>264</v>
      </c>
      <c r="H202" s="68">
        <v>58</v>
      </c>
      <c r="I202" s="70">
        <v>160</v>
      </c>
      <c r="J202" s="70">
        <v>-20</v>
      </c>
      <c r="K202" s="70">
        <v>-22</v>
      </c>
      <c r="L202" s="70">
        <v>31</v>
      </c>
      <c r="M202" s="70">
        <v>24</v>
      </c>
      <c r="N202" s="70">
        <v>4050</v>
      </c>
      <c r="O202" s="70">
        <v>26</v>
      </c>
      <c r="P202" s="71">
        <v>103</v>
      </c>
      <c r="Q202" s="71">
        <v>720</v>
      </c>
      <c r="R202" s="72">
        <v>0.8</v>
      </c>
      <c r="S202" s="71">
        <v>800</v>
      </c>
      <c r="T202" s="71">
        <v>160</v>
      </c>
      <c r="U202" s="73">
        <v>1.1000000000000001</v>
      </c>
      <c r="V202" s="73">
        <v>0.4</v>
      </c>
      <c r="W202" s="72">
        <v>0.39</v>
      </c>
      <c r="X202" s="72">
        <v>0.53</v>
      </c>
      <c r="Y202" s="72">
        <v>0.26</v>
      </c>
      <c r="Z202" s="74">
        <v>0.13</v>
      </c>
      <c r="AA202" s="74">
        <v>5.3999999999999999E-2</v>
      </c>
      <c r="AB202" s="74">
        <v>1.4999999999999999E-2</v>
      </c>
      <c r="AC202" s="74">
        <v>0.18</v>
      </c>
      <c r="AE202" s="59"/>
      <c r="AF202" s="59"/>
      <c r="AG202" s="59"/>
      <c r="AH202" s="59"/>
      <c r="AI202" s="62">
        <v>200</v>
      </c>
      <c r="AJ202" s="63" t="str">
        <f ca="1">IF(design_loads!$E$5="","",IF($AI202&gt;INDEX($AG$3:$AG$16,MATCH(design_loads!$E$5,$AE$3:$AE$16)),"&lt;scroll up&gt;",OFFSET(OFFSET('NBCC_C-2'!$B$1,INDEX($AF$3:$AF$16,MATCH(design_loads!$E$5,$AE$3:$AE$16))-1,0),$AI202-1,0)))</f>
        <v>&lt;scroll up&gt;</v>
      </c>
      <c r="AK202" s="63" t="str">
        <f ca="1">IF(design_loads!$E$6="","",IF($AI202&gt;INDEX($AG$3:$AG$16,MATCH(design_loads!$E$6,$AE$3:$AE$16)),"&lt;scroll up&gt;",OFFSET(OFFSET('NBCC_C-2'!$B$1,INDEX($AF$3:$AF$16,MATCH(design_loads!$E$6,$AE$3:$AE$16))-1,0),$AI202-1,0)))</f>
        <v/>
      </c>
      <c r="AL202" s="63" t="str">
        <f ca="1">IF(design_loads!$E$7="","",IF($AI202&gt;INDEX($AG$3:$AG$16,MATCH(design_loads!$E$7,$AE$3:$AE$16)),"&lt;scroll up&gt;",OFFSET(OFFSET('NBCC_C-2'!$B$1,INDEX($AF$3:$AF$16,MATCH(design_loads!$E$7,$AE$3:$AE$16))-1,0),$AI202-1,0)))</f>
        <v/>
      </c>
      <c r="AM202" s="63" t="str">
        <f ca="1">IF(design_loads!$E$8="","",IF($AI202&gt;INDEX($AG$3:$AG$16,MATCH(design_loads!$E$8,$AE$3:$AE$16)),"&lt;scroll up&gt;",OFFSET(OFFSET('NBCC_C-2'!$B$1,INDEX($AF$3:$AF$16,MATCH(design_loads!$E$8,$AE$3:$AE$16))-1,0),$AI202-1,0)))</f>
        <v/>
      </c>
    </row>
    <row r="203" spans="2:39" x14ac:dyDescent="0.2">
      <c r="B203" s="66" t="s">
        <v>584</v>
      </c>
      <c r="C203" s="67" t="s">
        <v>224</v>
      </c>
      <c r="D203" s="68">
        <v>51</v>
      </c>
      <c r="F203" s="66" t="s">
        <v>585</v>
      </c>
      <c r="G203" s="67" t="s">
        <v>267</v>
      </c>
      <c r="H203" s="68">
        <v>10</v>
      </c>
      <c r="I203" s="70">
        <v>5</v>
      </c>
      <c r="J203" s="70">
        <v>-47</v>
      </c>
      <c r="K203" s="70">
        <v>-48</v>
      </c>
      <c r="L203" s="70">
        <v>12</v>
      </c>
      <c r="M203" s="70">
        <v>9</v>
      </c>
      <c r="N203" s="70">
        <v>13800</v>
      </c>
      <c r="O203" s="70">
        <v>3</v>
      </c>
      <c r="P203" s="71">
        <v>27</v>
      </c>
      <c r="Q203" s="71">
        <v>25</v>
      </c>
      <c r="R203" s="72">
        <v>0.95</v>
      </c>
      <c r="S203" s="71">
        <v>70</v>
      </c>
      <c r="T203" s="71">
        <v>100</v>
      </c>
      <c r="U203" s="73">
        <v>1.6</v>
      </c>
      <c r="V203" s="73">
        <v>0.1</v>
      </c>
      <c r="W203" s="72">
        <v>0.47</v>
      </c>
      <c r="X203" s="72">
        <v>0.67</v>
      </c>
      <c r="Y203" s="72">
        <v>0.33</v>
      </c>
      <c r="Z203" s="74">
        <v>0.14000000000000001</v>
      </c>
      <c r="AA203" s="74">
        <v>6.5000000000000002E-2</v>
      </c>
      <c r="AB203" s="74">
        <v>1.7000000000000001E-2</v>
      </c>
      <c r="AC203" s="74">
        <v>0.24</v>
      </c>
      <c r="AE203" s="59"/>
      <c r="AF203" s="59"/>
      <c r="AG203" s="59"/>
      <c r="AH203" s="59"/>
      <c r="AI203" s="62">
        <v>201</v>
      </c>
      <c r="AJ203" s="63" t="str">
        <f ca="1">IF(design_loads!$E$5="","",IF($AI203&gt;INDEX($AG$3:$AG$16,MATCH(design_loads!$E$5,$AE$3:$AE$16)),"&lt;scroll up&gt;",OFFSET(OFFSET('NBCC_C-2'!$B$1,INDEX($AF$3:$AF$16,MATCH(design_loads!$E$5,$AE$3:$AE$16))-1,0),$AI203-1,0)))</f>
        <v>&lt;scroll up&gt;</v>
      </c>
      <c r="AK203" s="63" t="str">
        <f ca="1">IF(design_loads!$E$6="","",IF($AI203&gt;INDEX($AG$3:$AG$16,MATCH(design_loads!$E$6,$AE$3:$AE$16)),"&lt;scroll up&gt;",OFFSET(OFFSET('NBCC_C-2'!$B$1,INDEX($AF$3:$AF$16,MATCH(design_loads!$E$6,$AE$3:$AE$16))-1,0),$AI203-1,0)))</f>
        <v/>
      </c>
      <c r="AL203" s="63" t="str">
        <f ca="1">IF(design_loads!$E$7="","",IF($AI203&gt;INDEX($AG$3:$AG$16,MATCH(design_loads!$E$7,$AE$3:$AE$16)),"&lt;scroll up&gt;",OFFSET(OFFSET('NBCC_C-2'!$B$1,INDEX($AF$3:$AF$16,MATCH(design_loads!$E$7,$AE$3:$AE$16))-1,0),$AI203-1,0)))</f>
        <v/>
      </c>
      <c r="AM203" s="63" t="str">
        <f ca="1">IF(design_loads!$E$8="","",IF($AI203&gt;INDEX($AG$3:$AG$16,MATCH(design_loads!$E$8,$AE$3:$AE$16)),"&lt;scroll up&gt;",OFFSET(OFFSET('NBCC_C-2'!$B$1,INDEX($AF$3:$AF$16,MATCH(design_loads!$E$8,$AE$3:$AE$16))-1,0),$AI203-1,0)))</f>
        <v/>
      </c>
    </row>
    <row r="204" spans="2:39" x14ac:dyDescent="0.2">
      <c r="B204" s="66" t="s">
        <v>586</v>
      </c>
      <c r="C204" s="67" t="s">
        <v>224</v>
      </c>
      <c r="D204" s="68">
        <v>52</v>
      </c>
      <c r="F204" s="66" t="s">
        <v>587</v>
      </c>
      <c r="G204" s="67" t="s">
        <v>264</v>
      </c>
      <c r="H204" s="68">
        <v>59</v>
      </c>
      <c r="I204" s="70">
        <v>265</v>
      </c>
      <c r="J204" s="70">
        <v>-17</v>
      </c>
      <c r="K204" s="70">
        <v>-19</v>
      </c>
      <c r="L204" s="70">
        <v>30</v>
      </c>
      <c r="M204" s="70">
        <v>23</v>
      </c>
      <c r="N204" s="70">
        <v>4150</v>
      </c>
      <c r="O204" s="70">
        <v>25</v>
      </c>
      <c r="P204" s="71">
        <v>113</v>
      </c>
      <c r="Q204" s="71">
        <v>810</v>
      </c>
      <c r="R204" s="72">
        <v>0.94</v>
      </c>
      <c r="S204" s="71">
        <v>975</v>
      </c>
      <c r="T204" s="71">
        <v>180</v>
      </c>
      <c r="U204" s="73">
        <v>2.4</v>
      </c>
      <c r="V204" s="73">
        <v>0.4</v>
      </c>
      <c r="W204" s="72">
        <v>0.37</v>
      </c>
      <c r="X204" s="72">
        <v>0.53</v>
      </c>
      <c r="Y204" s="72">
        <v>0.14000000000000001</v>
      </c>
      <c r="Z204" s="74">
        <v>7.9000000000000001E-2</v>
      </c>
      <c r="AA204" s="74">
        <v>4.2999999999999997E-2</v>
      </c>
      <c r="AB204" s="74">
        <v>1.0999999999999999E-2</v>
      </c>
      <c r="AC204" s="74">
        <v>7.5999999999999998E-2</v>
      </c>
      <c r="AE204" s="59"/>
      <c r="AF204" s="59"/>
      <c r="AG204" s="59"/>
      <c r="AH204" s="59"/>
      <c r="AI204" s="62">
        <v>202</v>
      </c>
      <c r="AJ204" s="63" t="str">
        <f ca="1">IF(design_loads!$E$5="","",IF($AI204&gt;INDEX($AG$3:$AG$16,MATCH(design_loads!$E$5,$AE$3:$AE$16)),"&lt;scroll up&gt;",OFFSET(OFFSET('NBCC_C-2'!$B$1,INDEX($AF$3:$AF$16,MATCH(design_loads!$E$5,$AE$3:$AE$16))-1,0),$AI204-1,0)))</f>
        <v>&lt;scroll up&gt;</v>
      </c>
      <c r="AK204" s="63" t="str">
        <f ca="1">IF(design_loads!$E$6="","",IF($AI204&gt;INDEX($AG$3:$AG$16,MATCH(design_loads!$E$6,$AE$3:$AE$16)),"&lt;scroll up&gt;",OFFSET(OFFSET('NBCC_C-2'!$B$1,INDEX($AF$3:$AF$16,MATCH(design_loads!$E$6,$AE$3:$AE$16))-1,0),$AI204-1,0)))</f>
        <v/>
      </c>
      <c r="AL204" s="63" t="str">
        <f ca="1">IF(design_loads!$E$7="","",IF($AI204&gt;INDEX($AG$3:$AG$16,MATCH(design_loads!$E$7,$AE$3:$AE$16)),"&lt;scroll up&gt;",OFFSET(OFFSET('NBCC_C-2'!$B$1,INDEX($AF$3:$AF$16,MATCH(design_loads!$E$7,$AE$3:$AE$16))-1,0),$AI204-1,0)))</f>
        <v/>
      </c>
      <c r="AM204" s="63" t="str">
        <f ca="1">IF(design_loads!$E$8="","",IF($AI204&gt;INDEX($AG$3:$AG$16,MATCH(design_loads!$E$8,$AE$3:$AE$16)),"&lt;scroll up&gt;",OFFSET(OFFSET('NBCC_C-2'!$B$1,INDEX($AF$3:$AF$16,MATCH(design_loads!$E$8,$AE$3:$AE$16))-1,0),$AI204-1,0)))</f>
        <v/>
      </c>
    </row>
    <row r="205" spans="2:39" x14ac:dyDescent="0.2">
      <c r="B205" s="66" t="s">
        <v>588</v>
      </c>
      <c r="C205" s="67" t="s">
        <v>224</v>
      </c>
      <c r="D205" s="68">
        <v>53</v>
      </c>
      <c r="F205" s="66" t="s">
        <v>339</v>
      </c>
      <c r="G205" s="67" t="s">
        <v>247</v>
      </c>
      <c r="H205" s="68">
        <v>45</v>
      </c>
      <c r="I205" s="76">
        <v>670</v>
      </c>
      <c r="J205" s="70">
        <v>-38</v>
      </c>
      <c r="K205" s="70">
        <v>-40</v>
      </c>
      <c r="L205" s="70">
        <v>27</v>
      </c>
      <c r="M205" s="70">
        <v>18</v>
      </c>
      <c r="N205" s="76">
        <v>6050</v>
      </c>
      <c r="O205" s="76">
        <v>15</v>
      </c>
      <c r="P205" s="77">
        <v>86</v>
      </c>
      <c r="Q205" s="77">
        <v>330</v>
      </c>
      <c r="R205" s="72">
        <v>0.51</v>
      </c>
      <c r="S205" s="77">
        <v>450</v>
      </c>
      <c r="T205" s="77">
        <v>100</v>
      </c>
      <c r="U205" s="73">
        <v>2.6</v>
      </c>
      <c r="V205" s="73">
        <v>0.1</v>
      </c>
      <c r="W205" s="72">
        <v>0.26</v>
      </c>
      <c r="X205" s="72">
        <v>0.35</v>
      </c>
      <c r="Y205" s="72">
        <v>0.12</v>
      </c>
      <c r="Z205" s="74">
        <v>5.6000000000000001E-2</v>
      </c>
      <c r="AA205" s="74">
        <v>2.3E-2</v>
      </c>
      <c r="AB205" s="74">
        <v>1.0999999999999999E-2</v>
      </c>
      <c r="AC205" s="74">
        <v>5.8999999999999997E-2</v>
      </c>
      <c r="AE205" s="59"/>
      <c r="AF205" s="59"/>
      <c r="AG205" s="59"/>
      <c r="AH205" s="59"/>
      <c r="AI205" s="62">
        <v>203</v>
      </c>
      <c r="AJ205" s="63" t="str">
        <f ca="1">IF(design_loads!$E$5="","",IF($AI205&gt;INDEX($AG$3:$AG$16,MATCH(design_loads!$E$5,$AE$3:$AE$16)),"&lt;scroll up&gt;",OFFSET(OFFSET('NBCC_C-2'!$B$1,INDEX($AF$3:$AF$16,MATCH(design_loads!$E$5,$AE$3:$AE$16))-1,0),$AI205-1,0)))</f>
        <v>&lt;scroll up&gt;</v>
      </c>
      <c r="AK205" s="63" t="str">
        <f ca="1">IF(design_loads!$E$6="","",IF($AI205&gt;INDEX($AG$3:$AG$16,MATCH(design_loads!$E$6,$AE$3:$AE$16)),"&lt;scroll up&gt;",OFFSET(OFFSET('NBCC_C-2'!$B$1,INDEX($AF$3:$AF$16,MATCH(design_loads!$E$6,$AE$3:$AE$16))-1,0),$AI205-1,0)))</f>
        <v/>
      </c>
      <c r="AL205" s="63" t="str">
        <f ca="1">IF(design_loads!$E$7="","",IF($AI205&gt;INDEX($AG$3:$AG$16,MATCH(design_loads!$E$7,$AE$3:$AE$16)),"&lt;scroll up&gt;",OFFSET(OFFSET('NBCC_C-2'!$B$1,INDEX($AF$3:$AF$16,MATCH(design_loads!$E$7,$AE$3:$AE$16))-1,0),$AI205-1,0)))</f>
        <v/>
      </c>
      <c r="AM205" s="63" t="str">
        <f ca="1">IF(design_loads!$E$8="","",IF($AI205&gt;INDEX($AG$3:$AG$16,MATCH(design_loads!$E$8,$AE$3:$AE$16)),"&lt;scroll up&gt;",OFFSET(OFFSET('NBCC_C-2'!$B$1,INDEX($AF$3:$AF$16,MATCH(design_loads!$E$8,$AE$3:$AE$16))-1,0),$AI205-1,0)))</f>
        <v/>
      </c>
    </row>
    <row r="206" spans="2:39" x14ac:dyDescent="0.2">
      <c r="B206" s="66" t="s">
        <v>589</v>
      </c>
      <c r="C206" s="67" t="s">
        <v>224</v>
      </c>
      <c r="D206" s="68">
        <v>54</v>
      </c>
      <c r="F206" s="66" t="s">
        <v>341</v>
      </c>
      <c r="G206" s="67" t="s">
        <v>247</v>
      </c>
      <c r="H206" s="68">
        <v>46</v>
      </c>
      <c r="I206" s="76">
        <v>587</v>
      </c>
      <c r="J206" s="70">
        <v>-40</v>
      </c>
      <c r="K206" s="70">
        <v>-42</v>
      </c>
      <c r="L206" s="70">
        <v>27</v>
      </c>
      <c r="M206" s="70">
        <v>18</v>
      </c>
      <c r="N206" s="76">
        <v>5900</v>
      </c>
      <c r="O206" s="76">
        <v>15</v>
      </c>
      <c r="P206" s="77">
        <v>55</v>
      </c>
      <c r="Q206" s="77">
        <v>310</v>
      </c>
      <c r="R206" s="72">
        <v>0.51</v>
      </c>
      <c r="S206" s="77">
        <v>420</v>
      </c>
      <c r="T206" s="77">
        <v>100</v>
      </c>
      <c r="U206" s="73">
        <v>2.4</v>
      </c>
      <c r="V206" s="73">
        <v>0.1</v>
      </c>
      <c r="W206" s="72">
        <v>0.27</v>
      </c>
      <c r="X206" s="72">
        <v>0.36</v>
      </c>
      <c r="Y206" s="72">
        <v>0.12</v>
      </c>
      <c r="Z206" s="74">
        <v>0.06</v>
      </c>
      <c r="AA206" s="74">
        <v>0.02</v>
      </c>
      <c r="AB206" s="74">
        <v>0.01</v>
      </c>
      <c r="AC206" s="74">
        <v>0.06</v>
      </c>
      <c r="AE206" s="59"/>
      <c r="AF206" s="59"/>
      <c r="AG206" s="59"/>
      <c r="AH206" s="59"/>
      <c r="AI206" s="62">
        <v>204</v>
      </c>
      <c r="AJ206" s="63" t="str">
        <f ca="1">IF(design_loads!$E$5="","",IF($AI206&gt;INDEX($AG$3:$AG$16,MATCH(design_loads!$E$5,$AE$3:$AE$16)),"&lt;scroll up&gt;",OFFSET(OFFSET('NBCC_C-2'!$B$1,INDEX($AF$3:$AF$16,MATCH(design_loads!$E$5,$AE$3:$AE$16))-1,0),$AI206-1,0)))</f>
        <v>&lt;scroll up&gt;</v>
      </c>
      <c r="AK206" s="63" t="str">
        <f ca="1">IF(design_loads!$E$6="","",IF($AI206&gt;INDEX($AG$3:$AG$16,MATCH(design_loads!$E$6,$AE$3:$AE$16)),"&lt;scroll up&gt;",OFFSET(OFFSET('NBCC_C-2'!$B$1,INDEX($AF$3:$AF$16,MATCH(design_loads!$E$6,$AE$3:$AE$16))-1,0),$AI206-1,0)))</f>
        <v/>
      </c>
      <c r="AL206" s="63" t="str">
        <f ca="1">IF(design_loads!$E$7="","",IF($AI206&gt;INDEX($AG$3:$AG$16,MATCH(design_loads!$E$7,$AE$3:$AE$16)),"&lt;scroll up&gt;",OFFSET(OFFSET('NBCC_C-2'!$B$1,INDEX($AF$3:$AF$16,MATCH(design_loads!$E$7,$AE$3:$AE$16))-1,0),$AI206-1,0)))</f>
        <v/>
      </c>
      <c r="AM206" s="63" t="str">
        <f ca="1">IF(design_loads!$E$8="","",IF($AI206&gt;INDEX($AG$3:$AG$16,MATCH(design_loads!$E$8,$AE$3:$AE$16)),"&lt;scroll up&gt;",OFFSET(OFFSET('NBCC_C-2'!$B$1,INDEX($AF$3:$AF$16,MATCH(design_loads!$E$8,$AE$3:$AE$16))-1,0),$AI206-1,0)))</f>
        <v/>
      </c>
    </row>
    <row r="207" spans="2:39" x14ac:dyDescent="0.2">
      <c r="B207" s="66" t="s">
        <v>590</v>
      </c>
      <c r="C207" s="67" t="s">
        <v>224</v>
      </c>
      <c r="D207" s="68">
        <v>55</v>
      </c>
      <c r="F207" s="66" t="s">
        <v>591</v>
      </c>
      <c r="G207" s="67" t="s">
        <v>257</v>
      </c>
      <c r="H207" s="68">
        <v>27</v>
      </c>
      <c r="I207" s="70">
        <v>60</v>
      </c>
      <c r="J207" s="70">
        <v>-24</v>
      </c>
      <c r="K207" s="70">
        <v>-26</v>
      </c>
      <c r="L207" s="70">
        <v>29</v>
      </c>
      <c r="M207" s="70">
        <v>23</v>
      </c>
      <c r="N207" s="70">
        <v>4600</v>
      </c>
      <c r="O207" s="70">
        <v>23</v>
      </c>
      <c r="P207" s="71">
        <v>96</v>
      </c>
      <c r="Q207" s="71">
        <v>910</v>
      </c>
      <c r="R207" s="72">
        <v>1.01</v>
      </c>
      <c r="S207" s="71">
        <v>1050</v>
      </c>
      <c r="T207" s="71">
        <v>180</v>
      </c>
      <c r="U207" s="73">
        <v>2.2000000000000002</v>
      </c>
      <c r="V207" s="73">
        <v>0.4</v>
      </c>
      <c r="W207" s="72">
        <v>0.31</v>
      </c>
      <c r="X207" s="72">
        <v>0.41</v>
      </c>
      <c r="Y207" s="72">
        <v>0.59</v>
      </c>
      <c r="Z207" s="74">
        <v>0.28999999999999998</v>
      </c>
      <c r="AA207" s="74">
        <v>0.12</v>
      </c>
      <c r="AB207" s="74">
        <v>4.1000000000000002E-2</v>
      </c>
      <c r="AC207" s="74">
        <v>0.37</v>
      </c>
      <c r="AE207" s="59"/>
      <c r="AF207" s="59"/>
      <c r="AG207" s="59"/>
      <c r="AH207" s="59"/>
      <c r="AI207" s="62">
        <v>205</v>
      </c>
      <c r="AJ207" s="63" t="str">
        <f ca="1">IF(design_loads!$E$5="","",IF($AI207&gt;INDEX($AG$3:$AG$16,MATCH(design_loads!$E$5,$AE$3:$AE$16)),"&lt;scroll up&gt;",OFFSET(OFFSET('NBCC_C-2'!$B$1,INDEX($AF$3:$AF$16,MATCH(design_loads!$E$5,$AE$3:$AE$16))-1,0),$AI207-1,0)))</f>
        <v>&lt;scroll up&gt;</v>
      </c>
      <c r="AK207" s="63" t="str">
        <f ca="1">IF(design_loads!$E$6="","",IF($AI207&gt;INDEX($AG$3:$AG$16,MATCH(design_loads!$E$6,$AE$3:$AE$16)),"&lt;scroll up&gt;",OFFSET(OFFSET('NBCC_C-2'!$B$1,INDEX($AF$3:$AF$16,MATCH(design_loads!$E$6,$AE$3:$AE$16))-1,0),$AI207-1,0)))</f>
        <v/>
      </c>
      <c r="AL207" s="63" t="str">
        <f ca="1">IF(design_loads!$E$7="","",IF($AI207&gt;INDEX($AG$3:$AG$16,MATCH(design_loads!$E$7,$AE$3:$AE$16)),"&lt;scroll up&gt;",OFFSET(OFFSET('NBCC_C-2'!$B$1,INDEX($AF$3:$AF$16,MATCH(design_loads!$E$7,$AE$3:$AE$16))-1,0),$AI207-1,0)))</f>
        <v/>
      </c>
      <c r="AM207" s="63" t="str">
        <f ca="1">IF(design_loads!$E$8="","",IF($AI207&gt;INDEX($AG$3:$AG$16,MATCH(design_loads!$E$8,$AE$3:$AE$16)),"&lt;scroll up&gt;",OFFSET(OFFSET('NBCC_C-2'!$B$1,INDEX($AF$3:$AF$16,MATCH(design_loads!$E$8,$AE$3:$AE$16))-1,0),$AI207-1,0)))</f>
        <v/>
      </c>
    </row>
    <row r="208" spans="2:39" x14ac:dyDescent="0.2">
      <c r="B208" s="66" t="s">
        <v>592</v>
      </c>
      <c r="C208" s="67" t="s">
        <v>224</v>
      </c>
      <c r="D208" s="68">
        <v>56</v>
      </c>
      <c r="F208" s="66" t="s">
        <v>593</v>
      </c>
      <c r="G208" s="67" t="s">
        <v>264</v>
      </c>
      <c r="H208" s="68">
        <v>60</v>
      </c>
      <c r="I208" s="70">
        <v>260</v>
      </c>
      <c r="J208" s="70">
        <v>-25</v>
      </c>
      <c r="K208" s="70">
        <v>-27</v>
      </c>
      <c r="L208" s="70">
        <v>30</v>
      </c>
      <c r="M208" s="70">
        <v>23</v>
      </c>
      <c r="N208" s="70">
        <v>4650</v>
      </c>
      <c r="O208" s="70">
        <v>25</v>
      </c>
      <c r="P208" s="71">
        <v>108</v>
      </c>
      <c r="Q208" s="71">
        <v>730</v>
      </c>
      <c r="R208" s="72">
        <v>0.86</v>
      </c>
      <c r="S208" s="71">
        <v>950</v>
      </c>
      <c r="T208" s="71">
        <v>120</v>
      </c>
      <c r="U208" s="73">
        <v>2.2999999999999998</v>
      </c>
      <c r="V208" s="73">
        <v>0.4</v>
      </c>
      <c r="W208" s="72">
        <v>0.25</v>
      </c>
      <c r="X208" s="72">
        <v>0.36</v>
      </c>
      <c r="Y208" s="72">
        <v>0.18</v>
      </c>
      <c r="Z208" s="74">
        <v>0.11</v>
      </c>
      <c r="AA208" s="74">
        <v>5.6000000000000001E-2</v>
      </c>
      <c r="AB208" s="74">
        <v>1.6E-2</v>
      </c>
      <c r="AC208" s="74">
        <v>8.1000000000000003E-2</v>
      </c>
      <c r="AE208" s="59"/>
      <c r="AF208" s="59"/>
      <c r="AG208" s="59"/>
      <c r="AH208" s="59"/>
      <c r="AI208" s="62">
        <v>206</v>
      </c>
      <c r="AJ208" s="63" t="str">
        <f ca="1">IF(design_loads!$E$5="","",IF($AI208&gt;INDEX($AG$3:$AG$16,MATCH(design_loads!$E$5,$AE$3:$AE$16)),"&lt;scroll up&gt;",OFFSET(OFFSET('NBCC_C-2'!$B$1,INDEX($AF$3:$AF$16,MATCH(design_loads!$E$5,$AE$3:$AE$16))-1,0),$AI208-1,0)))</f>
        <v>&lt;scroll up&gt;</v>
      </c>
      <c r="AK208" s="63" t="str">
        <f ca="1">IF(design_loads!$E$6="","",IF($AI208&gt;INDEX($AG$3:$AG$16,MATCH(design_loads!$E$6,$AE$3:$AE$16)),"&lt;scroll up&gt;",OFFSET(OFFSET('NBCC_C-2'!$B$1,INDEX($AF$3:$AF$16,MATCH(design_loads!$E$6,$AE$3:$AE$16))-1,0),$AI208-1,0)))</f>
        <v/>
      </c>
      <c r="AL208" s="63" t="str">
        <f ca="1">IF(design_loads!$E$7="","",IF($AI208&gt;INDEX($AG$3:$AG$16,MATCH(design_loads!$E$7,$AE$3:$AE$16)),"&lt;scroll up&gt;",OFFSET(OFFSET('NBCC_C-2'!$B$1,INDEX($AF$3:$AF$16,MATCH(design_loads!$E$7,$AE$3:$AE$16))-1,0),$AI208-1,0)))</f>
        <v/>
      </c>
      <c r="AM208" s="63" t="str">
        <f ca="1">IF(design_loads!$E$8="","",IF($AI208&gt;INDEX($AG$3:$AG$16,MATCH(design_loads!$E$8,$AE$3:$AE$16)),"&lt;scroll up&gt;",OFFSET(OFFSET('NBCC_C-2'!$B$1,INDEX($AF$3:$AF$16,MATCH(design_loads!$E$8,$AE$3:$AE$16))-1,0),$AI208-1,0)))</f>
        <v/>
      </c>
    </row>
    <row r="209" spans="2:39" x14ac:dyDescent="0.2">
      <c r="B209" s="66" t="s">
        <v>594</v>
      </c>
      <c r="C209" s="67" t="s">
        <v>224</v>
      </c>
      <c r="D209" s="68">
        <v>57</v>
      </c>
      <c r="F209" s="66" t="s">
        <v>595</v>
      </c>
      <c r="G209" s="67" t="s">
        <v>264</v>
      </c>
      <c r="H209" s="68">
        <v>61</v>
      </c>
      <c r="I209" s="70">
        <v>400</v>
      </c>
      <c r="J209" s="70">
        <v>-20</v>
      </c>
      <c r="K209" s="70">
        <v>-22</v>
      </c>
      <c r="L209" s="70">
        <v>29</v>
      </c>
      <c r="M209" s="70">
        <v>23</v>
      </c>
      <c r="N209" s="70">
        <v>4600</v>
      </c>
      <c r="O209" s="70">
        <v>33</v>
      </c>
      <c r="P209" s="71">
        <v>108</v>
      </c>
      <c r="Q209" s="71">
        <v>760</v>
      </c>
      <c r="R209" s="72">
        <v>0.87</v>
      </c>
      <c r="S209" s="71">
        <v>925</v>
      </c>
      <c r="T209" s="71">
        <v>160</v>
      </c>
      <c r="U209" s="73">
        <v>2.2000000000000002</v>
      </c>
      <c r="V209" s="73">
        <v>0.4</v>
      </c>
      <c r="W209" s="72">
        <v>0.26</v>
      </c>
      <c r="X209" s="72">
        <v>0.36</v>
      </c>
      <c r="Y209" s="72">
        <v>0.18</v>
      </c>
      <c r="Z209" s="74">
        <v>9.4E-2</v>
      </c>
      <c r="AA209" s="74">
        <v>4.7E-2</v>
      </c>
      <c r="AB209" s="74">
        <v>1.2999999999999999E-2</v>
      </c>
      <c r="AC209" s="74">
        <v>0.1</v>
      </c>
      <c r="AE209" s="59"/>
      <c r="AF209" s="59"/>
      <c r="AG209" s="59"/>
      <c r="AH209" s="59"/>
      <c r="AI209" s="62">
        <v>207</v>
      </c>
      <c r="AJ209" s="63" t="str">
        <f ca="1">IF(design_loads!$E$5="","",IF($AI209&gt;INDEX($AG$3:$AG$16,MATCH(design_loads!$E$5,$AE$3:$AE$16)),"&lt;scroll up&gt;",OFFSET(OFFSET('NBCC_C-2'!$B$1,INDEX($AF$3:$AF$16,MATCH(design_loads!$E$5,$AE$3:$AE$16))-1,0),$AI209-1,0)))</f>
        <v>&lt;scroll up&gt;</v>
      </c>
      <c r="AK209" s="63" t="str">
        <f ca="1">IF(design_loads!$E$6="","",IF($AI209&gt;INDEX($AG$3:$AG$16,MATCH(design_loads!$E$6,$AE$3:$AE$16)),"&lt;scroll up&gt;",OFFSET(OFFSET('NBCC_C-2'!$B$1,INDEX($AF$3:$AF$16,MATCH(design_loads!$E$6,$AE$3:$AE$16))-1,0),$AI209-1,0)))</f>
        <v/>
      </c>
      <c r="AL209" s="63" t="str">
        <f ca="1">IF(design_loads!$E$7="","",IF($AI209&gt;INDEX($AG$3:$AG$16,MATCH(design_loads!$E$7,$AE$3:$AE$16)),"&lt;scroll up&gt;",OFFSET(OFFSET('NBCC_C-2'!$B$1,INDEX($AF$3:$AF$16,MATCH(design_loads!$E$7,$AE$3:$AE$16))-1,0),$AI209-1,0)))</f>
        <v/>
      </c>
      <c r="AM209" s="63" t="str">
        <f ca="1">IF(design_loads!$E$8="","",IF($AI209&gt;INDEX($AG$3:$AG$16,MATCH(design_loads!$E$8,$AE$3:$AE$16)),"&lt;scroll up&gt;",OFFSET(OFFSET('NBCC_C-2'!$B$1,INDEX($AF$3:$AF$16,MATCH(design_loads!$E$8,$AE$3:$AE$16))-1,0),$AI209-1,0)))</f>
        <v/>
      </c>
    </row>
    <row r="210" spans="2:39" x14ac:dyDescent="0.2">
      <c r="B210" s="66" t="s">
        <v>596</v>
      </c>
      <c r="C210" s="67" t="s">
        <v>224</v>
      </c>
      <c r="D210" s="68">
        <v>58</v>
      </c>
      <c r="F210" s="66" t="s">
        <v>541</v>
      </c>
      <c r="G210" s="67" t="s">
        <v>224</v>
      </c>
      <c r="H210" s="68">
        <v>25</v>
      </c>
      <c r="I210" s="70">
        <v>1010</v>
      </c>
      <c r="J210" s="70">
        <v>-29</v>
      </c>
      <c r="K210" s="70">
        <v>-32</v>
      </c>
      <c r="L210" s="70">
        <v>29</v>
      </c>
      <c r="M210" s="70">
        <v>19</v>
      </c>
      <c r="N210" s="70">
        <v>4800</v>
      </c>
      <c r="O210" s="70">
        <v>13</v>
      </c>
      <c r="P210" s="71">
        <v>118</v>
      </c>
      <c r="Q210" s="71">
        <v>860</v>
      </c>
      <c r="R210" s="72">
        <v>0.88</v>
      </c>
      <c r="S210" s="71">
        <v>1175</v>
      </c>
      <c r="T210" s="71">
        <v>100</v>
      </c>
      <c r="U210" s="73">
        <v>4.5</v>
      </c>
      <c r="V210" s="73">
        <v>0.2</v>
      </c>
      <c r="W210" s="72">
        <v>0.33</v>
      </c>
      <c r="X210" s="72">
        <v>0.48</v>
      </c>
      <c r="Y210" s="72">
        <v>0.27</v>
      </c>
      <c r="Z210" s="74">
        <v>0.16</v>
      </c>
      <c r="AA210" s="74">
        <v>7.8E-2</v>
      </c>
      <c r="AB210" s="74">
        <v>4.3999999999999997E-2</v>
      </c>
      <c r="AC210" s="74">
        <v>0.14000000000000001</v>
      </c>
      <c r="AE210" s="59"/>
      <c r="AF210" s="59"/>
      <c r="AG210" s="59"/>
      <c r="AH210" s="59"/>
      <c r="AI210" s="62">
        <v>208</v>
      </c>
      <c r="AJ210" s="63" t="str">
        <f ca="1">IF(design_loads!$E$5="","",IF($AI210&gt;INDEX($AG$3:$AG$16,MATCH(design_loads!$E$5,$AE$3:$AE$16)),"&lt;scroll up&gt;",OFFSET(OFFSET('NBCC_C-2'!$B$1,INDEX($AF$3:$AF$16,MATCH(design_loads!$E$5,$AE$3:$AE$16))-1,0),$AI210-1,0)))</f>
        <v>&lt;scroll up&gt;</v>
      </c>
      <c r="AK210" s="63" t="str">
        <f ca="1">IF(design_loads!$E$6="","",IF($AI210&gt;INDEX($AG$3:$AG$16,MATCH(design_loads!$E$6,$AE$3:$AE$16)),"&lt;scroll up&gt;",OFFSET(OFFSET('NBCC_C-2'!$B$1,INDEX($AF$3:$AF$16,MATCH(design_loads!$E$6,$AE$3:$AE$16))-1,0),$AI210-1,0)))</f>
        <v/>
      </c>
      <c r="AL210" s="63" t="str">
        <f ca="1">IF(design_loads!$E$7="","",IF($AI210&gt;INDEX($AG$3:$AG$16,MATCH(design_loads!$E$7,$AE$3:$AE$16)),"&lt;scroll up&gt;",OFFSET(OFFSET('NBCC_C-2'!$B$1,INDEX($AF$3:$AF$16,MATCH(design_loads!$E$7,$AE$3:$AE$16))-1,0),$AI210-1,0)))</f>
        <v/>
      </c>
      <c r="AM210" s="63" t="str">
        <f ca="1">IF(design_loads!$E$8="","",IF($AI210&gt;INDEX($AG$3:$AG$16,MATCH(design_loads!$E$8,$AE$3:$AE$16)),"&lt;scroll up&gt;",OFFSET(OFFSET('NBCC_C-2'!$B$1,INDEX($AF$3:$AF$16,MATCH(design_loads!$E$8,$AE$3:$AE$16))-1,0),$AI210-1,0)))</f>
        <v/>
      </c>
    </row>
    <row r="211" spans="2:39" x14ac:dyDescent="0.2">
      <c r="B211" s="66" t="s">
        <v>597</v>
      </c>
      <c r="C211" s="67" t="s">
        <v>224</v>
      </c>
      <c r="D211" s="68">
        <v>59</v>
      </c>
      <c r="F211" s="66" t="s">
        <v>598</v>
      </c>
      <c r="G211" s="67" t="s">
        <v>252</v>
      </c>
      <c r="H211" s="68">
        <v>6</v>
      </c>
      <c r="I211" s="70">
        <v>300</v>
      </c>
      <c r="J211" s="70">
        <v>-38</v>
      </c>
      <c r="K211" s="70">
        <v>-40</v>
      </c>
      <c r="L211" s="70">
        <v>27</v>
      </c>
      <c r="M211" s="70">
        <v>20</v>
      </c>
      <c r="N211" s="70">
        <v>6700</v>
      </c>
      <c r="O211" s="70">
        <v>13</v>
      </c>
      <c r="P211" s="71">
        <v>81</v>
      </c>
      <c r="Q211" s="71">
        <v>340</v>
      </c>
      <c r="R211" s="72">
        <v>0.59</v>
      </c>
      <c r="S211" s="71">
        <v>475</v>
      </c>
      <c r="T211" s="71">
        <v>80</v>
      </c>
      <c r="U211" s="73">
        <v>2.2000000000000002</v>
      </c>
      <c r="V211" s="73">
        <v>0.2</v>
      </c>
      <c r="W211" s="72">
        <v>0.33</v>
      </c>
      <c r="X211" s="72">
        <v>0.44</v>
      </c>
      <c r="Y211" s="72">
        <v>0.12</v>
      </c>
      <c r="Z211" s="74">
        <v>5.6000000000000001E-2</v>
      </c>
      <c r="AA211" s="74">
        <v>2.3E-2</v>
      </c>
      <c r="AB211" s="74">
        <v>6.0000000000000001E-3</v>
      </c>
      <c r="AC211" s="74">
        <v>5.8999999999999997E-2</v>
      </c>
      <c r="AE211" s="59"/>
      <c r="AF211" s="59"/>
      <c r="AG211" s="59"/>
      <c r="AH211" s="59"/>
      <c r="AI211" s="62">
        <v>209</v>
      </c>
      <c r="AJ211" s="63" t="str">
        <f ca="1">IF(design_loads!$E$5="","",IF($AI211&gt;INDEX($AG$3:$AG$16,MATCH(design_loads!$E$5,$AE$3:$AE$16)),"&lt;scroll up&gt;",OFFSET(OFFSET('NBCC_C-2'!$B$1,INDEX($AF$3:$AF$16,MATCH(design_loads!$E$5,$AE$3:$AE$16))-1,0),$AI211-1,0)))</f>
        <v>&lt;scroll up&gt;</v>
      </c>
      <c r="AK211" s="63" t="str">
        <f ca="1">IF(design_loads!$E$6="","",IF($AI211&gt;INDEX($AG$3:$AG$16,MATCH(design_loads!$E$6,$AE$3:$AE$16)),"&lt;scroll up&gt;",OFFSET(OFFSET('NBCC_C-2'!$B$1,INDEX($AF$3:$AF$16,MATCH(design_loads!$E$6,$AE$3:$AE$16))-1,0),$AI211-1,0)))</f>
        <v/>
      </c>
      <c r="AL211" s="63" t="str">
        <f ca="1">IF(design_loads!$E$7="","",IF($AI211&gt;INDEX($AG$3:$AG$16,MATCH(design_loads!$E$7,$AE$3:$AE$16)),"&lt;scroll up&gt;",OFFSET(OFFSET('NBCC_C-2'!$B$1,INDEX($AF$3:$AF$16,MATCH(design_loads!$E$7,$AE$3:$AE$16))-1,0),$AI211-1,0)))</f>
        <v/>
      </c>
      <c r="AM211" s="63" t="str">
        <f ca="1">IF(design_loads!$E$8="","",IF($AI211&gt;INDEX($AG$3:$AG$16,MATCH(design_loads!$E$8,$AE$3:$AE$16)),"&lt;scroll up&gt;",OFFSET(OFFSET('NBCC_C-2'!$B$1,INDEX($AF$3:$AF$16,MATCH(design_loads!$E$8,$AE$3:$AE$16))-1,0),$AI211-1,0)))</f>
        <v/>
      </c>
    </row>
    <row r="212" spans="2:39" x14ac:dyDescent="0.2">
      <c r="B212" s="66" t="s">
        <v>599</v>
      </c>
      <c r="C212" s="67" t="s">
        <v>224</v>
      </c>
      <c r="D212" s="68">
        <v>60</v>
      </c>
      <c r="F212" s="66" t="s">
        <v>343</v>
      </c>
      <c r="G212" s="67" t="s">
        <v>247</v>
      </c>
      <c r="H212" s="68">
        <v>47</v>
      </c>
      <c r="I212" s="76">
        <v>889</v>
      </c>
      <c r="J212" s="70">
        <v>-32</v>
      </c>
      <c r="K212" s="70">
        <v>-36</v>
      </c>
      <c r="L212" s="70">
        <v>32</v>
      </c>
      <c r="M212" s="70">
        <v>20</v>
      </c>
      <c r="N212" s="76">
        <v>4800</v>
      </c>
      <c r="O212" s="76">
        <v>14</v>
      </c>
      <c r="P212" s="77">
        <v>70</v>
      </c>
      <c r="Q212" s="77">
        <v>250</v>
      </c>
      <c r="R212" s="72">
        <v>0.26</v>
      </c>
      <c r="S212" s="77">
        <v>360</v>
      </c>
      <c r="T212" s="77">
        <v>210</v>
      </c>
      <c r="U212" s="73">
        <v>1.7</v>
      </c>
      <c r="V212" s="73">
        <v>0.1</v>
      </c>
      <c r="W212" s="72">
        <v>0.56999999999999995</v>
      </c>
      <c r="X212" s="72">
        <v>0.76</v>
      </c>
      <c r="Y212" s="72">
        <v>0.12</v>
      </c>
      <c r="Z212" s="74">
        <v>0.06</v>
      </c>
      <c r="AA212" s="74">
        <v>0.02</v>
      </c>
      <c r="AB212" s="74">
        <v>0.01</v>
      </c>
      <c r="AC212" s="74">
        <v>0.06</v>
      </c>
      <c r="AE212" s="59"/>
      <c r="AF212" s="59"/>
      <c r="AG212" s="59"/>
      <c r="AH212" s="59"/>
      <c r="AI212" s="62">
        <v>210</v>
      </c>
      <c r="AJ212" s="63" t="str">
        <f ca="1">IF(design_loads!$E$5="","",IF($AI212&gt;INDEX($AG$3:$AG$16,MATCH(design_loads!$E$5,$AE$3:$AE$16)),"&lt;scroll up&gt;",OFFSET(OFFSET('NBCC_C-2'!$B$1,INDEX($AF$3:$AF$16,MATCH(design_loads!$E$5,$AE$3:$AE$16))-1,0),$AI212-1,0)))</f>
        <v>&lt;scroll up&gt;</v>
      </c>
      <c r="AK212" s="63" t="str">
        <f ca="1">IF(design_loads!$E$6="","",IF($AI212&gt;INDEX($AG$3:$AG$16,MATCH(design_loads!$E$6,$AE$3:$AE$16)),"&lt;scroll up&gt;",OFFSET(OFFSET('NBCC_C-2'!$B$1,INDEX($AF$3:$AF$16,MATCH(design_loads!$E$6,$AE$3:$AE$16))-1,0),$AI212-1,0)))</f>
        <v/>
      </c>
      <c r="AL212" s="63" t="str">
        <f ca="1">IF(design_loads!$E$7="","",IF($AI212&gt;INDEX($AG$3:$AG$16,MATCH(design_loads!$E$7,$AE$3:$AE$16)),"&lt;scroll up&gt;",OFFSET(OFFSET('NBCC_C-2'!$B$1,INDEX($AF$3:$AF$16,MATCH(design_loads!$E$7,$AE$3:$AE$16))-1,0),$AI212-1,0)))</f>
        <v/>
      </c>
      <c r="AM212" s="63" t="str">
        <f ca="1">IF(design_loads!$E$8="","",IF($AI212&gt;INDEX($AG$3:$AG$16,MATCH(design_loads!$E$8,$AE$3:$AE$16)),"&lt;scroll up&gt;",OFFSET(OFFSET('NBCC_C-2'!$B$1,INDEX($AF$3:$AF$16,MATCH(design_loads!$E$8,$AE$3:$AE$16))-1,0),$AI212-1,0)))</f>
        <v/>
      </c>
    </row>
    <row r="213" spans="2:39" x14ac:dyDescent="0.2">
      <c r="B213" s="66" t="s">
        <v>600</v>
      </c>
      <c r="C213" s="67" t="s">
        <v>224</v>
      </c>
      <c r="D213" s="68">
        <v>61</v>
      </c>
      <c r="F213" s="66" t="s">
        <v>601</v>
      </c>
      <c r="G213" s="67" t="s">
        <v>264</v>
      </c>
      <c r="H213" s="68">
        <v>62</v>
      </c>
      <c r="I213" s="70">
        <v>215</v>
      </c>
      <c r="J213" s="70">
        <v>-16</v>
      </c>
      <c r="K213" s="70">
        <v>-18</v>
      </c>
      <c r="L213" s="70">
        <v>31</v>
      </c>
      <c r="M213" s="70">
        <v>23</v>
      </c>
      <c r="N213" s="70">
        <v>3850</v>
      </c>
      <c r="O213" s="70">
        <v>23</v>
      </c>
      <c r="P213" s="71">
        <v>103</v>
      </c>
      <c r="Q213" s="71">
        <v>810</v>
      </c>
      <c r="R213" s="72">
        <v>0.95</v>
      </c>
      <c r="S213" s="71">
        <v>875</v>
      </c>
      <c r="T213" s="71">
        <v>160</v>
      </c>
      <c r="U213" s="73">
        <v>2</v>
      </c>
      <c r="V213" s="73">
        <v>0.4</v>
      </c>
      <c r="W213" s="72">
        <v>0.39</v>
      </c>
      <c r="X213" s="72">
        <v>0.52</v>
      </c>
      <c r="Y213" s="72">
        <v>0.14000000000000001</v>
      </c>
      <c r="Z213" s="74">
        <v>7.6999999999999999E-2</v>
      </c>
      <c r="AA213" s="74">
        <v>4.1000000000000002E-2</v>
      </c>
      <c r="AB213" s="74">
        <v>1.0999999999999999E-2</v>
      </c>
      <c r="AC213" s="74">
        <v>7.9000000000000001E-2</v>
      </c>
      <c r="AE213" s="59"/>
      <c r="AF213" s="59"/>
      <c r="AG213" s="59"/>
      <c r="AH213" s="59"/>
      <c r="AI213" s="62">
        <v>211</v>
      </c>
      <c r="AJ213" s="63" t="str">
        <f ca="1">IF(design_loads!$E$5="","",IF($AI213&gt;INDEX($AG$3:$AG$16,MATCH(design_loads!$E$5,$AE$3:$AE$16)),"&lt;scroll up&gt;",OFFSET(OFFSET('NBCC_C-2'!$B$1,INDEX($AF$3:$AF$16,MATCH(design_loads!$E$5,$AE$3:$AE$16))-1,0),$AI213-1,0)))</f>
        <v>&lt;scroll up&gt;</v>
      </c>
      <c r="AK213" s="63" t="str">
        <f ca="1">IF(design_loads!$E$6="","",IF($AI213&gt;INDEX($AG$3:$AG$16,MATCH(design_loads!$E$6,$AE$3:$AE$16)),"&lt;scroll up&gt;",OFFSET(OFFSET('NBCC_C-2'!$B$1,INDEX($AF$3:$AF$16,MATCH(design_loads!$E$6,$AE$3:$AE$16))-1,0),$AI213-1,0)))</f>
        <v/>
      </c>
      <c r="AL213" s="63" t="str">
        <f ca="1">IF(design_loads!$E$7="","",IF($AI213&gt;INDEX($AG$3:$AG$16,MATCH(design_loads!$E$7,$AE$3:$AE$16)),"&lt;scroll up&gt;",OFFSET(OFFSET('NBCC_C-2'!$B$1,INDEX($AF$3:$AF$16,MATCH(design_loads!$E$7,$AE$3:$AE$16))-1,0),$AI213-1,0)))</f>
        <v/>
      </c>
      <c r="AM213" s="63" t="str">
        <f ca="1">IF(design_loads!$E$8="","",IF($AI213&gt;INDEX($AG$3:$AG$16,MATCH(design_loads!$E$8,$AE$3:$AE$16)),"&lt;scroll up&gt;",OFFSET(OFFSET('NBCC_C-2'!$B$1,INDEX($AF$3:$AF$16,MATCH(design_loads!$E$8,$AE$3:$AE$16))-1,0),$AI213-1,0)))</f>
        <v/>
      </c>
    </row>
    <row r="214" spans="2:39" x14ac:dyDescent="0.2">
      <c r="B214" s="66" t="s">
        <v>602</v>
      </c>
      <c r="C214" s="67" t="s">
        <v>224</v>
      </c>
      <c r="D214" s="68">
        <v>62</v>
      </c>
      <c r="F214" s="66" t="s">
        <v>344</v>
      </c>
      <c r="G214" s="67" t="s">
        <v>247</v>
      </c>
      <c r="H214" s="68">
        <v>48</v>
      </c>
      <c r="I214" s="76">
        <v>221</v>
      </c>
      <c r="J214" s="70">
        <v>-43</v>
      </c>
      <c r="K214" s="70">
        <v>-46</v>
      </c>
      <c r="L214" s="70">
        <v>26</v>
      </c>
      <c r="M214" s="70">
        <v>19</v>
      </c>
      <c r="N214" s="76">
        <v>7400</v>
      </c>
      <c r="O214" s="76">
        <v>12</v>
      </c>
      <c r="P214" s="77">
        <v>70</v>
      </c>
      <c r="Q214" s="77">
        <v>245</v>
      </c>
      <c r="R214" s="72">
        <v>0.55000000000000004</v>
      </c>
      <c r="S214" s="77">
        <v>381</v>
      </c>
      <c r="T214" s="77">
        <v>80</v>
      </c>
      <c r="U214" s="73">
        <v>2.2000000000000002</v>
      </c>
      <c r="V214" s="73">
        <v>0.1</v>
      </c>
      <c r="W214" s="72">
        <v>0.32</v>
      </c>
      <c r="X214" s="72">
        <v>0.43</v>
      </c>
      <c r="Y214" s="72">
        <v>0.12</v>
      </c>
      <c r="Z214" s="74">
        <v>0.06</v>
      </c>
      <c r="AA214" s="74">
        <v>0.02</v>
      </c>
      <c r="AB214" s="74">
        <v>0.01</v>
      </c>
      <c r="AC214" s="74">
        <v>0.06</v>
      </c>
      <c r="AE214" s="59"/>
      <c r="AF214" s="59"/>
      <c r="AG214" s="59"/>
      <c r="AH214" s="59"/>
      <c r="AI214" s="62">
        <v>212</v>
      </c>
      <c r="AJ214" s="63" t="str">
        <f ca="1">IF(design_loads!$E$5="","",IF($AI214&gt;INDEX($AG$3:$AG$16,MATCH(design_loads!$E$5,$AE$3:$AE$16)),"&lt;scroll up&gt;",OFFSET(OFFSET('NBCC_C-2'!$B$1,INDEX($AF$3:$AF$16,MATCH(design_loads!$E$5,$AE$3:$AE$16))-1,0),$AI214-1,0)))</f>
        <v>&lt;scroll up&gt;</v>
      </c>
      <c r="AK214" s="63" t="str">
        <f ca="1">IF(design_loads!$E$6="","",IF($AI214&gt;INDEX($AG$3:$AG$16,MATCH(design_loads!$E$6,$AE$3:$AE$16)),"&lt;scroll up&gt;",OFFSET(OFFSET('NBCC_C-2'!$B$1,INDEX($AF$3:$AF$16,MATCH(design_loads!$E$6,$AE$3:$AE$16))-1,0),$AI214-1,0)))</f>
        <v/>
      </c>
      <c r="AL214" s="63" t="str">
        <f ca="1">IF(design_loads!$E$7="","",IF($AI214&gt;INDEX($AG$3:$AG$16,MATCH(design_loads!$E$7,$AE$3:$AE$16)),"&lt;scroll up&gt;",OFFSET(OFFSET('NBCC_C-2'!$B$1,INDEX($AF$3:$AF$16,MATCH(design_loads!$E$7,$AE$3:$AE$16))-1,0),$AI214-1,0)))</f>
        <v/>
      </c>
      <c r="AM214" s="63" t="str">
        <f ca="1">IF(design_loads!$E$8="","",IF($AI214&gt;INDEX($AG$3:$AG$16,MATCH(design_loads!$E$8,$AE$3:$AE$16)),"&lt;scroll up&gt;",OFFSET(OFFSET('NBCC_C-2'!$B$1,INDEX($AF$3:$AF$16,MATCH(design_loads!$E$8,$AE$3:$AE$16))-1,0),$AI214-1,0)))</f>
        <v/>
      </c>
    </row>
    <row r="215" spans="2:39" x14ac:dyDescent="0.2">
      <c r="B215" s="66" t="s">
        <v>603</v>
      </c>
      <c r="C215" s="67" t="s">
        <v>224</v>
      </c>
      <c r="D215" s="68">
        <v>63</v>
      </c>
      <c r="F215" s="66" t="s">
        <v>604</v>
      </c>
      <c r="G215" s="67" t="s">
        <v>264</v>
      </c>
      <c r="H215" s="68">
        <v>63</v>
      </c>
      <c r="I215" s="70">
        <v>180</v>
      </c>
      <c r="J215" s="70">
        <v>-15</v>
      </c>
      <c r="K215" s="70">
        <v>-17</v>
      </c>
      <c r="L215" s="70">
        <v>30</v>
      </c>
      <c r="M215" s="70">
        <v>24</v>
      </c>
      <c r="N215" s="70">
        <v>3800</v>
      </c>
      <c r="O215" s="70">
        <v>23</v>
      </c>
      <c r="P215" s="71">
        <v>113</v>
      </c>
      <c r="Q215" s="71">
        <v>860</v>
      </c>
      <c r="R215" s="72">
        <v>0.98</v>
      </c>
      <c r="S215" s="71">
        <v>1020</v>
      </c>
      <c r="T215" s="71">
        <v>160</v>
      </c>
      <c r="U215" s="73">
        <v>2.6</v>
      </c>
      <c r="V215" s="73">
        <v>0.4</v>
      </c>
      <c r="W215" s="72">
        <v>0.36</v>
      </c>
      <c r="X215" s="72">
        <v>0.46</v>
      </c>
      <c r="Y215" s="72">
        <v>0.4</v>
      </c>
      <c r="Z215" s="74">
        <v>0.19</v>
      </c>
      <c r="AA215" s="74">
        <v>7.0000000000000007E-2</v>
      </c>
      <c r="AB215" s="74">
        <v>2.1000000000000001E-2</v>
      </c>
      <c r="AC215" s="74">
        <v>0.28999999999999998</v>
      </c>
      <c r="AE215" s="59"/>
      <c r="AF215" s="59"/>
      <c r="AG215" s="59"/>
      <c r="AH215" s="59"/>
      <c r="AI215" s="62">
        <v>213</v>
      </c>
      <c r="AJ215" s="63" t="str">
        <f ca="1">IF(design_loads!$E$5="","",IF($AI215&gt;INDEX($AG$3:$AG$16,MATCH(design_loads!$E$5,$AE$3:$AE$16)),"&lt;scroll up&gt;",OFFSET(OFFSET('NBCC_C-2'!$B$1,INDEX($AF$3:$AF$16,MATCH(design_loads!$E$5,$AE$3:$AE$16))-1,0),$AI215-1,0)))</f>
        <v>&lt;scroll up&gt;</v>
      </c>
      <c r="AK215" s="63" t="str">
        <f ca="1">IF(design_loads!$E$6="","",IF($AI215&gt;INDEX($AG$3:$AG$16,MATCH(design_loads!$E$6,$AE$3:$AE$16)),"&lt;scroll up&gt;",OFFSET(OFFSET('NBCC_C-2'!$B$1,INDEX($AF$3:$AF$16,MATCH(design_loads!$E$6,$AE$3:$AE$16))-1,0),$AI215-1,0)))</f>
        <v/>
      </c>
      <c r="AL215" s="63" t="str">
        <f ca="1">IF(design_loads!$E$7="","",IF($AI215&gt;INDEX($AG$3:$AG$16,MATCH(design_loads!$E$7,$AE$3:$AE$16)),"&lt;scroll up&gt;",OFFSET(OFFSET('NBCC_C-2'!$B$1,INDEX($AF$3:$AF$16,MATCH(design_loads!$E$7,$AE$3:$AE$16))-1,0),$AI215-1,0)))</f>
        <v/>
      </c>
      <c r="AM215" s="63" t="str">
        <f ca="1">IF(design_loads!$E$8="","",IF($AI215&gt;INDEX($AG$3:$AG$16,MATCH(design_loads!$E$8,$AE$3:$AE$16)),"&lt;scroll up&gt;",OFFSET(OFFSET('NBCC_C-2'!$B$1,INDEX($AF$3:$AF$16,MATCH(design_loads!$E$8,$AE$3:$AE$16))-1,0),$AI215-1,0)))</f>
        <v/>
      </c>
    </row>
    <row r="216" spans="2:39" x14ac:dyDescent="0.2">
      <c r="B216" s="66" t="s">
        <v>605</v>
      </c>
      <c r="C216" s="67" t="s">
        <v>224</v>
      </c>
      <c r="D216" s="68">
        <v>64</v>
      </c>
      <c r="F216" s="66" t="s">
        <v>606</v>
      </c>
      <c r="G216" s="67" t="s">
        <v>264</v>
      </c>
      <c r="H216" s="68">
        <v>64</v>
      </c>
      <c r="I216" s="70">
        <v>190</v>
      </c>
      <c r="J216" s="70">
        <v>-15</v>
      </c>
      <c r="K216" s="70">
        <v>-17</v>
      </c>
      <c r="L216" s="70">
        <v>30</v>
      </c>
      <c r="M216" s="70">
        <v>24</v>
      </c>
      <c r="N216" s="70">
        <v>3750</v>
      </c>
      <c r="O216" s="70">
        <v>28</v>
      </c>
      <c r="P216" s="71">
        <v>113</v>
      </c>
      <c r="Q216" s="71">
        <v>860</v>
      </c>
      <c r="R216" s="72">
        <v>0.98</v>
      </c>
      <c r="S216" s="71">
        <v>1000</v>
      </c>
      <c r="T216" s="71">
        <v>160</v>
      </c>
      <c r="U216" s="73">
        <v>2.5</v>
      </c>
      <c r="V216" s="73">
        <v>0.4</v>
      </c>
      <c r="W216" s="72">
        <v>0.37</v>
      </c>
      <c r="X216" s="72">
        <v>0.46</v>
      </c>
      <c r="Y216" s="72">
        <v>0.39</v>
      </c>
      <c r="Z216" s="74">
        <v>0.19</v>
      </c>
      <c r="AA216" s="74">
        <v>6.8000000000000005E-2</v>
      </c>
      <c r="AB216" s="74">
        <v>0.02</v>
      </c>
      <c r="AC216" s="74">
        <v>0.28000000000000003</v>
      </c>
      <c r="AE216" s="59"/>
      <c r="AF216" s="59"/>
      <c r="AG216" s="59"/>
      <c r="AH216" s="59"/>
      <c r="AI216" s="62">
        <v>214</v>
      </c>
      <c r="AJ216" s="63" t="str">
        <f ca="1">IF(design_loads!$E$5="","",IF($AI216&gt;INDEX($AG$3:$AG$16,MATCH(design_loads!$E$5,$AE$3:$AE$16)),"&lt;scroll up&gt;",OFFSET(OFFSET('NBCC_C-2'!$B$1,INDEX($AF$3:$AF$16,MATCH(design_loads!$E$5,$AE$3:$AE$16))-1,0),$AI216-1,0)))</f>
        <v>&lt;scroll up&gt;</v>
      </c>
      <c r="AK216" s="63" t="str">
        <f ca="1">IF(design_loads!$E$6="","",IF($AI216&gt;INDEX($AG$3:$AG$16,MATCH(design_loads!$E$6,$AE$3:$AE$16)),"&lt;scroll up&gt;",OFFSET(OFFSET('NBCC_C-2'!$B$1,INDEX($AF$3:$AF$16,MATCH(design_loads!$E$6,$AE$3:$AE$16))-1,0),$AI216-1,0)))</f>
        <v/>
      </c>
      <c r="AL216" s="63" t="str">
        <f ca="1">IF(design_loads!$E$7="","",IF($AI216&gt;INDEX($AG$3:$AG$16,MATCH(design_loads!$E$7,$AE$3:$AE$16)),"&lt;scroll up&gt;",OFFSET(OFFSET('NBCC_C-2'!$B$1,INDEX($AF$3:$AF$16,MATCH(design_loads!$E$7,$AE$3:$AE$16))-1,0),$AI216-1,0)))</f>
        <v/>
      </c>
      <c r="AM216" s="63" t="str">
        <f ca="1">IF(design_loads!$E$8="","",IF($AI216&gt;INDEX($AG$3:$AG$16,MATCH(design_loads!$E$8,$AE$3:$AE$16)),"&lt;scroll up&gt;",OFFSET(OFFSET('NBCC_C-2'!$B$1,INDEX($AF$3:$AF$16,MATCH(design_loads!$E$8,$AE$3:$AE$16))-1,0),$AI216-1,0)))</f>
        <v/>
      </c>
    </row>
    <row r="217" spans="2:39" x14ac:dyDescent="0.2">
      <c r="B217" s="66" t="s">
        <v>607</v>
      </c>
      <c r="C217" s="67" t="s">
        <v>224</v>
      </c>
      <c r="D217" s="68">
        <v>65</v>
      </c>
      <c r="F217" s="66" t="s">
        <v>608</v>
      </c>
      <c r="G217" s="67" t="s">
        <v>264</v>
      </c>
      <c r="H217" s="68">
        <v>65</v>
      </c>
      <c r="I217" s="70">
        <v>340</v>
      </c>
      <c r="J217" s="70">
        <v>-33</v>
      </c>
      <c r="K217" s="70">
        <v>-35</v>
      </c>
      <c r="L217" s="70">
        <v>29</v>
      </c>
      <c r="M217" s="70">
        <v>22</v>
      </c>
      <c r="N217" s="70">
        <v>5550</v>
      </c>
      <c r="O217" s="70">
        <v>25</v>
      </c>
      <c r="P217" s="71">
        <v>108</v>
      </c>
      <c r="Q217" s="71">
        <v>570</v>
      </c>
      <c r="R217" s="72">
        <v>0.71</v>
      </c>
      <c r="S217" s="71">
        <v>725</v>
      </c>
      <c r="T217" s="71">
        <v>120</v>
      </c>
      <c r="U217" s="73">
        <v>2.2999999999999998</v>
      </c>
      <c r="V217" s="73">
        <v>0.3</v>
      </c>
      <c r="W217" s="72">
        <v>0.23</v>
      </c>
      <c r="X217" s="72">
        <v>0.31</v>
      </c>
      <c r="Y217" s="72">
        <v>0.12</v>
      </c>
      <c r="Z217" s="74">
        <v>5.6000000000000001E-2</v>
      </c>
      <c r="AA217" s="74">
        <v>2.3E-2</v>
      </c>
      <c r="AB217" s="74">
        <v>6.0000000000000001E-3</v>
      </c>
      <c r="AC217" s="74">
        <v>5.8999999999999997E-2</v>
      </c>
      <c r="AE217" s="59"/>
      <c r="AF217" s="59"/>
      <c r="AG217" s="59"/>
      <c r="AH217" s="59"/>
      <c r="AI217" s="62">
        <v>215</v>
      </c>
      <c r="AJ217" s="63" t="str">
        <f ca="1">IF(design_loads!$E$5="","",IF($AI217&gt;INDEX($AG$3:$AG$16,MATCH(design_loads!$E$5,$AE$3:$AE$16)),"&lt;scroll up&gt;",OFFSET(OFFSET('NBCC_C-2'!$B$1,INDEX($AF$3:$AF$16,MATCH(design_loads!$E$5,$AE$3:$AE$16))-1,0),$AI217-1,0)))</f>
        <v>&lt;scroll up&gt;</v>
      </c>
      <c r="AK217" s="63" t="str">
        <f ca="1">IF(design_loads!$E$6="","",IF($AI217&gt;INDEX($AG$3:$AG$16,MATCH(design_loads!$E$6,$AE$3:$AE$16)),"&lt;scroll up&gt;",OFFSET(OFFSET('NBCC_C-2'!$B$1,INDEX($AF$3:$AF$16,MATCH(design_loads!$E$6,$AE$3:$AE$16))-1,0),$AI217-1,0)))</f>
        <v/>
      </c>
      <c r="AL217" s="63" t="str">
        <f ca="1">IF(design_loads!$E$7="","",IF($AI217&gt;INDEX($AG$3:$AG$16,MATCH(design_loads!$E$7,$AE$3:$AE$16)),"&lt;scroll up&gt;",OFFSET(OFFSET('NBCC_C-2'!$B$1,INDEX($AF$3:$AF$16,MATCH(design_loads!$E$7,$AE$3:$AE$16))-1,0),$AI217-1,0)))</f>
        <v/>
      </c>
      <c r="AM217" s="63" t="str">
        <f ca="1">IF(design_loads!$E$8="","",IF($AI217&gt;INDEX($AG$3:$AG$16,MATCH(design_loads!$E$8,$AE$3:$AE$16)),"&lt;scroll up&gt;",OFFSET(OFFSET('NBCC_C-2'!$B$1,INDEX($AF$3:$AF$16,MATCH(design_loads!$E$8,$AE$3:$AE$16))-1,0),$AI217-1,0)))</f>
        <v/>
      </c>
    </row>
    <row r="218" spans="2:39" x14ac:dyDescent="0.2">
      <c r="B218" s="66" t="s">
        <v>609</v>
      </c>
      <c r="C218" s="67" t="s">
        <v>224</v>
      </c>
      <c r="D218" s="68">
        <v>66</v>
      </c>
      <c r="F218" s="66" t="s">
        <v>610</v>
      </c>
      <c r="G218" s="67" t="s">
        <v>265</v>
      </c>
      <c r="H218" s="68">
        <v>3</v>
      </c>
      <c r="I218" s="70">
        <v>100</v>
      </c>
      <c r="J218" s="70">
        <v>-46</v>
      </c>
      <c r="K218" s="70">
        <v>-48</v>
      </c>
      <c r="L218" s="70">
        <v>27</v>
      </c>
      <c r="M218" s="70">
        <v>17</v>
      </c>
      <c r="N218" s="70">
        <v>9350</v>
      </c>
      <c r="O218" s="70">
        <v>5</v>
      </c>
      <c r="P218" s="71">
        <v>65</v>
      </c>
      <c r="Q218" s="71">
        <v>140</v>
      </c>
      <c r="R218" s="72">
        <v>0.6</v>
      </c>
      <c r="S218" s="71">
        <v>280</v>
      </c>
      <c r="T218" s="71">
        <v>80</v>
      </c>
      <c r="U218" s="73">
        <v>2.9</v>
      </c>
      <c r="V218" s="73">
        <v>0.1</v>
      </c>
      <c r="W218" s="72">
        <v>0.48</v>
      </c>
      <c r="X218" s="72">
        <v>0.63</v>
      </c>
      <c r="Y218" s="72">
        <v>0.15</v>
      </c>
      <c r="Z218" s="74">
        <v>0.1</v>
      </c>
      <c r="AA218" s="74">
        <v>5.8999999999999997E-2</v>
      </c>
      <c r="AB218" s="74">
        <v>3.5999999999999997E-2</v>
      </c>
      <c r="AC218" s="74">
        <v>0.08</v>
      </c>
      <c r="AE218" s="59"/>
      <c r="AF218" s="59"/>
      <c r="AG218" s="59"/>
      <c r="AH218" s="59"/>
      <c r="AI218" s="62">
        <v>216</v>
      </c>
      <c r="AJ218" s="63" t="str">
        <f ca="1">IF(design_loads!$E$5="","",IF($AI218&gt;INDEX($AG$3:$AG$16,MATCH(design_loads!$E$5,$AE$3:$AE$16)),"&lt;scroll up&gt;",OFFSET(OFFSET('NBCC_C-2'!$B$1,INDEX($AF$3:$AF$16,MATCH(design_loads!$E$5,$AE$3:$AE$16))-1,0),$AI218-1,0)))</f>
        <v>&lt;scroll up&gt;</v>
      </c>
      <c r="AK218" s="63" t="str">
        <f ca="1">IF(design_loads!$E$6="","",IF($AI218&gt;INDEX($AG$3:$AG$16,MATCH(design_loads!$E$6,$AE$3:$AE$16)),"&lt;scroll up&gt;",OFFSET(OFFSET('NBCC_C-2'!$B$1,INDEX($AF$3:$AF$16,MATCH(design_loads!$E$6,$AE$3:$AE$16))-1,0),$AI218-1,0)))</f>
        <v/>
      </c>
      <c r="AL218" s="63" t="str">
        <f ca="1">IF(design_loads!$E$7="","",IF($AI218&gt;INDEX($AG$3:$AG$16,MATCH(design_loads!$E$7,$AE$3:$AE$16)),"&lt;scroll up&gt;",OFFSET(OFFSET('NBCC_C-2'!$B$1,INDEX($AF$3:$AF$16,MATCH(design_loads!$E$7,$AE$3:$AE$16))-1,0),$AI218-1,0)))</f>
        <v/>
      </c>
      <c r="AM218" s="63" t="str">
        <f ca="1">IF(design_loads!$E$8="","",IF($AI218&gt;INDEX($AG$3:$AG$16,MATCH(design_loads!$E$8,$AE$3:$AE$16)),"&lt;scroll up&gt;",OFFSET(OFFSET('NBCC_C-2'!$B$1,INDEX($AF$3:$AF$16,MATCH(design_loads!$E$8,$AE$3:$AE$16))-1,0),$AI218-1,0)))</f>
        <v/>
      </c>
    </row>
    <row r="219" spans="2:39" x14ac:dyDescent="0.2">
      <c r="B219" s="66" t="s">
        <v>223</v>
      </c>
      <c r="C219" s="67" t="s">
        <v>224</v>
      </c>
      <c r="D219" s="68">
        <v>67</v>
      </c>
      <c r="F219" s="66" t="s">
        <v>346</v>
      </c>
      <c r="G219" s="67" t="s">
        <v>247</v>
      </c>
      <c r="H219" s="68">
        <v>49</v>
      </c>
      <c r="I219" s="76">
        <v>945</v>
      </c>
      <c r="J219" s="70">
        <v>-31</v>
      </c>
      <c r="K219" s="70">
        <v>-33</v>
      </c>
      <c r="L219" s="70">
        <v>31</v>
      </c>
      <c r="M219" s="70">
        <v>18</v>
      </c>
      <c r="N219" s="76">
        <v>4600</v>
      </c>
      <c r="O219" s="76">
        <v>16</v>
      </c>
      <c r="P219" s="77">
        <v>97</v>
      </c>
      <c r="Q219" s="77">
        <v>300</v>
      </c>
      <c r="R219" s="72">
        <v>0.35</v>
      </c>
      <c r="S219" s="77">
        <v>425</v>
      </c>
      <c r="T219" s="77">
        <v>180</v>
      </c>
      <c r="U219" s="73">
        <v>1.2</v>
      </c>
      <c r="V219" s="73">
        <v>0.1</v>
      </c>
      <c r="W219" s="72">
        <v>0.68</v>
      </c>
      <c r="X219" s="72">
        <v>0.9</v>
      </c>
      <c r="Y219" s="72">
        <v>0.16</v>
      </c>
      <c r="Z219" s="74">
        <v>9.7000000000000003E-2</v>
      </c>
      <c r="AA219" s="74">
        <v>0.05</v>
      </c>
      <c r="AB219" s="74">
        <v>2.8000000000000001E-2</v>
      </c>
      <c r="AC219" s="74">
        <v>9.4E-2</v>
      </c>
      <c r="AE219" s="59"/>
      <c r="AF219" s="59"/>
      <c r="AG219" s="59"/>
      <c r="AH219" s="59"/>
      <c r="AI219" s="62">
        <v>217</v>
      </c>
      <c r="AJ219" s="63" t="str">
        <f ca="1">IF(design_loads!$E$5="","",IF($AI219&gt;INDEX($AG$3:$AG$16,MATCH(design_loads!$E$5,$AE$3:$AE$16)),"&lt;scroll up&gt;",OFFSET(OFFSET('NBCC_C-2'!$B$1,INDEX($AF$3:$AF$16,MATCH(design_loads!$E$5,$AE$3:$AE$16))-1,0),$AI219-1,0)))</f>
        <v>&lt;scroll up&gt;</v>
      </c>
      <c r="AK219" s="63" t="str">
        <f ca="1">IF(design_loads!$E$6="","",IF($AI219&gt;INDEX($AG$3:$AG$16,MATCH(design_loads!$E$6,$AE$3:$AE$16)),"&lt;scroll up&gt;",OFFSET(OFFSET('NBCC_C-2'!$B$1,INDEX($AF$3:$AF$16,MATCH(design_loads!$E$6,$AE$3:$AE$16))-1,0),$AI219-1,0)))</f>
        <v/>
      </c>
      <c r="AL219" s="63" t="str">
        <f ca="1">IF(design_loads!$E$7="","",IF($AI219&gt;INDEX($AG$3:$AG$16,MATCH(design_loads!$E$7,$AE$3:$AE$16)),"&lt;scroll up&gt;",OFFSET(OFFSET('NBCC_C-2'!$B$1,INDEX($AF$3:$AF$16,MATCH(design_loads!$E$7,$AE$3:$AE$16))-1,0),$AI219-1,0)))</f>
        <v/>
      </c>
      <c r="AM219" s="63" t="str">
        <f ca="1">IF(design_loads!$E$8="","",IF($AI219&gt;INDEX($AG$3:$AG$16,MATCH(design_loads!$E$8,$AE$3:$AE$16)),"&lt;scroll up&gt;",OFFSET(OFFSET('NBCC_C-2'!$B$1,INDEX($AF$3:$AF$16,MATCH(design_loads!$E$8,$AE$3:$AE$16))-1,0),$AI219-1,0)))</f>
        <v/>
      </c>
    </row>
    <row r="220" spans="2:39" x14ac:dyDescent="0.2">
      <c r="B220" s="66" t="s">
        <v>611</v>
      </c>
      <c r="C220" s="67" t="s">
        <v>224</v>
      </c>
      <c r="D220" s="68">
        <v>68</v>
      </c>
      <c r="F220" s="66" t="s">
        <v>348</v>
      </c>
      <c r="G220" s="67" t="s">
        <v>247</v>
      </c>
      <c r="H220" s="68">
        <v>50</v>
      </c>
      <c r="I220" s="76">
        <v>255</v>
      </c>
      <c r="J220" s="70">
        <v>-39</v>
      </c>
      <c r="K220" s="70">
        <v>-41</v>
      </c>
      <c r="L220" s="70">
        <v>28</v>
      </c>
      <c r="M220" s="70">
        <v>19</v>
      </c>
      <c r="N220" s="76">
        <v>6550</v>
      </c>
      <c r="O220" s="76">
        <v>13</v>
      </c>
      <c r="P220" s="77">
        <v>92</v>
      </c>
      <c r="Q220" s="77">
        <v>340</v>
      </c>
      <c r="R220" s="72">
        <v>0.52</v>
      </c>
      <c r="S220" s="77">
        <v>460</v>
      </c>
      <c r="T220" s="77">
        <v>60</v>
      </c>
      <c r="U220" s="73">
        <v>1.4</v>
      </c>
      <c r="V220" s="73">
        <v>0.1</v>
      </c>
      <c r="W220" s="72">
        <v>0.27</v>
      </c>
      <c r="X220" s="72">
        <v>0.35</v>
      </c>
      <c r="Y220" s="72">
        <v>0.12</v>
      </c>
      <c r="Z220" s="74">
        <v>5.6000000000000001E-2</v>
      </c>
      <c r="AA220" s="74">
        <v>2.3E-2</v>
      </c>
      <c r="AB220" s="74">
        <v>6.0000000000000001E-3</v>
      </c>
      <c r="AC220" s="74">
        <v>5.8999999999999997E-2</v>
      </c>
      <c r="AE220" s="59"/>
      <c r="AF220" s="59"/>
      <c r="AG220" s="59"/>
      <c r="AH220" s="59"/>
      <c r="AI220" s="62">
        <v>218</v>
      </c>
      <c r="AJ220" s="63" t="str">
        <f ca="1">IF(design_loads!$E$5="","",IF($AI220&gt;INDEX($AG$3:$AG$16,MATCH(design_loads!$E$5,$AE$3:$AE$16)),"&lt;scroll up&gt;",OFFSET(OFFSET('NBCC_C-2'!$B$1,INDEX($AF$3:$AF$16,MATCH(design_loads!$E$5,$AE$3:$AE$16))-1,0),$AI220-1,0)))</f>
        <v>&lt;scroll up&gt;</v>
      </c>
      <c r="AK220" s="63" t="str">
        <f ca="1">IF(design_loads!$E$6="","",IF($AI220&gt;INDEX($AG$3:$AG$16,MATCH(design_loads!$E$6,$AE$3:$AE$16)),"&lt;scroll up&gt;",OFFSET(OFFSET('NBCC_C-2'!$B$1,INDEX($AF$3:$AF$16,MATCH(design_loads!$E$6,$AE$3:$AE$16))-1,0),$AI220-1,0)))</f>
        <v/>
      </c>
      <c r="AL220" s="63" t="str">
        <f ca="1">IF(design_loads!$E$7="","",IF($AI220&gt;INDEX($AG$3:$AG$16,MATCH(design_loads!$E$7,$AE$3:$AE$16)),"&lt;scroll up&gt;",OFFSET(OFFSET('NBCC_C-2'!$B$1,INDEX($AF$3:$AF$16,MATCH(design_loads!$E$7,$AE$3:$AE$16))-1,0),$AI220-1,0)))</f>
        <v/>
      </c>
      <c r="AM220" s="63" t="str">
        <f ca="1">IF(design_loads!$E$8="","",IF($AI220&gt;INDEX($AG$3:$AG$16,MATCH(design_loads!$E$8,$AE$3:$AE$16)),"&lt;scroll up&gt;",OFFSET(OFFSET('NBCC_C-2'!$B$1,INDEX($AF$3:$AF$16,MATCH(design_loads!$E$8,$AE$3:$AE$16))-1,0),$AI220-1,0)))</f>
        <v/>
      </c>
    </row>
    <row r="221" spans="2:39" x14ac:dyDescent="0.2">
      <c r="B221" s="66" t="s">
        <v>612</v>
      </c>
      <c r="C221" s="67" t="s">
        <v>224</v>
      </c>
      <c r="D221" s="68">
        <v>69</v>
      </c>
      <c r="F221" s="66" t="s">
        <v>542</v>
      </c>
      <c r="G221" s="67" t="s">
        <v>224</v>
      </c>
      <c r="H221" s="68">
        <v>26</v>
      </c>
      <c r="I221" s="70">
        <v>465</v>
      </c>
      <c r="J221" s="70">
        <v>-40</v>
      </c>
      <c r="K221" s="70">
        <v>-42</v>
      </c>
      <c r="L221" s="70">
        <v>28</v>
      </c>
      <c r="M221" s="70">
        <v>18</v>
      </c>
      <c r="N221" s="70">
        <v>7000</v>
      </c>
      <c r="O221" s="70">
        <v>13</v>
      </c>
      <c r="P221" s="71">
        <v>70</v>
      </c>
      <c r="Q221" s="71">
        <v>325</v>
      </c>
      <c r="R221" s="72">
        <v>0.56000000000000005</v>
      </c>
      <c r="S221" s="71">
        <v>450</v>
      </c>
      <c r="T221" s="71">
        <v>80</v>
      </c>
      <c r="U221" s="73">
        <v>2.4</v>
      </c>
      <c r="V221" s="73">
        <v>0.1</v>
      </c>
      <c r="W221" s="72">
        <v>0.21</v>
      </c>
      <c r="X221" s="72">
        <v>0.28000000000000003</v>
      </c>
      <c r="Y221" s="72">
        <v>0.12</v>
      </c>
      <c r="Z221" s="74">
        <v>5.6000000000000001E-2</v>
      </c>
      <c r="AA221" s="74">
        <v>3.4000000000000002E-2</v>
      </c>
      <c r="AB221" s="74">
        <v>2.1999999999999999E-2</v>
      </c>
      <c r="AC221" s="74">
        <v>5.8999999999999997E-2</v>
      </c>
      <c r="AE221" s="59"/>
      <c r="AF221" s="59"/>
      <c r="AG221" s="59"/>
      <c r="AH221" s="59"/>
      <c r="AI221" s="62">
        <v>219</v>
      </c>
      <c r="AJ221" s="63" t="str">
        <f ca="1">IF(design_loads!$E$5="","",IF($AI221&gt;INDEX($AG$3:$AG$16,MATCH(design_loads!$E$5,$AE$3:$AE$16)),"&lt;scroll up&gt;",OFFSET(OFFSET('NBCC_C-2'!$B$1,INDEX($AF$3:$AF$16,MATCH(design_loads!$E$5,$AE$3:$AE$16))-1,0),$AI221-1,0)))</f>
        <v>&lt;scroll up&gt;</v>
      </c>
      <c r="AK221" s="63" t="str">
        <f ca="1">IF(design_loads!$E$6="","",IF($AI221&gt;INDEX($AG$3:$AG$16,MATCH(design_loads!$E$6,$AE$3:$AE$16)),"&lt;scroll up&gt;",OFFSET(OFFSET('NBCC_C-2'!$B$1,INDEX($AF$3:$AF$16,MATCH(design_loads!$E$6,$AE$3:$AE$16))-1,0),$AI221-1,0)))</f>
        <v/>
      </c>
      <c r="AL221" s="63" t="str">
        <f ca="1">IF(design_loads!$E$7="","",IF($AI221&gt;INDEX($AG$3:$AG$16,MATCH(design_loads!$E$7,$AE$3:$AE$16)),"&lt;scroll up&gt;",OFFSET(OFFSET('NBCC_C-2'!$B$1,INDEX($AF$3:$AF$16,MATCH(design_loads!$E$7,$AE$3:$AE$16))-1,0),$AI221-1,0)))</f>
        <v/>
      </c>
      <c r="AM221" s="63" t="str">
        <f ca="1">IF(design_loads!$E$8="","",IF($AI221&gt;INDEX($AG$3:$AG$16,MATCH(design_loads!$E$8,$AE$3:$AE$16)),"&lt;scroll up&gt;",OFFSET(OFFSET('NBCC_C-2'!$B$1,INDEX($AF$3:$AF$16,MATCH(design_loads!$E$8,$AE$3:$AE$16))-1,0),$AI221-1,0)))</f>
        <v/>
      </c>
    </row>
    <row r="222" spans="2:39" x14ac:dyDescent="0.2">
      <c r="B222" s="66" t="s">
        <v>613</v>
      </c>
      <c r="C222" s="67" t="s">
        <v>224</v>
      </c>
      <c r="D222" s="68">
        <v>70</v>
      </c>
      <c r="F222" s="66" t="s">
        <v>614</v>
      </c>
      <c r="G222" s="67" t="s">
        <v>265</v>
      </c>
      <c r="H222" s="68">
        <v>4</v>
      </c>
      <c r="I222" s="70">
        <v>150</v>
      </c>
      <c r="J222" s="70">
        <v>-44</v>
      </c>
      <c r="K222" s="70">
        <v>-46</v>
      </c>
      <c r="L222" s="70">
        <v>24</v>
      </c>
      <c r="M222" s="70">
        <v>18</v>
      </c>
      <c r="N222" s="70">
        <v>7900</v>
      </c>
      <c r="O222" s="70">
        <v>8</v>
      </c>
      <c r="P222" s="71">
        <v>71</v>
      </c>
      <c r="Q222" s="71">
        <v>210</v>
      </c>
      <c r="R222" s="72">
        <v>0.56000000000000005</v>
      </c>
      <c r="S222" s="71">
        <v>350</v>
      </c>
      <c r="T222" s="71">
        <v>100</v>
      </c>
      <c r="U222" s="73">
        <v>2.4</v>
      </c>
      <c r="V222" s="73">
        <v>0.1</v>
      </c>
      <c r="W222" s="72">
        <v>0.26</v>
      </c>
      <c r="X222" s="72">
        <v>0.35</v>
      </c>
      <c r="Y222" s="72">
        <v>0.12</v>
      </c>
      <c r="Z222" s="74">
        <v>5.6000000000000001E-2</v>
      </c>
      <c r="AA222" s="74">
        <v>2.3E-2</v>
      </c>
      <c r="AB222" s="74">
        <v>1.0999999999999999E-2</v>
      </c>
      <c r="AC222" s="74">
        <v>5.8999999999999997E-2</v>
      </c>
      <c r="AE222" s="59"/>
      <c r="AF222" s="59"/>
      <c r="AG222" s="59"/>
      <c r="AH222" s="59"/>
      <c r="AI222" s="62">
        <v>220</v>
      </c>
      <c r="AJ222" s="63" t="str">
        <f ca="1">IF(design_loads!$E$5="","",IF($AI222&gt;INDEX($AG$3:$AG$16,MATCH(design_loads!$E$5,$AE$3:$AE$16)),"&lt;scroll up&gt;",OFFSET(OFFSET('NBCC_C-2'!$B$1,INDEX($AF$3:$AF$16,MATCH(design_loads!$E$5,$AE$3:$AE$16))-1,0),$AI222-1,0)))</f>
        <v>&lt;scroll up&gt;</v>
      </c>
      <c r="AK222" s="63" t="str">
        <f ca="1">IF(design_loads!$E$6="","",IF($AI222&gt;INDEX($AG$3:$AG$16,MATCH(design_loads!$E$6,$AE$3:$AE$16)),"&lt;scroll up&gt;",OFFSET(OFFSET('NBCC_C-2'!$B$1,INDEX($AF$3:$AF$16,MATCH(design_loads!$E$6,$AE$3:$AE$16))-1,0),$AI222-1,0)))</f>
        <v/>
      </c>
      <c r="AL222" s="63" t="str">
        <f ca="1">IF(design_loads!$E$7="","",IF($AI222&gt;INDEX($AG$3:$AG$16,MATCH(design_loads!$E$7,$AE$3:$AE$16)),"&lt;scroll up&gt;",OFFSET(OFFSET('NBCC_C-2'!$B$1,INDEX($AF$3:$AF$16,MATCH(design_loads!$E$7,$AE$3:$AE$16))-1,0),$AI222-1,0)))</f>
        <v/>
      </c>
      <c r="AM222" s="63" t="str">
        <f ca="1">IF(design_loads!$E$8="","",IF($AI222&gt;INDEX($AG$3:$AG$16,MATCH(design_loads!$E$8,$AE$3:$AE$16)),"&lt;scroll up&gt;",OFFSET(OFFSET('NBCC_C-2'!$B$1,INDEX($AF$3:$AF$16,MATCH(design_loads!$E$8,$AE$3:$AE$16))-1,0),$AI222-1,0)))</f>
        <v/>
      </c>
    </row>
    <row r="223" spans="2:39" x14ac:dyDescent="0.2">
      <c r="B223" s="66" t="s">
        <v>615</v>
      </c>
      <c r="C223" s="67" t="s">
        <v>224</v>
      </c>
      <c r="D223" s="68">
        <v>71</v>
      </c>
      <c r="F223" s="66" t="s">
        <v>616</v>
      </c>
      <c r="G223" s="67" t="s">
        <v>265</v>
      </c>
      <c r="H223" s="68">
        <v>5</v>
      </c>
      <c r="I223" s="70">
        <v>160</v>
      </c>
      <c r="J223" s="70">
        <v>-42</v>
      </c>
      <c r="K223" s="70">
        <v>-44</v>
      </c>
      <c r="L223" s="70">
        <v>26</v>
      </c>
      <c r="M223" s="70">
        <v>18</v>
      </c>
      <c r="N223" s="70">
        <v>8050</v>
      </c>
      <c r="O223" s="70">
        <v>8</v>
      </c>
      <c r="P223" s="71">
        <v>60</v>
      </c>
      <c r="Q223" s="71">
        <v>175</v>
      </c>
      <c r="R223" s="72">
        <v>0.61</v>
      </c>
      <c r="S223" s="71">
        <v>300</v>
      </c>
      <c r="T223" s="71">
        <v>140</v>
      </c>
      <c r="U223" s="73">
        <v>2.2999999999999998</v>
      </c>
      <c r="V223" s="73">
        <v>0.1</v>
      </c>
      <c r="W223" s="72">
        <v>0.28999999999999998</v>
      </c>
      <c r="X223" s="72">
        <v>0.39</v>
      </c>
      <c r="Y223" s="72">
        <v>0.12</v>
      </c>
      <c r="Z223" s="74">
        <v>5.6000000000000001E-2</v>
      </c>
      <c r="AA223" s="74">
        <v>2.3E-2</v>
      </c>
      <c r="AB223" s="74">
        <v>6.0000000000000001E-3</v>
      </c>
      <c r="AC223" s="74">
        <v>5.8999999999999997E-2</v>
      </c>
      <c r="AE223" s="59"/>
      <c r="AF223" s="59"/>
      <c r="AG223" s="59"/>
      <c r="AH223" s="59"/>
      <c r="AI223" s="62">
        <v>221</v>
      </c>
      <c r="AJ223" s="63" t="str">
        <f ca="1">IF(design_loads!$E$5="","",IF($AI223&gt;INDEX($AG$3:$AG$16,MATCH(design_loads!$E$5,$AE$3:$AE$16)),"&lt;scroll up&gt;",OFFSET(OFFSET('NBCC_C-2'!$B$1,INDEX($AF$3:$AF$16,MATCH(design_loads!$E$5,$AE$3:$AE$16))-1,0),$AI223-1,0)))</f>
        <v>&lt;scroll up&gt;</v>
      </c>
      <c r="AK223" s="63" t="str">
        <f ca="1">IF(design_loads!$E$6="","",IF($AI223&gt;INDEX($AG$3:$AG$16,MATCH(design_loads!$E$6,$AE$3:$AE$16)),"&lt;scroll up&gt;",OFFSET(OFFSET('NBCC_C-2'!$B$1,INDEX($AF$3:$AF$16,MATCH(design_loads!$E$6,$AE$3:$AE$16))-1,0),$AI223-1,0)))</f>
        <v/>
      </c>
      <c r="AL223" s="63" t="str">
        <f ca="1">IF(design_loads!$E$7="","",IF($AI223&gt;INDEX($AG$3:$AG$16,MATCH(design_loads!$E$7,$AE$3:$AE$16)),"&lt;scroll up&gt;",OFFSET(OFFSET('NBCC_C-2'!$B$1,INDEX($AF$3:$AF$16,MATCH(design_loads!$E$7,$AE$3:$AE$16))-1,0),$AI223-1,0)))</f>
        <v/>
      </c>
      <c r="AM223" s="63" t="str">
        <f ca="1">IF(design_loads!$E$8="","",IF($AI223&gt;INDEX($AG$3:$AG$16,MATCH(design_loads!$E$8,$AE$3:$AE$16)),"&lt;scroll up&gt;",OFFSET(OFFSET('NBCC_C-2'!$B$1,INDEX($AF$3:$AF$16,MATCH(design_loads!$E$8,$AE$3:$AE$16))-1,0),$AI223-1,0)))</f>
        <v/>
      </c>
    </row>
    <row r="224" spans="2:39" x14ac:dyDescent="0.2">
      <c r="B224" s="66" t="s">
        <v>617</v>
      </c>
      <c r="C224" s="67" t="s">
        <v>224</v>
      </c>
      <c r="D224" s="68">
        <v>72</v>
      </c>
      <c r="F224" s="66" t="s">
        <v>349</v>
      </c>
      <c r="G224" s="67" t="s">
        <v>247</v>
      </c>
      <c r="H224" s="68">
        <v>51</v>
      </c>
      <c r="I224" s="76">
        <v>610</v>
      </c>
      <c r="J224" s="70">
        <v>-32</v>
      </c>
      <c r="K224" s="70">
        <v>-35</v>
      </c>
      <c r="L224" s="70">
        <v>28</v>
      </c>
      <c r="M224" s="70">
        <v>19</v>
      </c>
      <c r="N224" s="76">
        <v>5700</v>
      </c>
      <c r="O224" s="76">
        <v>20</v>
      </c>
      <c r="P224" s="77">
        <v>86</v>
      </c>
      <c r="Q224" s="77">
        <v>350</v>
      </c>
      <c r="R224" s="72">
        <v>0.49</v>
      </c>
      <c r="S224" s="77">
        <v>425</v>
      </c>
      <c r="T224" s="77">
        <v>140</v>
      </c>
      <c r="U224" s="73">
        <v>1.6</v>
      </c>
      <c r="V224" s="73">
        <v>0.1</v>
      </c>
      <c r="W224" s="72">
        <v>0.31</v>
      </c>
      <c r="X224" s="72">
        <v>0.43</v>
      </c>
      <c r="Y224" s="72">
        <v>0.12</v>
      </c>
      <c r="Z224" s="74">
        <v>5.6000000000000001E-2</v>
      </c>
      <c r="AA224" s="74">
        <v>2.3E-2</v>
      </c>
      <c r="AB224" s="74">
        <v>7.0000000000000001E-3</v>
      </c>
      <c r="AC224" s="74">
        <v>5.8999999999999997E-2</v>
      </c>
    </row>
    <row r="225" spans="2:29" x14ac:dyDescent="0.2">
      <c r="B225" s="66" t="s">
        <v>618</v>
      </c>
      <c r="C225" s="67" t="s">
        <v>224</v>
      </c>
      <c r="D225" s="68">
        <v>73</v>
      </c>
      <c r="F225" s="66" t="s">
        <v>619</v>
      </c>
      <c r="G225" s="67" t="s">
        <v>265</v>
      </c>
      <c r="H225" s="68">
        <v>6</v>
      </c>
      <c r="I225" s="70">
        <v>120</v>
      </c>
      <c r="J225" s="70">
        <v>-45</v>
      </c>
      <c r="K225" s="70">
        <v>-47</v>
      </c>
      <c r="L225" s="70">
        <v>27</v>
      </c>
      <c r="M225" s="70">
        <v>18</v>
      </c>
      <c r="N225" s="70">
        <v>8000</v>
      </c>
      <c r="O225" s="70">
        <v>8</v>
      </c>
      <c r="P225" s="71">
        <v>76</v>
      </c>
      <c r="Q225" s="71">
        <v>225</v>
      </c>
      <c r="R225" s="72">
        <v>0.56000000000000005</v>
      </c>
      <c r="S225" s="71">
        <v>360</v>
      </c>
      <c r="T225" s="71">
        <v>80</v>
      </c>
      <c r="U225" s="73">
        <v>2.2999999999999998</v>
      </c>
      <c r="V225" s="73">
        <v>0.1</v>
      </c>
      <c r="W225" s="72">
        <v>0.3</v>
      </c>
      <c r="X225" s="72">
        <v>0.41</v>
      </c>
      <c r="Y225" s="72">
        <v>0.12</v>
      </c>
      <c r="Z225" s="74">
        <v>0.08</v>
      </c>
      <c r="AA225" s="74">
        <v>4.7E-2</v>
      </c>
      <c r="AB225" s="74">
        <v>2.9000000000000001E-2</v>
      </c>
      <c r="AC225" s="74">
        <v>5.8999999999999997E-2</v>
      </c>
    </row>
    <row r="226" spans="2:29" x14ac:dyDescent="0.2">
      <c r="B226" s="66" t="s">
        <v>620</v>
      </c>
      <c r="C226" s="67" t="s">
        <v>224</v>
      </c>
      <c r="D226" s="68">
        <v>74</v>
      </c>
      <c r="F226" s="66" t="s">
        <v>621</v>
      </c>
      <c r="G226" s="67" t="s">
        <v>265</v>
      </c>
      <c r="H226" s="68">
        <v>7</v>
      </c>
      <c r="I226" s="70">
        <v>205</v>
      </c>
      <c r="J226" s="70">
        <v>-43</v>
      </c>
      <c r="K226" s="70">
        <v>-45</v>
      </c>
      <c r="L226" s="70">
        <v>28</v>
      </c>
      <c r="M226" s="70">
        <v>19</v>
      </c>
      <c r="N226" s="70">
        <v>7700</v>
      </c>
      <c r="O226" s="70">
        <v>8</v>
      </c>
      <c r="P226" s="71">
        <v>65</v>
      </c>
      <c r="Q226" s="71">
        <v>250</v>
      </c>
      <c r="R226" s="72">
        <v>0.56000000000000005</v>
      </c>
      <c r="S226" s="71">
        <v>350</v>
      </c>
      <c r="T226" s="71">
        <v>80</v>
      </c>
      <c r="U226" s="73">
        <v>2.2999999999999998</v>
      </c>
      <c r="V226" s="73">
        <v>0.2</v>
      </c>
      <c r="W226" s="72">
        <v>0.3</v>
      </c>
      <c r="X226" s="72">
        <v>0.41</v>
      </c>
      <c r="Y226" s="72">
        <v>0.12</v>
      </c>
      <c r="Z226" s="74">
        <v>5.6000000000000001E-2</v>
      </c>
      <c r="AA226" s="74">
        <v>2.3E-2</v>
      </c>
      <c r="AB226" s="74">
        <v>6.0000000000000001E-3</v>
      </c>
      <c r="AC226" s="74">
        <v>5.8999999999999997E-2</v>
      </c>
    </row>
    <row r="227" spans="2:29" x14ac:dyDescent="0.2">
      <c r="B227" s="66" t="s">
        <v>622</v>
      </c>
      <c r="C227" s="67" t="s">
        <v>224</v>
      </c>
      <c r="D227" s="68">
        <v>75</v>
      </c>
      <c r="F227" s="66" t="s">
        <v>544</v>
      </c>
      <c r="G227" s="67" t="s">
        <v>224</v>
      </c>
      <c r="H227" s="68">
        <v>27</v>
      </c>
      <c r="I227" s="70">
        <v>685</v>
      </c>
      <c r="J227" s="70">
        <v>-36</v>
      </c>
      <c r="K227" s="70">
        <v>-38</v>
      </c>
      <c r="L227" s="70">
        <v>26</v>
      </c>
      <c r="M227" s="70">
        <v>18</v>
      </c>
      <c r="N227" s="70">
        <v>6000</v>
      </c>
      <c r="O227" s="70">
        <v>15</v>
      </c>
      <c r="P227" s="71">
        <v>80</v>
      </c>
      <c r="Q227" s="71">
        <v>320</v>
      </c>
      <c r="R227" s="72">
        <v>0.5</v>
      </c>
      <c r="S227" s="71">
        <v>475</v>
      </c>
      <c r="T227" s="71">
        <v>100</v>
      </c>
      <c r="U227" s="73">
        <v>2.8</v>
      </c>
      <c r="V227" s="73">
        <v>0.1</v>
      </c>
      <c r="W227" s="72">
        <v>0.31</v>
      </c>
      <c r="X227" s="72">
        <v>0.39</v>
      </c>
      <c r="Y227" s="72">
        <v>0.12</v>
      </c>
      <c r="Z227" s="74">
        <v>6.0999999999999999E-2</v>
      </c>
      <c r="AA227" s="74">
        <v>3.2000000000000001E-2</v>
      </c>
      <c r="AB227" s="74">
        <v>1.9E-2</v>
      </c>
      <c r="AC227" s="74">
        <v>5.8999999999999997E-2</v>
      </c>
    </row>
    <row r="228" spans="2:29" x14ac:dyDescent="0.2">
      <c r="B228" s="66" t="s">
        <v>623</v>
      </c>
      <c r="C228" s="67" t="s">
        <v>224</v>
      </c>
      <c r="D228" s="68">
        <v>76</v>
      </c>
      <c r="F228" s="66" t="s">
        <v>351</v>
      </c>
      <c r="G228" s="67" t="s">
        <v>247</v>
      </c>
      <c r="H228" s="68">
        <v>52</v>
      </c>
      <c r="I228" s="76">
        <v>270</v>
      </c>
      <c r="J228" s="70">
        <v>-41</v>
      </c>
      <c r="K228" s="70">
        <v>-43</v>
      </c>
      <c r="L228" s="70">
        <v>28</v>
      </c>
      <c r="M228" s="70">
        <v>18</v>
      </c>
      <c r="N228" s="76">
        <v>6900</v>
      </c>
      <c r="O228" s="76">
        <v>13</v>
      </c>
      <c r="P228" s="77">
        <v>65</v>
      </c>
      <c r="Q228" s="77">
        <v>250</v>
      </c>
      <c r="R228" s="72">
        <v>0.53</v>
      </c>
      <c r="S228" s="77">
        <v>380</v>
      </c>
      <c r="T228" s="77">
        <v>60</v>
      </c>
      <c r="U228" s="73">
        <v>2.1</v>
      </c>
      <c r="V228" s="73">
        <v>0.1</v>
      </c>
      <c r="W228" s="72">
        <v>0.22</v>
      </c>
      <c r="X228" s="72">
        <v>0.28999999999999998</v>
      </c>
      <c r="Y228" s="72">
        <v>0.12</v>
      </c>
      <c r="Z228" s="74">
        <v>5.6000000000000001E-2</v>
      </c>
      <c r="AA228" s="74">
        <v>2.3E-2</v>
      </c>
      <c r="AB228" s="74">
        <v>6.0000000000000001E-3</v>
      </c>
      <c r="AC228" s="74">
        <v>5.8999999999999997E-2</v>
      </c>
    </row>
    <row r="229" spans="2:29" x14ac:dyDescent="0.2">
      <c r="B229" s="66" t="s">
        <v>624</v>
      </c>
      <c r="C229" s="67" t="s">
        <v>224</v>
      </c>
      <c r="D229" s="68">
        <v>77</v>
      </c>
      <c r="F229" s="66" t="s">
        <v>625</v>
      </c>
      <c r="G229" s="67" t="s">
        <v>257</v>
      </c>
      <c r="H229" s="68">
        <v>28</v>
      </c>
      <c r="I229" s="70">
        <v>110</v>
      </c>
      <c r="J229" s="70">
        <v>-28</v>
      </c>
      <c r="K229" s="70">
        <v>-30</v>
      </c>
      <c r="L229" s="70">
        <v>30</v>
      </c>
      <c r="M229" s="70">
        <v>23</v>
      </c>
      <c r="N229" s="70">
        <v>4950</v>
      </c>
      <c r="O229" s="70">
        <v>23</v>
      </c>
      <c r="P229" s="71">
        <v>107</v>
      </c>
      <c r="Q229" s="71">
        <v>720</v>
      </c>
      <c r="R229" s="72">
        <v>0.86</v>
      </c>
      <c r="S229" s="71">
        <v>900</v>
      </c>
      <c r="T229" s="71">
        <v>100</v>
      </c>
      <c r="U229" s="73">
        <v>2.5</v>
      </c>
      <c r="V229" s="73">
        <v>0.4</v>
      </c>
      <c r="W229" s="72">
        <v>0.24</v>
      </c>
      <c r="X229" s="72">
        <v>0.32</v>
      </c>
      <c r="Y229" s="72">
        <v>0.67</v>
      </c>
      <c r="Z229" s="74">
        <v>0.32</v>
      </c>
      <c r="AA229" s="74">
        <v>0.13</v>
      </c>
      <c r="AB229" s="74">
        <v>4.3999999999999997E-2</v>
      </c>
      <c r="AC229" s="74">
        <v>0.42</v>
      </c>
    </row>
    <row r="230" spans="2:29" x14ac:dyDescent="0.2">
      <c r="B230" s="66" t="s">
        <v>626</v>
      </c>
      <c r="C230" s="67" t="s">
        <v>224</v>
      </c>
      <c r="D230" s="68">
        <v>78</v>
      </c>
      <c r="F230" s="66" t="s">
        <v>353</v>
      </c>
      <c r="G230" s="67" t="s">
        <v>247</v>
      </c>
      <c r="H230" s="68">
        <v>53</v>
      </c>
      <c r="I230" s="76">
        <v>808</v>
      </c>
      <c r="J230" s="70">
        <v>-36</v>
      </c>
      <c r="K230" s="70">
        <v>-40</v>
      </c>
      <c r="L230" s="70">
        <v>27</v>
      </c>
      <c r="M230" s="70">
        <v>19</v>
      </c>
      <c r="N230" s="76">
        <v>5900</v>
      </c>
      <c r="O230" s="76">
        <v>17</v>
      </c>
      <c r="P230" s="77">
        <v>90</v>
      </c>
      <c r="Q230" s="77">
        <v>340</v>
      </c>
      <c r="R230" s="72">
        <v>0.54</v>
      </c>
      <c r="S230" s="77">
        <v>550</v>
      </c>
      <c r="T230" s="77">
        <v>80</v>
      </c>
      <c r="U230" s="73">
        <v>2.2000000000000002</v>
      </c>
      <c r="V230" s="73">
        <v>0.1</v>
      </c>
      <c r="W230" s="72">
        <v>0.35</v>
      </c>
      <c r="X230" s="72">
        <v>0.46</v>
      </c>
      <c r="Y230" s="72">
        <v>0.12</v>
      </c>
      <c r="Z230" s="74">
        <v>0.06</v>
      </c>
      <c r="AA230" s="74">
        <v>0.02</v>
      </c>
      <c r="AB230" s="74">
        <v>0.01</v>
      </c>
      <c r="AC230" s="74">
        <v>0.06</v>
      </c>
    </row>
    <row r="231" spans="2:29" x14ac:dyDescent="0.2">
      <c r="B231" s="66" t="s">
        <v>627</v>
      </c>
      <c r="C231" s="67" t="s">
        <v>224</v>
      </c>
      <c r="D231" s="68">
        <v>79</v>
      </c>
      <c r="F231" s="66" t="s">
        <v>628</v>
      </c>
      <c r="G231" s="67" t="s">
        <v>254</v>
      </c>
      <c r="H231" s="68">
        <v>6</v>
      </c>
      <c r="I231" s="70">
        <v>15</v>
      </c>
      <c r="J231" s="70">
        <v>-24</v>
      </c>
      <c r="K231" s="70">
        <v>-27</v>
      </c>
      <c r="L231" s="70">
        <v>29</v>
      </c>
      <c r="M231" s="70">
        <v>21</v>
      </c>
      <c r="N231" s="70">
        <v>4650</v>
      </c>
      <c r="O231" s="70">
        <v>23</v>
      </c>
      <c r="P231" s="71">
        <v>112</v>
      </c>
      <c r="Q231" s="71">
        <v>900</v>
      </c>
      <c r="R231" s="72">
        <v>1.02</v>
      </c>
      <c r="S231" s="71">
        <v>1100</v>
      </c>
      <c r="T231" s="71">
        <v>160</v>
      </c>
      <c r="U231" s="73">
        <v>3.1</v>
      </c>
      <c r="V231" s="73">
        <v>0.6</v>
      </c>
      <c r="W231" s="72">
        <v>0.3</v>
      </c>
      <c r="X231" s="72">
        <v>0.41</v>
      </c>
      <c r="Y231" s="72">
        <v>0.39</v>
      </c>
      <c r="Z231" s="74">
        <v>0.2</v>
      </c>
      <c r="AA231" s="74">
        <v>8.5999999999999993E-2</v>
      </c>
      <c r="AB231" s="74">
        <v>2.7E-2</v>
      </c>
      <c r="AC231" s="74">
        <v>0.27</v>
      </c>
    </row>
    <row r="232" spans="2:29" x14ac:dyDescent="0.2">
      <c r="B232" s="66" t="s">
        <v>629</v>
      </c>
      <c r="C232" s="67" t="s">
        <v>224</v>
      </c>
      <c r="D232" s="68">
        <v>80</v>
      </c>
      <c r="F232" s="66" t="s">
        <v>630</v>
      </c>
      <c r="G232" s="67" t="s">
        <v>254</v>
      </c>
      <c r="H232" s="68">
        <v>7</v>
      </c>
      <c r="I232" s="70">
        <v>20</v>
      </c>
      <c r="J232" s="70">
        <v>-23</v>
      </c>
      <c r="K232" s="70">
        <v>-26</v>
      </c>
      <c r="L232" s="70">
        <v>28</v>
      </c>
      <c r="M232" s="70">
        <v>21</v>
      </c>
      <c r="N232" s="70">
        <v>4500</v>
      </c>
      <c r="O232" s="70">
        <v>20</v>
      </c>
      <c r="P232" s="71">
        <v>118</v>
      </c>
      <c r="Q232" s="71">
        <v>900</v>
      </c>
      <c r="R232" s="72">
        <v>1.04</v>
      </c>
      <c r="S232" s="71">
        <v>1125</v>
      </c>
      <c r="T232" s="71">
        <v>180</v>
      </c>
      <c r="U232" s="73">
        <v>2.8</v>
      </c>
      <c r="V232" s="73">
        <v>0.6</v>
      </c>
      <c r="W232" s="72">
        <v>0.36</v>
      </c>
      <c r="X232" s="72">
        <v>0.54</v>
      </c>
      <c r="Y232" s="72">
        <v>0.34</v>
      </c>
      <c r="Z232" s="74">
        <v>0.18</v>
      </c>
      <c r="AA232" s="74">
        <v>8.1000000000000003E-2</v>
      </c>
      <c r="AB232" s="74">
        <v>2.5000000000000001E-2</v>
      </c>
      <c r="AC232" s="74">
        <v>0.23</v>
      </c>
    </row>
    <row r="233" spans="2:29" x14ac:dyDescent="0.2">
      <c r="B233" s="66" t="s">
        <v>631</v>
      </c>
      <c r="C233" s="67" t="s">
        <v>224</v>
      </c>
      <c r="D233" s="68">
        <v>81</v>
      </c>
      <c r="F233" s="66" t="s">
        <v>632</v>
      </c>
      <c r="G233" s="67" t="s">
        <v>257</v>
      </c>
      <c r="H233" s="68">
        <v>29</v>
      </c>
      <c r="I233" s="70">
        <v>545</v>
      </c>
      <c r="J233" s="70">
        <v>-33</v>
      </c>
      <c r="K233" s="70">
        <v>-35</v>
      </c>
      <c r="L233" s="70">
        <v>24</v>
      </c>
      <c r="M233" s="70">
        <v>19</v>
      </c>
      <c r="N233" s="70">
        <v>7500</v>
      </c>
      <c r="O233" s="70">
        <v>20</v>
      </c>
      <c r="P233" s="71">
        <v>80</v>
      </c>
      <c r="Q233" s="71">
        <v>580</v>
      </c>
      <c r="R233" s="72">
        <v>0.89</v>
      </c>
      <c r="S233" s="71">
        <v>925</v>
      </c>
      <c r="T233" s="71">
        <v>140</v>
      </c>
      <c r="U233" s="73">
        <v>4.5999999999999996</v>
      </c>
      <c r="V233" s="73">
        <v>0.4</v>
      </c>
      <c r="W233" s="72">
        <v>0.37</v>
      </c>
      <c r="X233" s="72">
        <v>0.46</v>
      </c>
      <c r="Y233" s="72">
        <v>0.12</v>
      </c>
      <c r="Z233" s="74">
        <v>0.09</v>
      </c>
      <c r="AA233" s="74">
        <v>4.4999999999999998E-2</v>
      </c>
      <c r="AB233" s="74">
        <v>1.2999999999999999E-2</v>
      </c>
      <c r="AC233" s="74">
        <v>5.8999999999999997E-2</v>
      </c>
    </row>
    <row r="234" spans="2:29" x14ac:dyDescent="0.2">
      <c r="B234" s="66" t="s">
        <v>633</v>
      </c>
      <c r="C234" s="67" t="s">
        <v>224</v>
      </c>
      <c r="D234" s="68">
        <v>82</v>
      </c>
      <c r="F234" s="66" t="s">
        <v>634</v>
      </c>
      <c r="G234" s="67" t="s">
        <v>264</v>
      </c>
      <c r="H234" s="68">
        <v>66</v>
      </c>
      <c r="I234" s="70">
        <v>80</v>
      </c>
      <c r="J234" s="70">
        <v>-22</v>
      </c>
      <c r="K234" s="70">
        <v>-24</v>
      </c>
      <c r="L234" s="70">
        <v>28</v>
      </c>
      <c r="M234" s="70">
        <v>23</v>
      </c>
      <c r="N234" s="70">
        <v>4200</v>
      </c>
      <c r="O234" s="70">
        <v>23</v>
      </c>
      <c r="P234" s="71">
        <v>103</v>
      </c>
      <c r="Q234" s="71">
        <v>760</v>
      </c>
      <c r="R234" s="72">
        <v>0.91</v>
      </c>
      <c r="S234" s="71">
        <v>900</v>
      </c>
      <c r="T234" s="71">
        <v>180</v>
      </c>
      <c r="U234" s="73">
        <v>2.1</v>
      </c>
      <c r="V234" s="73">
        <v>0.4</v>
      </c>
      <c r="W234" s="72">
        <v>0.35</v>
      </c>
      <c r="X234" s="72">
        <v>0.47</v>
      </c>
      <c r="Y234" s="72">
        <v>0.31</v>
      </c>
      <c r="Z234" s="74">
        <v>0.17</v>
      </c>
      <c r="AA234" s="74">
        <v>8.7999999999999995E-2</v>
      </c>
      <c r="AB234" s="74">
        <v>2.5000000000000001E-2</v>
      </c>
      <c r="AC234" s="74">
        <v>0.17</v>
      </c>
    </row>
    <row r="235" spans="2:29" x14ac:dyDescent="0.2">
      <c r="B235" s="66" t="s">
        <v>635</v>
      </c>
      <c r="C235" s="67" t="s">
        <v>224</v>
      </c>
      <c r="D235" s="68">
        <v>83</v>
      </c>
      <c r="F235" s="66" t="s">
        <v>636</v>
      </c>
      <c r="G235" s="67" t="s">
        <v>258</v>
      </c>
      <c r="H235" s="68">
        <v>8</v>
      </c>
      <c r="I235" s="70">
        <v>125</v>
      </c>
      <c r="J235" s="70">
        <v>-18</v>
      </c>
      <c r="K235" s="70">
        <v>-21</v>
      </c>
      <c r="L235" s="70">
        <v>27</v>
      </c>
      <c r="M235" s="70">
        <v>19</v>
      </c>
      <c r="N235" s="70">
        <v>5200</v>
      </c>
      <c r="O235" s="70">
        <v>18</v>
      </c>
      <c r="P235" s="71">
        <v>91</v>
      </c>
      <c r="Q235" s="71">
        <v>775</v>
      </c>
      <c r="R235" s="72">
        <v>1.01</v>
      </c>
      <c r="S235" s="71">
        <v>1180</v>
      </c>
      <c r="T235" s="71">
        <v>280</v>
      </c>
      <c r="U235" s="73">
        <v>3.7</v>
      </c>
      <c r="V235" s="73">
        <v>0.6</v>
      </c>
      <c r="W235" s="72">
        <v>0.46</v>
      </c>
      <c r="X235" s="72">
        <v>0.6</v>
      </c>
      <c r="Y235" s="72">
        <v>0.16</v>
      </c>
      <c r="Z235" s="74">
        <v>9.6000000000000002E-2</v>
      </c>
      <c r="AA235" s="74">
        <v>5.2999999999999999E-2</v>
      </c>
      <c r="AB235" s="74">
        <v>1.4E-2</v>
      </c>
      <c r="AC235" s="74">
        <v>8.5000000000000006E-2</v>
      </c>
    </row>
    <row r="236" spans="2:29" x14ac:dyDescent="0.2">
      <c r="B236" s="66" t="s">
        <v>637</v>
      </c>
      <c r="C236" s="67" t="s">
        <v>224</v>
      </c>
      <c r="D236" s="68">
        <v>84</v>
      </c>
      <c r="F236" s="66" t="s">
        <v>638</v>
      </c>
      <c r="G236" s="67" t="s">
        <v>257</v>
      </c>
      <c r="H236" s="68">
        <v>30</v>
      </c>
      <c r="I236" s="70">
        <v>55</v>
      </c>
      <c r="J236" s="70">
        <v>-23</v>
      </c>
      <c r="K236" s="70">
        <v>-25</v>
      </c>
      <c r="L236" s="70">
        <v>25</v>
      </c>
      <c r="M236" s="70">
        <v>19</v>
      </c>
      <c r="N236" s="70">
        <v>5600</v>
      </c>
      <c r="O236" s="70">
        <v>15</v>
      </c>
      <c r="P236" s="71">
        <v>118</v>
      </c>
      <c r="Q236" s="71">
        <v>760</v>
      </c>
      <c r="R236" s="72">
        <v>0.96</v>
      </c>
      <c r="S236" s="71">
        <v>1100</v>
      </c>
      <c r="T236" s="71">
        <v>300</v>
      </c>
      <c r="U236" s="73">
        <v>4.3</v>
      </c>
      <c r="V236" s="73">
        <v>0.6</v>
      </c>
      <c r="W236" s="72">
        <v>0.59</v>
      </c>
      <c r="X236" s="72">
        <v>0.78</v>
      </c>
      <c r="Y236" s="72">
        <v>0.22</v>
      </c>
      <c r="Z236" s="74">
        <v>0.14000000000000001</v>
      </c>
      <c r="AA236" s="74">
        <v>6.4000000000000001E-2</v>
      </c>
      <c r="AB236" s="74">
        <v>2.1999999999999999E-2</v>
      </c>
      <c r="AC236" s="74">
        <v>9.2999999999999999E-2</v>
      </c>
    </row>
    <row r="237" spans="2:29" x14ac:dyDescent="0.2">
      <c r="B237" s="66" t="s">
        <v>639</v>
      </c>
      <c r="C237" s="67" t="s">
        <v>224</v>
      </c>
      <c r="D237" s="68">
        <v>85</v>
      </c>
      <c r="F237" s="66" t="s">
        <v>640</v>
      </c>
      <c r="G237" s="67" t="s">
        <v>257</v>
      </c>
      <c r="H237" s="68">
        <v>31</v>
      </c>
      <c r="I237" s="70">
        <v>95</v>
      </c>
      <c r="J237" s="70">
        <v>-25</v>
      </c>
      <c r="K237" s="70">
        <v>-28</v>
      </c>
      <c r="L237" s="70">
        <v>30</v>
      </c>
      <c r="M237" s="70">
        <v>23</v>
      </c>
      <c r="N237" s="70">
        <v>4650</v>
      </c>
      <c r="O237" s="70">
        <v>23</v>
      </c>
      <c r="P237" s="71">
        <v>96</v>
      </c>
      <c r="Q237" s="71">
        <v>790</v>
      </c>
      <c r="R237" s="72">
        <v>0.92</v>
      </c>
      <c r="S237" s="71">
        <v>950</v>
      </c>
      <c r="T237" s="71">
        <v>160</v>
      </c>
      <c r="U237" s="73">
        <v>2.5</v>
      </c>
      <c r="V237" s="73">
        <v>0.4</v>
      </c>
      <c r="W237" s="72">
        <v>0.3</v>
      </c>
      <c r="X237" s="72">
        <v>0.41</v>
      </c>
      <c r="Y237" s="72">
        <v>0.68</v>
      </c>
      <c r="Z237" s="74">
        <v>0.32</v>
      </c>
      <c r="AA237" s="74">
        <v>0.14000000000000001</v>
      </c>
      <c r="AB237" s="74">
        <v>4.4999999999999998E-2</v>
      </c>
      <c r="AC237" s="74">
        <v>0.42</v>
      </c>
    </row>
    <row r="238" spans="2:29" x14ac:dyDescent="0.2">
      <c r="B238" s="66" t="s">
        <v>641</v>
      </c>
      <c r="C238" s="67" t="s">
        <v>224</v>
      </c>
      <c r="D238" s="68">
        <v>86</v>
      </c>
      <c r="F238" s="66" t="s">
        <v>642</v>
      </c>
      <c r="G238" s="67" t="s">
        <v>264</v>
      </c>
      <c r="H238" s="68">
        <v>67</v>
      </c>
      <c r="I238" s="70">
        <v>345</v>
      </c>
      <c r="J238" s="70">
        <v>-35</v>
      </c>
      <c r="K238" s="70">
        <v>-38</v>
      </c>
      <c r="L238" s="70">
        <v>28</v>
      </c>
      <c r="M238" s="70">
        <v>21</v>
      </c>
      <c r="N238" s="70">
        <v>6800</v>
      </c>
      <c r="O238" s="70">
        <v>20</v>
      </c>
      <c r="P238" s="71">
        <v>86</v>
      </c>
      <c r="Q238" s="71">
        <v>550</v>
      </c>
      <c r="R238" s="72">
        <v>0.77</v>
      </c>
      <c r="S238" s="71">
        <v>725</v>
      </c>
      <c r="T238" s="71">
        <v>100</v>
      </c>
      <c r="U238" s="73">
        <v>2.9</v>
      </c>
      <c r="V238" s="73">
        <v>0.4</v>
      </c>
      <c r="W238" s="72">
        <v>0.21</v>
      </c>
      <c r="X238" s="72">
        <v>0.27</v>
      </c>
      <c r="Y238" s="72">
        <v>0.12</v>
      </c>
      <c r="Z238" s="74">
        <v>5.6000000000000001E-2</v>
      </c>
      <c r="AA238" s="74">
        <v>2.3E-2</v>
      </c>
      <c r="AB238" s="74">
        <v>6.0000000000000001E-3</v>
      </c>
      <c r="AC238" s="74">
        <v>5.8999999999999997E-2</v>
      </c>
    </row>
    <row r="239" spans="2:29" x14ac:dyDescent="0.2">
      <c r="B239" s="66" t="s">
        <v>643</v>
      </c>
      <c r="C239" s="67" t="s">
        <v>224</v>
      </c>
      <c r="D239" s="68">
        <v>87</v>
      </c>
      <c r="F239" s="66" t="s">
        <v>355</v>
      </c>
      <c r="G239" s="67" t="s">
        <v>247</v>
      </c>
      <c r="H239" s="68">
        <v>54</v>
      </c>
      <c r="I239" s="76">
        <v>643</v>
      </c>
      <c r="J239" s="70">
        <v>-37</v>
      </c>
      <c r="K239" s="70">
        <v>-40</v>
      </c>
      <c r="L239" s="70">
        <v>27</v>
      </c>
      <c r="M239" s="70">
        <v>19</v>
      </c>
      <c r="N239" s="76">
        <v>5800</v>
      </c>
      <c r="O239" s="76">
        <v>19</v>
      </c>
      <c r="P239" s="77">
        <v>85</v>
      </c>
      <c r="Q239" s="77">
        <v>370</v>
      </c>
      <c r="R239" s="72">
        <v>0.51</v>
      </c>
      <c r="S239" s="77">
        <v>485</v>
      </c>
      <c r="T239" s="77">
        <v>140</v>
      </c>
      <c r="U239" s="73">
        <v>1.8</v>
      </c>
      <c r="V239" s="73">
        <v>0.1</v>
      </c>
      <c r="W239" s="72">
        <v>0.32</v>
      </c>
      <c r="X239" s="72">
        <v>0.43</v>
      </c>
      <c r="Y239" s="72">
        <v>0.12</v>
      </c>
      <c r="Z239" s="74">
        <v>0.06</v>
      </c>
      <c r="AA239" s="74">
        <v>0.02</v>
      </c>
      <c r="AB239" s="74">
        <v>0.01</v>
      </c>
      <c r="AC239" s="74">
        <v>0.06</v>
      </c>
    </row>
    <row r="240" spans="2:29" x14ac:dyDescent="0.2">
      <c r="B240" s="66" t="s">
        <v>644</v>
      </c>
      <c r="C240" s="67" t="s">
        <v>224</v>
      </c>
      <c r="D240" s="68">
        <v>88</v>
      </c>
      <c r="F240" s="66" t="s">
        <v>645</v>
      </c>
      <c r="G240" s="67" t="s">
        <v>252</v>
      </c>
      <c r="H240" s="68">
        <v>7</v>
      </c>
      <c r="I240" s="70">
        <v>220</v>
      </c>
      <c r="J240" s="70">
        <v>-34</v>
      </c>
      <c r="K240" s="70">
        <v>-36</v>
      </c>
      <c r="L240" s="70">
        <v>29</v>
      </c>
      <c r="M240" s="70">
        <v>23</v>
      </c>
      <c r="N240" s="70">
        <v>6100</v>
      </c>
      <c r="O240" s="70">
        <v>28</v>
      </c>
      <c r="P240" s="71">
        <v>108</v>
      </c>
      <c r="Q240" s="71">
        <v>410</v>
      </c>
      <c r="R240" s="72">
        <v>0.65</v>
      </c>
      <c r="S240" s="71">
        <v>530</v>
      </c>
      <c r="T240" s="71">
        <v>180</v>
      </c>
      <c r="U240" s="73">
        <v>1.9</v>
      </c>
      <c r="V240" s="73">
        <v>0.2</v>
      </c>
      <c r="W240" s="72">
        <v>0.3</v>
      </c>
      <c r="X240" s="72">
        <v>0.4</v>
      </c>
      <c r="Y240" s="72">
        <v>0.12</v>
      </c>
      <c r="Z240" s="74">
        <v>5.6000000000000001E-2</v>
      </c>
      <c r="AA240" s="74">
        <v>2.3E-2</v>
      </c>
      <c r="AB240" s="74">
        <v>6.0000000000000001E-3</v>
      </c>
      <c r="AC240" s="74">
        <v>5.8999999999999997E-2</v>
      </c>
    </row>
    <row r="241" spans="2:29" x14ac:dyDescent="0.2">
      <c r="B241" s="66" t="s">
        <v>646</v>
      </c>
      <c r="C241" s="67" t="s">
        <v>224</v>
      </c>
      <c r="D241" s="68">
        <v>89</v>
      </c>
      <c r="F241" s="66" t="s">
        <v>545</v>
      </c>
      <c r="G241" s="67" t="s">
        <v>224</v>
      </c>
      <c r="H241" s="68">
        <v>28</v>
      </c>
      <c r="I241" s="70">
        <v>1145</v>
      </c>
      <c r="J241" s="70">
        <v>-27</v>
      </c>
      <c r="K241" s="70">
        <v>-30</v>
      </c>
      <c r="L241" s="70">
        <v>27</v>
      </c>
      <c r="M241" s="70">
        <v>17</v>
      </c>
      <c r="N241" s="70">
        <v>6000</v>
      </c>
      <c r="O241" s="70">
        <v>10</v>
      </c>
      <c r="P241" s="71">
        <v>70</v>
      </c>
      <c r="Q241" s="71">
        <v>625</v>
      </c>
      <c r="R241" s="72">
        <v>0.83</v>
      </c>
      <c r="S241" s="71">
        <v>1500</v>
      </c>
      <c r="T241" s="71">
        <v>80</v>
      </c>
      <c r="U241" s="73">
        <v>9.4</v>
      </c>
      <c r="V241" s="73">
        <v>0.2</v>
      </c>
      <c r="W241" s="72">
        <v>0.24</v>
      </c>
      <c r="X241" s="72">
        <v>0.32</v>
      </c>
      <c r="Y241" s="72">
        <v>0.27</v>
      </c>
      <c r="Z241" s="74">
        <v>0.16</v>
      </c>
      <c r="AA241" s="74">
        <v>7.8E-2</v>
      </c>
      <c r="AB241" s="74">
        <v>4.3999999999999997E-2</v>
      </c>
      <c r="AC241" s="74">
        <v>0.14000000000000001</v>
      </c>
    </row>
    <row r="242" spans="2:29" x14ac:dyDescent="0.2">
      <c r="B242" s="66" t="s">
        <v>647</v>
      </c>
      <c r="C242" s="67" t="s">
        <v>224</v>
      </c>
      <c r="D242" s="68">
        <v>90</v>
      </c>
      <c r="F242" s="66" t="s">
        <v>357</v>
      </c>
      <c r="G242" s="67" t="s">
        <v>247</v>
      </c>
      <c r="H242" s="68">
        <v>55</v>
      </c>
      <c r="I242" s="76">
        <v>903</v>
      </c>
      <c r="J242" s="70">
        <v>-32</v>
      </c>
      <c r="K242" s="70">
        <v>-34</v>
      </c>
      <c r="L242" s="70">
        <v>28</v>
      </c>
      <c r="M242" s="70">
        <v>18</v>
      </c>
      <c r="N242" s="76">
        <v>5300</v>
      </c>
      <c r="O242" s="76">
        <v>17</v>
      </c>
      <c r="P242" s="77">
        <v>90</v>
      </c>
      <c r="Q242" s="77">
        <v>280</v>
      </c>
      <c r="R242" s="72">
        <v>0.28999999999999998</v>
      </c>
      <c r="S242" s="77">
        <v>360</v>
      </c>
      <c r="T242" s="77">
        <v>220</v>
      </c>
      <c r="U242" s="73">
        <v>1.3</v>
      </c>
      <c r="V242" s="73">
        <v>0.1</v>
      </c>
      <c r="W242" s="72">
        <v>0.39</v>
      </c>
      <c r="X242" s="72">
        <v>0.52</v>
      </c>
      <c r="Y242" s="72">
        <v>0.12</v>
      </c>
      <c r="Z242" s="74">
        <v>0.06</v>
      </c>
      <c r="AA242" s="74">
        <v>0.03</v>
      </c>
      <c r="AB242" s="74">
        <v>0.02</v>
      </c>
      <c r="AC242" s="74">
        <v>0.06</v>
      </c>
    </row>
    <row r="243" spans="2:29" x14ac:dyDescent="0.2">
      <c r="B243" s="66" t="s">
        <v>648</v>
      </c>
      <c r="C243" s="67" t="s">
        <v>224</v>
      </c>
      <c r="D243" s="68">
        <v>91</v>
      </c>
      <c r="F243" s="66" t="s">
        <v>649</v>
      </c>
      <c r="G243" s="67" t="s">
        <v>264</v>
      </c>
      <c r="H243" s="68">
        <v>68</v>
      </c>
      <c r="I243" s="70">
        <v>215</v>
      </c>
      <c r="J243" s="70">
        <v>-16</v>
      </c>
      <c r="K243" s="70">
        <v>-18</v>
      </c>
      <c r="L243" s="70">
        <v>31</v>
      </c>
      <c r="M243" s="70">
        <v>24</v>
      </c>
      <c r="N243" s="70">
        <v>3900</v>
      </c>
      <c r="O243" s="70">
        <v>28</v>
      </c>
      <c r="P243" s="71">
        <v>103</v>
      </c>
      <c r="Q243" s="71">
        <v>800</v>
      </c>
      <c r="R243" s="72">
        <v>0.91</v>
      </c>
      <c r="S243" s="71">
        <v>925</v>
      </c>
      <c r="T243" s="71">
        <v>180</v>
      </c>
      <c r="U243" s="73">
        <v>1.5</v>
      </c>
      <c r="V243" s="73">
        <v>0.4</v>
      </c>
      <c r="W243" s="72">
        <v>0.31</v>
      </c>
      <c r="X243" s="72">
        <v>0.43</v>
      </c>
      <c r="Y243" s="72">
        <v>0.19</v>
      </c>
      <c r="Z243" s="74">
        <v>9.2999999999999999E-2</v>
      </c>
      <c r="AA243" s="74">
        <v>4.5999999999999999E-2</v>
      </c>
      <c r="AB243" s="74">
        <v>1.2E-2</v>
      </c>
      <c r="AC243" s="74">
        <v>0.12</v>
      </c>
    </row>
    <row r="244" spans="2:29" x14ac:dyDescent="0.2">
      <c r="B244" s="66" t="s">
        <v>347</v>
      </c>
      <c r="C244" s="67" t="s">
        <v>252</v>
      </c>
      <c r="D244" s="68">
        <v>1</v>
      </c>
      <c r="F244" s="66" t="s">
        <v>650</v>
      </c>
      <c r="G244" s="67" t="s">
        <v>264</v>
      </c>
      <c r="H244" s="68">
        <v>69</v>
      </c>
      <c r="I244" s="70">
        <v>185</v>
      </c>
      <c r="J244" s="70">
        <v>-16</v>
      </c>
      <c r="K244" s="70">
        <v>-18</v>
      </c>
      <c r="L244" s="70">
        <v>29</v>
      </c>
      <c r="M244" s="70">
        <v>23</v>
      </c>
      <c r="N244" s="70">
        <v>4000</v>
      </c>
      <c r="O244" s="70">
        <v>23</v>
      </c>
      <c r="P244" s="71">
        <v>92</v>
      </c>
      <c r="Q244" s="71">
        <v>810</v>
      </c>
      <c r="R244" s="72">
        <v>0.95</v>
      </c>
      <c r="S244" s="71">
        <v>950</v>
      </c>
      <c r="T244" s="71">
        <v>180</v>
      </c>
      <c r="U244" s="73">
        <v>2.4</v>
      </c>
      <c r="V244" s="73">
        <v>0.4</v>
      </c>
      <c r="W244" s="72">
        <v>0.4</v>
      </c>
      <c r="X244" s="72">
        <v>0.55000000000000004</v>
      </c>
      <c r="Y244" s="72">
        <v>0.12</v>
      </c>
      <c r="Z244" s="74">
        <v>7.2999999999999995E-2</v>
      </c>
      <c r="AA244" s="74">
        <v>3.9E-2</v>
      </c>
      <c r="AB244" s="74">
        <v>1.0999999999999999E-2</v>
      </c>
      <c r="AC244" s="74">
        <v>6.2E-2</v>
      </c>
    </row>
    <row r="245" spans="2:29" x14ac:dyDescent="0.2">
      <c r="B245" s="66" t="s">
        <v>367</v>
      </c>
      <c r="C245" s="67" t="s">
        <v>252</v>
      </c>
      <c r="D245" s="68">
        <v>2</v>
      </c>
      <c r="F245" s="66" t="s">
        <v>547</v>
      </c>
      <c r="G245" s="67" t="s">
        <v>224</v>
      </c>
      <c r="H245" s="68">
        <v>29</v>
      </c>
      <c r="I245" s="70">
        <v>790</v>
      </c>
      <c r="J245" s="70">
        <v>-28</v>
      </c>
      <c r="K245" s="70">
        <v>-31</v>
      </c>
      <c r="L245" s="70">
        <v>29</v>
      </c>
      <c r="M245" s="70">
        <v>17</v>
      </c>
      <c r="N245" s="70">
        <v>4900</v>
      </c>
      <c r="O245" s="70">
        <v>8</v>
      </c>
      <c r="P245" s="71">
        <v>59</v>
      </c>
      <c r="Q245" s="71">
        <v>325</v>
      </c>
      <c r="R245" s="72">
        <v>0.56999999999999995</v>
      </c>
      <c r="S245" s="71">
        <v>500</v>
      </c>
      <c r="T245" s="71">
        <v>100</v>
      </c>
      <c r="U245" s="73">
        <v>3.7</v>
      </c>
      <c r="V245" s="73">
        <v>0.2</v>
      </c>
      <c r="W245" s="72">
        <v>0.27</v>
      </c>
      <c r="X245" s="72">
        <v>0.35</v>
      </c>
      <c r="Y245" s="72">
        <v>0.26</v>
      </c>
      <c r="Z245" s="74">
        <v>0.16</v>
      </c>
      <c r="AA245" s="74">
        <v>7.4999999999999997E-2</v>
      </c>
      <c r="AB245" s="74">
        <v>4.1000000000000002E-2</v>
      </c>
      <c r="AC245" s="74">
        <v>0.13</v>
      </c>
    </row>
    <row r="246" spans="2:29" x14ac:dyDescent="0.2">
      <c r="B246" s="66" t="s">
        <v>381</v>
      </c>
      <c r="C246" s="67" t="s">
        <v>252</v>
      </c>
      <c r="D246" s="68">
        <v>3</v>
      </c>
      <c r="F246" s="66" t="s">
        <v>651</v>
      </c>
      <c r="G246" s="67" t="s">
        <v>264</v>
      </c>
      <c r="H246" s="68">
        <v>70</v>
      </c>
      <c r="I246" s="70">
        <v>205</v>
      </c>
      <c r="J246" s="70">
        <v>-23</v>
      </c>
      <c r="K246" s="70">
        <v>-25</v>
      </c>
      <c r="L246" s="70">
        <v>29</v>
      </c>
      <c r="M246" s="70">
        <v>21</v>
      </c>
      <c r="N246" s="70">
        <v>4900</v>
      </c>
      <c r="O246" s="70">
        <v>23</v>
      </c>
      <c r="P246" s="71">
        <v>92</v>
      </c>
      <c r="Q246" s="71">
        <v>640</v>
      </c>
      <c r="R246" s="72">
        <v>0.84</v>
      </c>
      <c r="S246" s="71">
        <v>860</v>
      </c>
      <c r="T246" s="71">
        <v>160</v>
      </c>
      <c r="U246" s="73">
        <v>2.6</v>
      </c>
      <c r="V246" s="73">
        <v>0.4</v>
      </c>
      <c r="W246" s="72">
        <v>0.3</v>
      </c>
      <c r="X246" s="72">
        <v>0.39</v>
      </c>
      <c r="Y246" s="72">
        <v>0.12</v>
      </c>
      <c r="Z246" s="74">
        <v>6.7000000000000004E-2</v>
      </c>
      <c r="AA246" s="74">
        <v>3.4000000000000002E-2</v>
      </c>
      <c r="AB246" s="74">
        <v>0.01</v>
      </c>
      <c r="AC246" s="74">
        <v>5.8999999999999997E-2</v>
      </c>
    </row>
    <row r="247" spans="2:29" x14ac:dyDescent="0.2">
      <c r="B247" s="66" t="s">
        <v>478</v>
      </c>
      <c r="C247" s="67" t="s">
        <v>252</v>
      </c>
      <c r="D247" s="68">
        <v>4</v>
      </c>
      <c r="F247" s="66" t="s">
        <v>652</v>
      </c>
      <c r="G247" s="67" t="s">
        <v>257</v>
      </c>
      <c r="H247" s="68">
        <v>32</v>
      </c>
      <c r="I247" s="70">
        <v>175</v>
      </c>
      <c r="J247" s="70">
        <v>-28</v>
      </c>
      <c r="K247" s="70">
        <v>-31</v>
      </c>
      <c r="L247" s="70">
        <v>30</v>
      </c>
      <c r="M247" s="70">
        <v>22</v>
      </c>
      <c r="N247" s="70">
        <v>5200</v>
      </c>
      <c r="O247" s="70">
        <v>25</v>
      </c>
      <c r="P247" s="71">
        <v>107</v>
      </c>
      <c r="Q247" s="71">
        <v>700</v>
      </c>
      <c r="R247" s="72">
        <v>0.85</v>
      </c>
      <c r="S247" s="71">
        <v>950</v>
      </c>
      <c r="T247" s="71">
        <v>140</v>
      </c>
      <c r="U247" s="73">
        <v>2.6</v>
      </c>
      <c r="V247" s="73">
        <v>0.4</v>
      </c>
      <c r="W247" s="72">
        <v>0.24</v>
      </c>
      <c r="X247" s="72">
        <v>0.32</v>
      </c>
      <c r="Y247" s="72">
        <v>0.62</v>
      </c>
      <c r="Z247" s="74">
        <v>0.28999999999999998</v>
      </c>
      <c r="AA247" s="74">
        <v>0.14000000000000001</v>
      </c>
      <c r="AB247" s="74">
        <v>0.04</v>
      </c>
      <c r="AC247" s="74">
        <v>0.4</v>
      </c>
    </row>
    <row r="248" spans="2:29" x14ac:dyDescent="0.2">
      <c r="B248" s="66" t="s">
        <v>525</v>
      </c>
      <c r="C248" s="67" t="s">
        <v>252</v>
      </c>
      <c r="D248" s="68">
        <v>5</v>
      </c>
      <c r="F248" s="66" t="s">
        <v>653</v>
      </c>
      <c r="G248" s="67" t="s">
        <v>264</v>
      </c>
      <c r="H248" s="68">
        <v>71</v>
      </c>
      <c r="I248" s="70">
        <v>495</v>
      </c>
      <c r="J248" s="70">
        <v>-37</v>
      </c>
      <c r="K248" s="70">
        <v>-40</v>
      </c>
      <c r="L248" s="70">
        <v>29</v>
      </c>
      <c r="M248" s="70">
        <v>22</v>
      </c>
      <c r="N248" s="70">
        <v>6400</v>
      </c>
      <c r="O248" s="70">
        <v>23</v>
      </c>
      <c r="P248" s="71">
        <v>97</v>
      </c>
      <c r="Q248" s="71">
        <v>570</v>
      </c>
      <c r="R248" s="72">
        <v>0.75</v>
      </c>
      <c r="S248" s="71">
        <v>750</v>
      </c>
      <c r="T248" s="71">
        <v>140</v>
      </c>
      <c r="U248" s="73">
        <v>2.6</v>
      </c>
      <c r="V248" s="73">
        <v>0.3</v>
      </c>
      <c r="W248" s="72">
        <v>0.21</v>
      </c>
      <c r="X248" s="72">
        <v>0.27</v>
      </c>
      <c r="Y248" s="72">
        <v>0.12</v>
      </c>
      <c r="Z248" s="74">
        <v>5.6000000000000001E-2</v>
      </c>
      <c r="AA248" s="74">
        <v>2.3E-2</v>
      </c>
      <c r="AB248" s="74">
        <v>6.0000000000000001E-3</v>
      </c>
      <c r="AC248" s="74">
        <v>5.8999999999999997E-2</v>
      </c>
    </row>
    <row r="249" spans="2:29" x14ac:dyDescent="0.2">
      <c r="B249" s="66" t="s">
        <v>598</v>
      </c>
      <c r="C249" s="67" t="s">
        <v>252</v>
      </c>
      <c r="D249" s="68">
        <v>6</v>
      </c>
      <c r="F249" s="66" t="s">
        <v>654</v>
      </c>
      <c r="G249" s="67" t="s">
        <v>257</v>
      </c>
      <c r="H249" s="68">
        <v>33</v>
      </c>
      <c r="I249" s="70">
        <v>120</v>
      </c>
      <c r="J249" s="70">
        <v>-25</v>
      </c>
      <c r="K249" s="70">
        <v>-27</v>
      </c>
      <c r="L249" s="70">
        <v>29</v>
      </c>
      <c r="M249" s="70">
        <v>23</v>
      </c>
      <c r="N249" s="70">
        <v>4650</v>
      </c>
      <c r="O249" s="70">
        <v>23</v>
      </c>
      <c r="P249" s="71">
        <v>102</v>
      </c>
      <c r="Q249" s="71">
        <v>940</v>
      </c>
      <c r="R249" s="72">
        <v>1.04</v>
      </c>
      <c r="S249" s="71">
        <v>1175</v>
      </c>
      <c r="T249" s="71">
        <v>160</v>
      </c>
      <c r="U249" s="73">
        <v>2.2999999999999998</v>
      </c>
      <c r="V249" s="73">
        <v>0.4</v>
      </c>
      <c r="W249" s="72">
        <v>0.26</v>
      </c>
      <c r="X249" s="72">
        <v>0.35</v>
      </c>
      <c r="Y249" s="72">
        <v>0.48</v>
      </c>
      <c r="Z249" s="74">
        <v>0.24</v>
      </c>
      <c r="AA249" s="74">
        <v>0.1</v>
      </c>
      <c r="AB249" s="74">
        <v>3.5999999999999997E-2</v>
      </c>
      <c r="AC249" s="74">
        <v>0.28999999999999998</v>
      </c>
    </row>
    <row r="250" spans="2:29" x14ac:dyDescent="0.2">
      <c r="B250" s="66" t="s">
        <v>645</v>
      </c>
      <c r="C250" s="67" t="s">
        <v>252</v>
      </c>
      <c r="D250" s="68">
        <v>7</v>
      </c>
      <c r="F250" s="66" t="s">
        <v>655</v>
      </c>
      <c r="G250" s="67" t="s">
        <v>258</v>
      </c>
      <c r="H250" s="68">
        <v>9</v>
      </c>
      <c r="I250" s="70">
        <v>5</v>
      </c>
      <c r="J250" s="70">
        <v>-14</v>
      </c>
      <c r="K250" s="70">
        <v>-16</v>
      </c>
      <c r="L250" s="70">
        <v>20</v>
      </c>
      <c r="M250" s="70">
        <v>18</v>
      </c>
      <c r="N250" s="70">
        <v>4550</v>
      </c>
      <c r="O250" s="70">
        <v>15</v>
      </c>
      <c r="P250" s="71">
        <v>123</v>
      </c>
      <c r="Q250" s="71">
        <v>1350</v>
      </c>
      <c r="R250" s="72">
        <v>1.58</v>
      </c>
      <c r="S250" s="71">
        <v>1525</v>
      </c>
      <c r="T250" s="71">
        <v>400</v>
      </c>
      <c r="U250" s="73">
        <v>2.4</v>
      </c>
      <c r="V250" s="73">
        <v>0.7</v>
      </c>
      <c r="W250" s="72">
        <v>0.59</v>
      </c>
      <c r="X250" s="72">
        <v>0.74</v>
      </c>
      <c r="Y250" s="72">
        <v>0.18</v>
      </c>
      <c r="Z250" s="74">
        <v>0.11</v>
      </c>
      <c r="AA250" s="74">
        <v>0.06</v>
      </c>
      <c r="AB250" s="74">
        <v>1.7000000000000001E-2</v>
      </c>
      <c r="AC250" s="74">
        <v>9.5000000000000001E-2</v>
      </c>
    </row>
    <row r="251" spans="2:29" x14ac:dyDescent="0.2">
      <c r="B251" s="66" t="s">
        <v>656</v>
      </c>
      <c r="C251" s="67" t="s">
        <v>252</v>
      </c>
      <c r="D251" s="68">
        <v>8</v>
      </c>
      <c r="F251" s="66" t="s">
        <v>359</v>
      </c>
      <c r="G251" s="67" t="s">
        <v>247</v>
      </c>
      <c r="H251" s="68">
        <v>56</v>
      </c>
      <c r="I251" s="76">
        <v>541</v>
      </c>
      <c r="J251" s="70">
        <v>-36</v>
      </c>
      <c r="K251" s="70">
        <v>-39</v>
      </c>
      <c r="L251" s="70">
        <v>28</v>
      </c>
      <c r="M251" s="70">
        <v>20</v>
      </c>
      <c r="N251" s="76">
        <v>6100</v>
      </c>
      <c r="O251" s="76">
        <v>21</v>
      </c>
      <c r="P251" s="77">
        <v>75</v>
      </c>
      <c r="Q251" s="77">
        <v>320</v>
      </c>
      <c r="R251" s="72">
        <v>0.53</v>
      </c>
      <c r="S251" s="77">
        <v>435</v>
      </c>
      <c r="T251" s="77">
        <v>140</v>
      </c>
      <c r="U251" s="73">
        <v>1.9</v>
      </c>
      <c r="V251" s="73">
        <v>0.1</v>
      </c>
      <c r="W251" s="72">
        <v>0.32</v>
      </c>
      <c r="X251" s="72">
        <v>0.42</v>
      </c>
      <c r="Y251" s="72">
        <v>0.12</v>
      </c>
      <c r="Z251" s="74">
        <v>0.06</v>
      </c>
      <c r="AA251" s="74">
        <v>0.02</v>
      </c>
      <c r="AB251" s="74">
        <v>0.01</v>
      </c>
      <c r="AC251" s="74">
        <v>0.06</v>
      </c>
    </row>
    <row r="252" spans="2:29" x14ac:dyDescent="0.2">
      <c r="B252" s="66" t="s">
        <v>657</v>
      </c>
      <c r="C252" s="67" t="s">
        <v>252</v>
      </c>
      <c r="D252" s="68">
        <v>9</v>
      </c>
      <c r="F252" s="66" t="s">
        <v>658</v>
      </c>
      <c r="G252" s="67" t="s">
        <v>254</v>
      </c>
      <c r="H252" s="68">
        <v>8</v>
      </c>
      <c r="I252" s="70">
        <v>115</v>
      </c>
      <c r="J252" s="70">
        <v>-27</v>
      </c>
      <c r="K252" s="70">
        <v>-30</v>
      </c>
      <c r="L252" s="70">
        <v>28</v>
      </c>
      <c r="M252" s="70">
        <v>22</v>
      </c>
      <c r="N252" s="70">
        <v>5350</v>
      </c>
      <c r="O252" s="70">
        <v>23</v>
      </c>
      <c r="P252" s="71">
        <v>107</v>
      </c>
      <c r="Q252" s="71">
        <v>850</v>
      </c>
      <c r="R252" s="72">
        <v>1</v>
      </c>
      <c r="S252" s="71">
        <v>1100</v>
      </c>
      <c r="T252" s="71">
        <v>160</v>
      </c>
      <c r="U252" s="73">
        <v>3.6</v>
      </c>
      <c r="V252" s="73">
        <v>0.6</v>
      </c>
      <c r="W252" s="72">
        <v>0.28999999999999998</v>
      </c>
      <c r="X252" s="72">
        <v>0.42</v>
      </c>
      <c r="Y252" s="72">
        <v>0.42</v>
      </c>
      <c r="Z252" s="74">
        <v>0.23</v>
      </c>
      <c r="AA252" s="74">
        <v>9.9000000000000005E-2</v>
      </c>
      <c r="AB252" s="74">
        <v>3.4000000000000002E-2</v>
      </c>
      <c r="AC252" s="74">
        <v>0.28000000000000003</v>
      </c>
    </row>
    <row r="253" spans="2:29" x14ac:dyDescent="0.2">
      <c r="B253" s="66" t="s">
        <v>659</v>
      </c>
      <c r="C253" s="67" t="s">
        <v>252</v>
      </c>
      <c r="D253" s="68">
        <v>10</v>
      </c>
      <c r="F253" s="66" t="s">
        <v>658</v>
      </c>
      <c r="G253" s="67" t="s">
        <v>258</v>
      </c>
      <c r="H253" s="68">
        <v>10</v>
      </c>
      <c r="I253" s="70">
        <v>60</v>
      </c>
      <c r="J253" s="70">
        <v>-21</v>
      </c>
      <c r="K253" s="70">
        <v>-24</v>
      </c>
      <c r="L253" s="70">
        <v>26</v>
      </c>
      <c r="M253" s="70">
        <v>19</v>
      </c>
      <c r="N253" s="70">
        <v>5000</v>
      </c>
      <c r="O253" s="70">
        <v>15</v>
      </c>
      <c r="P253" s="71">
        <v>86</v>
      </c>
      <c r="Q253" s="71">
        <v>775</v>
      </c>
      <c r="R253" s="72">
        <v>0.97</v>
      </c>
      <c r="S253" s="71">
        <v>1030</v>
      </c>
      <c r="T253" s="71">
        <v>240</v>
      </c>
      <c r="U253" s="73">
        <v>3.4</v>
      </c>
      <c r="V253" s="73">
        <v>0.6</v>
      </c>
      <c r="W253" s="72">
        <v>0.46</v>
      </c>
      <c r="X253" s="72">
        <v>0.6</v>
      </c>
      <c r="Y253" s="72">
        <v>0.15</v>
      </c>
      <c r="Z253" s="74">
        <v>9.1999999999999998E-2</v>
      </c>
      <c r="AA253" s="74">
        <v>5.0999999999999997E-2</v>
      </c>
      <c r="AB253" s="74">
        <v>1.2999999999999999E-2</v>
      </c>
      <c r="AC253" s="74">
        <v>8.5000000000000006E-2</v>
      </c>
    </row>
    <row r="254" spans="2:29" x14ac:dyDescent="0.2">
      <c r="B254" s="66" t="s">
        <v>660</v>
      </c>
      <c r="C254" s="67" t="s">
        <v>252</v>
      </c>
      <c r="D254" s="68">
        <v>11</v>
      </c>
      <c r="F254" s="66" t="s">
        <v>549</v>
      </c>
      <c r="G254" s="67" t="s">
        <v>224</v>
      </c>
      <c r="H254" s="68">
        <v>30</v>
      </c>
      <c r="I254" s="70">
        <v>565</v>
      </c>
      <c r="J254" s="70">
        <v>-20</v>
      </c>
      <c r="K254" s="70">
        <v>-22</v>
      </c>
      <c r="L254" s="70">
        <v>35</v>
      </c>
      <c r="M254" s="70">
        <v>20</v>
      </c>
      <c r="N254" s="70">
        <v>3950</v>
      </c>
      <c r="O254" s="70">
        <v>10</v>
      </c>
      <c r="P254" s="71">
        <v>48</v>
      </c>
      <c r="Q254" s="71">
        <v>390</v>
      </c>
      <c r="R254" s="72">
        <v>0.47</v>
      </c>
      <c r="S254" s="71">
        <v>475</v>
      </c>
      <c r="T254" s="71">
        <v>80</v>
      </c>
      <c r="U254" s="73">
        <v>2.8</v>
      </c>
      <c r="V254" s="73">
        <v>0.1</v>
      </c>
      <c r="W254" s="72">
        <v>0.26</v>
      </c>
      <c r="X254" s="72">
        <v>0.41</v>
      </c>
      <c r="Y254" s="72">
        <v>0.27</v>
      </c>
      <c r="Z254" s="74">
        <v>0.17</v>
      </c>
      <c r="AA254" s="74">
        <v>8.3000000000000004E-2</v>
      </c>
      <c r="AB254" s="74">
        <v>4.7E-2</v>
      </c>
      <c r="AC254" s="74">
        <v>0.14000000000000001</v>
      </c>
    </row>
    <row r="255" spans="2:29" x14ac:dyDescent="0.2">
      <c r="B255" s="66" t="s">
        <v>661</v>
      </c>
      <c r="C255" s="67" t="s">
        <v>252</v>
      </c>
      <c r="D255" s="68">
        <v>12</v>
      </c>
      <c r="F255" s="66" t="s">
        <v>360</v>
      </c>
      <c r="G255" s="67" t="s">
        <v>247</v>
      </c>
      <c r="H255" s="68">
        <v>57</v>
      </c>
      <c r="I255" s="76">
        <v>1220</v>
      </c>
      <c r="J255" s="70">
        <v>-35</v>
      </c>
      <c r="K255" s="70">
        <v>-38</v>
      </c>
      <c r="L255" s="70">
        <v>27</v>
      </c>
      <c r="M255" s="70">
        <v>15</v>
      </c>
      <c r="N255" s="76">
        <v>5700</v>
      </c>
      <c r="O255" s="76">
        <v>14</v>
      </c>
      <c r="P255" s="77">
        <v>70</v>
      </c>
      <c r="Q255" s="77">
        <v>370</v>
      </c>
      <c r="R255" s="72">
        <v>0.55000000000000004</v>
      </c>
      <c r="S255" s="77">
        <v>605</v>
      </c>
      <c r="T255" s="77">
        <v>80</v>
      </c>
      <c r="U255" s="73">
        <v>3.2</v>
      </c>
      <c r="V255" s="73">
        <v>0.1</v>
      </c>
      <c r="W255" s="72">
        <v>0.31</v>
      </c>
      <c r="X255" s="72">
        <v>0.42</v>
      </c>
      <c r="Y255" s="72">
        <v>0.24</v>
      </c>
      <c r="Z255" s="74">
        <v>0.14000000000000001</v>
      </c>
      <c r="AA255" s="74">
        <v>7.0000000000000007E-2</v>
      </c>
      <c r="AB255" s="74">
        <v>0.04</v>
      </c>
      <c r="AC255" s="74">
        <v>0.12</v>
      </c>
    </row>
    <row r="256" spans="2:29" x14ac:dyDescent="0.2">
      <c r="B256" s="66" t="s">
        <v>662</v>
      </c>
      <c r="C256" s="67" t="s">
        <v>252</v>
      </c>
      <c r="D256" s="68">
        <v>13</v>
      </c>
      <c r="F256" s="66" t="s">
        <v>362</v>
      </c>
      <c r="G256" s="67" t="s">
        <v>247</v>
      </c>
      <c r="H256" s="68">
        <v>58</v>
      </c>
      <c r="I256" s="76">
        <v>650</v>
      </c>
      <c r="J256" s="70">
        <v>-36</v>
      </c>
      <c r="K256" s="70">
        <v>-39</v>
      </c>
      <c r="L256" s="70">
        <v>27</v>
      </c>
      <c r="M256" s="70">
        <v>18</v>
      </c>
      <c r="N256" s="76">
        <v>6000</v>
      </c>
      <c r="O256" s="76">
        <v>23</v>
      </c>
      <c r="P256" s="77">
        <v>86</v>
      </c>
      <c r="Q256" s="77">
        <v>315</v>
      </c>
      <c r="R256" s="72">
        <v>0.49</v>
      </c>
      <c r="S256" s="77">
        <v>450</v>
      </c>
      <c r="T256" s="77">
        <v>120</v>
      </c>
      <c r="U256" s="73">
        <v>2.2000000000000002</v>
      </c>
      <c r="V256" s="73">
        <v>0.1</v>
      </c>
      <c r="W256" s="72">
        <v>0.37</v>
      </c>
      <c r="X256" s="72">
        <v>0.47</v>
      </c>
      <c r="Y256" s="72">
        <v>0.12</v>
      </c>
      <c r="Z256" s="74">
        <v>6.0999999999999999E-2</v>
      </c>
      <c r="AA256" s="74">
        <v>3.1E-2</v>
      </c>
      <c r="AB256" s="74">
        <v>1.7999999999999999E-2</v>
      </c>
      <c r="AC256" s="74">
        <v>5.8999999999999997E-2</v>
      </c>
    </row>
    <row r="257" spans="2:29" x14ac:dyDescent="0.2">
      <c r="B257" s="66" t="s">
        <v>663</v>
      </c>
      <c r="C257" s="67" t="s">
        <v>252</v>
      </c>
      <c r="D257" s="68">
        <v>14</v>
      </c>
      <c r="F257" s="66" t="s">
        <v>364</v>
      </c>
      <c r="G257" s="67" t="s">
        <v>247</v>
      </c>
      <c r="H257" s="68">
        <v>59</v>
      </c>
      <c r="I257" s="76">
        <v>991</v>
      </c>
      <c r="J257" s="70">
        <v>-33</v>
      </c>
      <c r="K257" s="70">
        <v>-36</v>
      </c>
      <c r="L257" s="70">
        <v>30</v>
      </c>
      <c r="M257" s="70">
        <v>18</v>
      </c>
      <c r="N257" s="76">
        <v>4800</v>
      </c>
      <c r="O257" s="76">
        <v>17</v>
      </c>
      <c r="P257" s="77">
        <v>95</v>
      </c>
      <c r="Q257" s="77">
        <v>300</v>
      </c>
      <c r="R257" s="72">
        <v>0.35</v>
      </c>
      <c r="S257" s="77">
        <v>440</v>
      </c>
      <c r="T257" s="77">
        <v>190</v>
      </c>
      <c r="U257" s="73">
        <v>1.4</v>
      </c>
      <c r="V257" s="73">
        <v>0.1</v>
      </c>
      <c r="W257" s="72">
        <v>0.66</v>
      </c>
      <c r="X257" s="72">
        <v>0.88</v>
      </c>
      <c r="Y257" s="72">
        <v>0.16</v>
      </c>
      <c r="Z257" s="74">
        <v>0.09</v>
      </c>
      <c r="AA257" s="74">
        <v>0.05</v>
      </c>
      <c r="AB257" s="74">
        <v>0.03</v>
      </c>
      <c r="AC257" s="74">
        <v>0.09</v>
      </c>
    </row>
    <row r="258" spans="2:29" x14ac:dyDescent="0.2">
      <c r="B258" s="66" t="s">
        <v>664</v>
      </c>
      <c r="C258" s="67" t="s">
        <v>252</v>
      </c>
      <c r="D258" s="68">
        <v>15</v>
      </c>
      <c r="F258" s="66" t="s">
        <v>665</v>
      </c>
      <c r="G258" s="67" t="s">
        <v>264</v>
      </c>
      <c r="H258" s="68">
        <v>72</v>
      </c>
      <c r="I258" s="70">
        <v>255</v>
      </c>
      <c r="J258" s="70">
        <v>-26</v>
      </c>
      <c r="K258" s="70">
        <v>-28</v>
      </c>
      <c r="L258" s="70">
        <v>29</v>
      </c>
      <c r="M258" s="70">
        <v>22</v>
      </c>
      <c r="N258" s="70">
        <v>4750</v>
      </c>
      <c r="O258" s="70">
        <v>25</v>
      </c>
      <c r="P258" s="71">
        <v>103</v>
      </c>
      <c r="Q258" s="71">
        <v>790</v>
      </c>
      <c r="R258" s="72">
        <v>0.92</v>
      </c>
      <c r="S258" s="71">
        <v>1050</v>
      </c>
      <c r="T258" s="71">
        <v>120</v>
      </c>
      <c r="U258" s="73">
        <v>2.7</v>
      </c>
      <c r="V258" s="73">
        <v>0.4</v>
      </c>
      <c r="W258" s="72">
        <v>0.26</v>
      </c>
      <c r="X258" s="72">
        <v>0.35</v>
      </c>
      <c r="Y258" s="72">
        <v>0.17</v>
      </c>
      <c r="Z258" s="74">
        <v>0.1</v>
      </c>
      <c r="AA258" s="74">
        <v>5.1999999999999998E-2</v>
      </c>
      <c r="AB258" s="74">
        <v>1.4999999999999999E-2</v>
      </c>
      <c r="AC258" s="74">
        <v>7.2999999999999995E-2</v>
      </c>
    </row>
    <row r="259" spans="2:29" x14ac:dyDescent="0.2">
      <c r="B259" s="66" t="s">
        <v>666</v>
      </c>
      <c r="C259" s="67" t="s">
        <v>252</v>
      </c>
      <c r="D259" s="68">
        <v>16</v>
      </c>
      <c r="F259" s="66" t="s">
        <v>550</v>
      </c>
      <c r="G259" s="67" t="s">
        <v>224</v>
      </c>
      <c r="H259" s="68">
        <v>31</v>
      </c>
      <c r="I259" s="70">
        <v>745</v>
      </c>
      <c r="J259" s="70">
        <v>-20</v>
      </c>
      <c r="K259" s="70">
        <v>-22</v>
      </c>
      <c r="L259" s="70">
        <v>35</v>
      </c>
      <c r="M259" s="70">
        <v>20</v>
      </c>
      <c r="N259" s="70">
        <v>4500</v>
      </c>
      <c r="O259" s="70">
        <v>10</v>
      </c>
      <c r="P259" s="71">
        <v>64</v>
      </c>
      <c r="Q259" s="71">
        <v>430</v>
      </c>
      <c r="R259" s="72">
        <v>0.51</v>
      </c>
      <c r="S259" s="71">
        <v>550</v>
      </c>
      <c r="T259" s="71">
        <v>80</v>
      </c>
      <c r="U259" s="73">
        <v>4</v>
      </c>
      <c r="V259" s="73">
        <v>0.1</v>
      </c>
      <c r="W259" s="72">
        <v>0.28999999999999998</v>
      </c>
      <c r="X259" s="72">
        <v>0.44</v>
      </c>
      <c r="Y259" s="72">
        <v>0.27</v>
      </c>
      <c r="Z259" s="74">
        <v>0.17</v>
      </c>
      <c r="AA259" s="74">
        <v>8.5000000000000006E-2</v>
      </c>
      <c r="AB259" s="74">
        <v>4.9000000000000002E-2</v>
      </c>
      <c r="AC259" s="74">
        <v>0.14000000000000001</v>
      </c>
    </row>
    <row r="260" spans="2:29" x14ac:dyDescent="0.2">
      <c r="B260" s="66" t="s">
        <v>667</v>
      </c>
      <c r="C260" s="67" t="s">
        <v>252</v>
      </c>
      <c r="D260" s="68">
        <v>17</v>
      </c>
      <c r="F260" s="66" t="s">
        <v>668</v>
      </c>
      <c r="G260" s="67" t="s">
        <v>261</v>
      </c>
      <c r="H260" s="68">
        <v>8</v>
      </c>
      <c r="I260" s="70">
        <v>105</v>
      </c>
      <c r="J260" s="70">
        <v>-17</v>
      </c>
      <c r="K260" s="70">
        <v>-19</v>
      </c>
      <c r="L260" s="70">
        <v>28</v>
      </c>
      <c r="M260" s="70">
        <v>21</v>
      </c>
      <c r="N260" s="70">
        <v>4300</v>
      </c>
      <c r="O260" s="70">
        <v>15</v>
      </c>
      <c r="P260" s="71">
        <v>123</v>
      </c>
      <c r="Q260" s="71">
        <v>925</v>
      </c>
      <c r="R260" s="72">
        <v>1.05</v>
      </c>
      <c r="S260" s="71">
        <v>1100</v>
      </c>
      <c r="T260" s="71">
        <v>280</v>
      </c>
      <c r="U260" s="73">
        <v>2.7</v>
      </c>
      <c r="V260" s="73">
        <v>0.6</v>
      </c>
      <c r="W260" s="72">
        <v>0.36</v>
      </c>
      <c r="X260" s="72">
        <v>0.54</v>
      </c>
      <c r="Y260" s="72">
        <v>0.25</v>
      </c>
      <c r="Z260" s="74">
        <v>0.13</v>
      </c>
      <c r="AA260" s="74">
        <v>6.7000000000000004E-2</v>
      </c>
      <c r="AB260" s="74">
        <v>1.7999999999999999E-2</v>
      </c>
      <c r="AC260" s="74">
        <v>0.14000000000000001</v>
      </c>
    </row>
    <row r="261" spans="2:29" x14ac:dyDescent="0.2">
      <c r="B261" s="66" t="s">
        <v>669</v>
      </c>
      <c r="C261" s="67" t="s">
        <v>252</v>
      </c>
      <c r="D261" s="68">
        <v>18</v>
      </c>
      <c r="F261" s="66" t="s">
        <v>670</v>
      </c>
      <c r="G261" s="67" t="s">
        <v>264</v>
      </c>
      <c r="H261" s="68">
        <v>73</v>
      </c>
      <c r="I261" s="70">
        <v>85</v>
      </c>
      <c r="J261" s="70">
        <v>-16</v>
      </c>
      <c r="K261" s="70">
        <v>-18</v>
      </c>
      <c r="L261" s="70">
        <v>30</v>
      </c>
      <c r="M261" s="70">
        <v>23</v>
      </c>
      <c r="N261" s="70">
        <v>3650</v>
      </c>
      <c r="O261" s="70">
        <v>23</v>
      </c>
      <c r="P261" s="71">
        <v>108</v>
      </c>
      <c r="Q261" s="71">
        <v>760</v>
      </c>
      <c r="R261" s="72">
        <v>0.9</v>
      </c>
      <c r="S261" s="71">
        <v>875</v>
      </c>
      <c r="T261" s="71">
        <v>160</v>
      </c>
      <c r="U261" s="73">
        <v>0.9</v>
      </c>
      <c r="V261" s="73">
        <v>0.4</v>
      </c>
      <c r="W261" s="72">
        <v>0.36</v>
      </c>
      <c r="X261" s="72">
        <v>0.46</v>
      </c>
      <c r="Y261" s="72">
        <v>0.4</v>
      </c>
      <c r="Z261" s="74">
        <v>0.19</v>
      </c>
      <c r="AA261" s="74">
        <v>6.9000000000000006E-2</v>
      </c>
      <c r="AB261" s="74">
        <v>0.02</v>
      </c>
      <c r="AC261" s="74">
        <v>0.28999999999999998</v>
      </c>
    </row>
    <row r="262" spans="2:29" x14ac:dyDescent="0.2">
      <c r="B262" s="66" t="s">
        <v>671</v>
      </c>
      <c r="C262" s="67" t="s">
        <v>252</v>
      </c>
      <c r="D262" s="68">
        <v>19</v>
      </c>
      <c r="F262" s="66" t="s">
        <v>365</v>
      </c>
      <c r="G262" s="67" t="s">
        <v>247</v>
      </c>
      <c r="H262" s="68">
        <v>60</v>
      </c>
      <c r="I262" s="76">
        <v>603</v>
      </c>
      <c r="J262" s="70">
        <v>-40</v>
      </c>
      <c r="K262" s="70">
        <v>-42</v>
      </c>
      <c r="L262" s="70">
        <v>27</v>
      </c>
      <c r="M262" s="70">
        <v>18</v>
      </c>
      <c r="N262" s="76">
        <v>6350</v>
      </c>
      <c r="O262" s="76">
        <v>14</v>
      </c>
      <c r="P262" s="77">
        <v>80</v>
      </c>
      <c r="Q262" s="77">
        <v>310</v>
      </c>
      <c r="R262" s="72">
        <v>0.51</v>
      </c>
      <c r="S262" s="77">
        <v>390</v>
      </c>
      <c r="T262" s="77">
        <v>100</v>
      </c>
      <c r="U262" s="73">
        <v>2.2999999999999998</v>
      </c>
      <c r="V262" s="73">
        <v>0.1</v>
      </c>
      <c r="W262" s="72">
        <v>0.24</v>
      </c>
      <c r="X262" s="72">
        <v>0.33</v>
      </c>
      <c r="Y262" s="72">
        <v>0.12</v>
      </c>
      <c r="Z262" s="74">
        <v>0.06</v>
      </c>
      <c r="AA262" s="74">
        <v>0.02</v>
      </c>
      <c r="AB262" s="74">
        <v>0.01</v>
      </c>
      <c r="AC262" s="74">
        <v>0.06</v>
      </c>
    </row>
    <row r="263" spans="2:29" x14ac:dyDescent="0.2">
      <c r="B263" s="66" t="s">
        <v>672</v>
      </c>
      <c r="C263" s="67" t="s">
        <v>252</v>
      </c>
      <c r="D263" s="68">
        <v>20</v>
      </c>
      <c r="F263" s="66" t="s">
        <v>673</v>
      </c>
      <c r="G263" s="67" t="s">
        <v>264</v>
      </c>
      <c r="H263" s="68">
        <v>74</v>
      </c>
      <c r="I263" s="70">
        <v>340</v>
      </c>
      <c r="J263" s="70">
        <v>-19</v>
      </c>
      <c r="K263" s="70">
        <v>-21</v>
      </c>
      <c r="L263" s="70">
        <v>29</v>
      </c>
      <c r="M263" s="70">
        <v>23</v>
      </c>
      <c r="N263" s="70">
        <v>4350</v>
      </c>
      <c r="O263" s="70">
        <v>28</v>
      </c>
      <c r="P263" s="71">
        <v>113</v>
      </c>
      <c r="Q263" s="71">
        <v>770</v>
      </c>
      <c r="R263" s="72">
        <v>0.88</v>
      </c>
      <c r="S263" s="71">
        <v>875</v>
      </c>
      <c r="T263" s="71">
        <v>140</v>
      </c>
      <c r="U263" s="73">
        <v>1.9</v>
      </c>
      <c r="V263" s="73">
        <v>0.4</v>
      </c>
      <c r="W263" s="72">
        <v>0.25</v>
      </c>
      <c r="X263" s="72">
        <v>0.33</v>
      </c>
      <c r="Y263" s="72">
        <v>0.21</v>
      </c>
      <c r="Z263" s="74">
        <v>0.1</v>
      </c>
      <c r="AA263" s="74">
        <v>4.9000000000000002E-2</v>
      </c>
      <c r="AB263" s="74">
        <v>1.2999999999999999E-2</v>
      </c>
      <c r="AC263" s="74">
        <v>0.13</v>
      </c>
    </row>
    <row r="264" spans="2:29" x14ac:dyDescent="0.2">
      <c r="B264" s="66" t="s">
        <v>674</v>
      </c>
      <c r="C264" s="67" t="s">
        <v>252</v>
      </c>
      <c r="D264" s="68">
        <v>21</v>
      </c>
      <c r="F264" s="66" t="s">
        <v>675</v>
      </c>
      <c r="G264" s="67" t="s">
        <v>264</v>
      </c>
      <c r="H264" s="68">
        <v>75</v>
      </c>
      <c r="I264" s="70">
        <v>280</v>
      </c>
      <c r="J264" s="70">
        <v>-24</v>
      </c>
      <c r="K264" s="70">
        <v>-26</v>
      </c>
      <c r="L264" s="70">
        <v>29</v>
      </c>
      <c r="M264" s="70">
        <v>22</v>
      </c>
      <c r="N264" s="70">
        <v>4550</v>
      </c>
      <c r="O264" s="70">
        <v>28</v>
      </c>
      <c r="P264" s="71">
        <v>103</v>
      </c>
      <c r="Q264" s="71">
        <v>700</v>
      </c>
      <c r="R264" s="72">
        <v>0.83</v>
      </c>
      <c r="S264" s="71">
        <v>950</v>
      </c>
      <c r="T264" s="71">
        <v>120</v>
      </c>
      <c r="U264" s="73">
        <v>2.5</v>
      </c>
      <c r="V264" s="73">
        <v>0.4</v>
      </c>
      <c r="W264" s="72">
        <v>0.21</v>
      </c>
      <c r="X264" s="72">
        <v>0.33</v>
      </c>
      <c r="Y264" s="72">
        <v>0.16</v>
      </c>
      <c r="Z264" s="74">
        <v>9.6000000000000002E-2</v>
      </c>
      <c r="AA264" s="74">
        <v>4.9000000000000002E-2</v>
      </c>
      <c r="AB264" s="74">
        <v>1.4E-2</v>
      </c>
      <c r="AC264" s="74">
        <v>7.4999999999999997E-2</v>
      </c>
    </row>
    <row r="265" spans="2:29" x14ac:dyDescent="0.2">
      <c r="B265" s="66" t="s">
        <v>676</v>
      </c>
      <c r="C265" s="67" t="s">
        <v>252</v>
      </c>
      <c r="D265" s="68">
        <v>22</v>
      </c>
      <c r="F265" s="66" t="s">
        <v>366</v>
      </c>
      <c r="G265" s="67" t="s">
        <v>247</v>
      </c>
      <c r="H265" s="68">
        <v>61</v>
      </c>
      <c r="I265" s="76">
        <v>335</v>
      </c>
      <c r="J265" s="70">
        <v>-41</v>
      </c>
      <c r="K265" s="70">
        <v>-43</v>
      </c>
      <c r="L265" s="70">
        <v>28</v>
      </c>
      <c r="M265" s="70">
        <v>18</v>
      </c>
      <c r="N265" s="76">
        <v>7150</v>
      </c>
      <c r="O265" s="76">
        <v>13</v>
      </c>
      <c r="P265" s="77">
        <v>70</v>
      </c>
      <c r="Q265" s="77">
        <v>275</v>
      </c>
      <c r="R265" s="72">
        <v>0.54</v>
      </c>
      <c r="S265" s="77">
        <v>425</v>
      </c>
      <c r="T265" s="77">
        <v>60</v>
      </c>
      <c r="U265" s="73">
        <v>2.4</v>
      </c>
      <c r="V265" s="73">
        <v>0.1</v>
      </c>
      <c r="W265" s="72">
        <v>0.21</v>
      </c>
      <c r="X265" s="72">
        <v>0.28000000000000003</v>
      </c>
      <c r="Y265" s="72">
        <v>0.12</v>
      </c>
      <c r="Z265" s="74">
        <v>5.6000000000000001E-2</v>
      </c>
      <c r="AA265" s="74">
        <v>2.3E-2</v>
      </c>
      <c r="AB265" s="74">
        <v>0.01</v>
      </c>
      <c r="AC265" s="74">
        <v>5.8999999999999997E-2</v>
      </c>
    </row>
    <row r="266" spans="2:29" x14ac:dyDescent="0.2">
      <c r="B266" s="66" t="s">
        <v>677</v>
      </c>
      <c r="C266" s="67" t="s">
        <v>252</v>
      </c>
      <c r="D266" s="68">
        <v>23</v>
      </c>
      <c r="F266" s="66" t="s">
        <v>678</v>
      </c>
      <c r="G266" s="67" t="s">
        <v>264</v>
      </c>
      <c r="H266" s="68">
        <v>76</v>
      </c>
      <c r="I266" s="70">
        <v>210</v>
      </c>
      <c r="J266" s="70">
        <v>-32</v>
      </c>
      <c r="K266" s="70">
        <v>-35</v>
      </c>
      <c r="L266" s="70">
        <v>30</v>
      </c>
      <c r="M266" s="70">
        <v>21</v>
      </c>
      <c r="N266" s="70">
        <v>5600</v>
      </c>
      <c r="O266" s="70">
        <v>23</v>
      </c>
      <c r="P266" s="71">
        <v>92</v>
      </c>
      <c r="Q266" s="71">
        <v>590</v>
      </c>
      <c r="R266" s="72">
        <v>0.77</v>
      </c>
      <c r="S266" s="71">
        <v>820</v>
      </c>
      <c r="T266" s="71">
        <v>120</v>
      </c>
      <c r="U266" s="73">
        <v>2.4</v>
      </c>
      <c r="V266" s="73">
        <v>0.4</v>
      </c>
      <c r="W266" s="72">
        <v>0.32</v>
      </c>
      <c r="X266" s="72">
        <v>0.44</v>
      </c>
      <c r="Y266" s="72">
        <v>0.28999999999999998</v>
      </c>
      <c r="Z266" s="74">
        <v>0.14000000000000001</v>
      </c>
      <c r="AA266" s="74">
        <v>6.9000000000000006E-2</v>
      </c>
      <c r="AB266" s="74">
        <v>0.02</v>
      </c>
      <c r="AC266" s="74">
        <v>0.18</v>
      </c>
    </row>
    <row r="267" spans="2:29" x14ac:dyDescent="0.2">
      <c r="B267" s="66" t="s">
        <v>679</v>
      </c>
      <c r="C267" s="67" t="s">
        <v>252</v>
      </c>
      <c r="D267" s="68">
        <v>24</v>
      </c>
      <c r="F267" s="66" t="s">
        <v>680</v>
      </c>
      <c r="G267" s="67" t="s">
        <v>264</v>
      </c>
      <c r="H267" s="68">
        <v>77</v>
      </c>
      <c r="I267" s="70">
        <v>190</v>
      </c>
      <c r="J267" s="70">
        <v>-17</v>
      </c>
      <c r="K267" s="70">
        <v>-19</v>
      </c>
      <c r="L267" s="70">
        <v>30</v>
      </c>
      <c r="M267" s="70">
        <v>23</v>
      </c>
      <c r="N267" s="70">
        <v>3900</v>
      </c>
      <c r="O267" s="70">
        <v>23</v>
      </c>
      <c r="P267" s="71">
        <v>108</v>
      </c>
      <c r="Q267" s="71">
        <v>810</v>
      </c>
      <c r="R267" s="72">
        <v>0.93</v>
      </c>
      <c r="S267" s="71">
        <v>875</v>
      </c>
      <c r="T267" s="71">
        <v>160</v>
      </c>
      <c r="U267" s="73">
        <v>1.2</v>
      </c>
      <c r="V267" s="73">
        <v>0.4</v>
      </c>
      <c r="W267" s="72">
        <v>0.31</v>
      </c>
      <c r="X267" s="72">
        <v>0.4</v>
      </c>
      <c r="Y267" s="72">
        <v>0.34</v>
      </c>
      <c r="Z267" s="74">
        <v>0.17</v>
      </c>
      <c r="AA267" s="74">
        <v>0.06</v>
      </c>
      <c r="AB267" s="74">
        <v>1.9E-2</v>
      </c>
      <c r="AC267" s="74">
        <v>0.25</v>
      </c>
    </row>
    <row r="268" spans="2:29" x14ac:dyDescent="0.2">
      <c r="B268" s="66" t="s">
        <v>286</v>
      </c>
      <c r="C268" s="67" t="s">
        <v>254</v>
      </c>
      <c r="D268" s="68">
        <v>1</v>
      </c>
      <c r="F268" s="66" t="s">
        <v>681</v>
      </c>
      <c r="G268" s="67" t="s">
        <v>264</v>
      </c>
      <c r="H268" s="68">
        <v>78</v>
      </c>
      <c r="I268" s="70">
        <v>215</v>
      </c>
      <c r="J268" s="70">
        <v>-16</v>
      </c>
      <c r="K268" s="70">
        <v>-18</v>
      </c>
      <c r="L268" s="70">
        <v>30</v>
      </c>
      <c r="M268" s="70">
        <v>23</v>
      </c>
      <c r="N268" s="70">
        <v>4000</v>
      </c>
      <c r="O268" s="70">
        <v>25</v>
      </c>
      <c r="P268" s="71">
        <v>97</v>
      </c>
      <c r="Q268" s="71">
        <v>840</v>
      </c>
      <c r="R268" s="72">
        <v>0.95</v>
      </c>
      <c r="S268" s="71">
        <v>875</v>
      </c>
      <c r="T268" s="71">
        <v>160</v>
      </c>
      <c r="U268" s="73">
        <v>1.3</v>
      </c>
      <c r="V268" s="73">
        <v>0.4</v>
      </c>
      <c r="W268" s="72">
        <v>0.33</v>
      </c>
      <c r="X268" s="72">
        <v>0.42</v>
      </c>
      <c r="Y268" s="72">
        <v>0.28999999999999998</v>
      </c>
      <c r="Z268" s="74">
        <v>0.14000000000000001</v>
      </c>
      <c r="AA268" s="74">
        <v>5.2999999999999999E-2</v>
      </c>
      <c r="AB268" s="74">
        <v>1.7000000000000001E-2</v>
      </c>
      <c r="AC268" s="74">
        <v>0.22</v>
      </c>
    </row>
    <row r="269" spans="2:29" x14ac:dyDescent="0.2">
      <c r="B269" s="66" t="s">
        <v>336</v>
      </c>
      <c r="C269" s="67" t="s">
        <v>254</v>
      </c>
      <c r="D269" s="68">
        <v>2</v>
      </c>
      <c r="F269" s="66" t="s">
        <v>682</v>
      </c>
      <c r="G269" s="67" t="s">
        <v>264</v>
      </c>
      <c r="H269" s="68">
        <v>79</v>
      </c>
      <c r="I269" s="70">
        <v>335</v>
      </c>
      <c r="J269" s="70">
        <v>-27</v>
      </c>
      <c r="K269" s="70">
        <v>-29</v>
      </c>
      <c r="L269" s="70">
        <v>29</v>
      </c>
      <c r="M269" s="70">
        <v>22</v>
      </c>
      <c r="N269" s="70">
        <v>4950</v>
      </c>
      <c r="O269" s="70">
        <v>25</v>
      </c>
      <c r="P269" s="71">
        <v>92</v>
      </c>
      <c r="Q269" s="71">
        <v>780</v>
      </c>
      <c r="R269" s="72">
        <v>0.9</v>
      </c>
      <c r="S269" s="71">
        <v>980</v>
      </c>
      <c r="T269" s="71">
        <v>100</v>
      </c>
      <c r="U269" s="73">
        <v>2.9</v>
      </c>
      <c r="V269" s="73">
        <v>0.4</v>
      </c>
      <c r="W269" s="72">
        <v>0.26</v>
      </c>
      <c r="X269" s="72">
        <v>0.35</v>
      </c>
      <c r="Y269" s="72">
        <v>0.21</v>
      </c>
      <c r="Z269" s="74">
        <v>0.12</v>
      </c>
      <c r="AA269" s="74">
        <v>6.2E-2</v>
      </c>
      <c r="AB269" s="74">
        <v>1.9E-2</v>
      </c>
      <c r="AC269" s="74">
        <v>0.1</v>
      </c>
    </row>
    <row r="270" spans="2:29" x14ac:dyDescent="0.2">
      <c r="B270" s="66" t="s">
        <v>425</v>
      </c>
      <c r="C270" s="67" t="s">
        <v>254</v>
      </c>
      <c r="D270" s="68">
        <v>3</v>
      </c>
      <c r="F270" s="66" t="s">
        <v>683</v>
      </c>
      <c r="G270" s="67" t="s">
        <v>261</v>
      </c>
      <c r="H270" s="68">
        <v>9</v>
      </c>
      <c r="I270" s="70">
        <v>55</v>
      </c>
      <c r="J270" s="70">
        <v>-16</v>
      </c>
      <c r="K270" s="70">
        <v>-18</v>
      </c>
      <c r="L270" s="70">
        <v>26</v>
      </c>
      <c r="M270" s="70">
        <v>20</v>
      </c>
      <c r="N270" s="70">
        <v>4100</v>
      </c>
      <c r="O270" s="70">
        <v>15</v>
      </c>
      <c r="P270" s="71">
        <v>150</v>
      </c>
      <c r="Q270" s="71">
        <v>1350</v>
      </c>
      <c r="R270" s="72">
        <v>1.49</v>
      </c>
      <c r="S270" s="71">
        <v>1500</v>
      </c>
      <c r="T270" s="71">
        <v>280</v>
      </c>
      <c r="U270" s="73">
        <v>1.9</v>
      </c>
      <c r="V270" s="73">
        <v>0.6</v>
      </c>
      <c r="W270" s="72">
        <v>0.4</v>
      </c>
      <c r="X270" s="72">
        <v>0.57999999999999996</v>
      </c>
      <c r="Y270" s="72">
        <v>0.23</v>
      </c>
      <c r="Z270" s="74">
        <v>0.13</v>
      </c>
      <c r="AA270" s="74">
        <v>6.9000000000000006E-2</v>
      </c>
      <c r="AB270" s="74">
        <v>1.9E-2</v>
      </c>
      <c r="AC270" s="74">
        <v>0.12</v>
      </c>
    </row>
    <row r="271" spans="2:29" x14ac:dyDescent="0.2">
      <c r="B271" s="66" t="s">
        <v>461</v>
      </c>
      <c r="C271" s="67" t="s">
        <v>254</v>
      </c>
      <c r="D271" s="68">
        <v>4</v>
      </c>
      <c r="F271" s="66" t="s">
        <v>684</v>
      </c>
      <c r="G271" s="67" t="s">
        <v>264</v>
      </c>
      <c r="H271" s="68">
        <v>80</v>
      </c>
      <c r="I271" s="70">
        <v>255</v>
      </c>
      <c r="J271" s="70">
        <v>-19</v>
      </c>
      <c r="K271" s="70">
        <v>-21</v>
      </c>
      <c r="L271" s="70">
        <v>30</v>
      </c>
      <c r="M271" s="70">
        <v>23</v>
      </c>
      <c r="N271" s="70">
        <v>4300</v>
      </c>
      <c r="O271" s="70">
        <v>28</v>
      </c>
      <c r="P271" s="71">
        <v>119</v>
      </c>
      <c r="Q271" s="71">
        <v>750</v>
      </c>
      <c r="R271" s="72">
        <v>0.84</v>
      </c>
      <c r="S271" s="71">
        <v>850</v>
      </c>
      <c r="T271" s="71">
        <v>140</v>
      </c>
      <c r="U271" s="73">
        <v>1.4</v>
      </c>
      <c r="V271" s="73">
        <v>0.4</v>
      </c>
      <c r="W271" s="72">
        <v>0.27</v>
      </c>
      <c r="X271" s="72">
        <v>0.37</v>
      </c>
      <c r="Y271" s="72">
        <v>0.25</v>
      </c>
      <c r="Z271" s="74">
        <v>0.12</v>
      </c>
      <c r="AA271" s="74">
        <v>5.0999999999999997E-2</v>
      </c>
      <c r="AB271" s="74">
        <v>1.4999999999999999E-2</v>
      </c>
      <c r="AC271" s="74">
        <v>0.17</v>
      </c>
    </row>
    <row r="272" spans="2:29" x14ac:dyDescent="0.2">
      <c r="B272" s="66" t="s">
        <v>567</v>
      </c>
      <c r="C272" s="67" t="s">
        <v>254</v>
      </c>
      <c r="D272" s="68">
        <v>5</v>
      </c>
      <c r="F272" s="66" t="s">
        <v>685</v>
      </c>
      <c r="G272" s="67" t="s">
        <v>264</v>
      </c>
      <c r="H272" s="68">
        <v>81</v>
      </c>
      <c r="I272" s="70">
        <v>90</v>
      </c>
      <c r="J272" s="70">
        <v>-17</v>
      </c>
      <c r="K272" s="70">
        <v>-19</v>
      </c>
      <c r="L272" s="70">
        <v>31</v>
      </c>
      <c r="M272" s="70">
        <v>23</v>
      </c>
      <c r="N272" s="70">
        <v>3600</v>
      </c>
      <c r="O272" s="70">
        <v>23</v>
      </c>
      <c r="P272" s="71">
        <v>108</v>
      </c>
      <c r="Q272" s="71">
        <v>810</v>
      </c>
      <c r="R272" s="72">
        <v>0.9</v>
      </c>
      <c r="S272" s="71">
        <v>875</v>
      </c>
      <c r="T272" s="71">
        <v>160</v>
      </c>
      <c r="U272" s="73">
        <v>0.9</v>
      </c>
      <c r="V272" s="73">
        <v>0.4</v>
      </c>
      <c r="W272" s="72">
        <v>0.36</v>
      </c>
      <c r="X272" s="72">
        <v>0.46</v>
      </c>
      <c r="Y272" s="72">
        <v>0.33</v>
      </c>
      <c r="Z272" s="74">
        <v>0.16</v>
      </c>
      <c r="AA272" s="74">
        <v>5.8000000000000003E-2</v>
      </c>
      <c r="AB272" s="74">
        <v>1.7999999999999999E-2</v>
      </c>
      <c r="AC272" s="74">
        <v>0.24</v>
      </c>
    </row>
    <row r="273" spans="2:29" x14ac:dyDescent="0.2">
      <c r="B273" s="66" t="s">
        <v>628</v>
      </c>
      <c r="C273" s="67" t="s">
        <v>254</v>
      </c>
      <c r="D273" s="68">
        <v>6</v>
      </c>
      <c r="F273" s="66" t="s">
        <v>552</v>
      </c>
      <c r="G273" s="67" t="s">
        <v>224</v>
      </c>
      <c r="H273" s="68">
        <v>32</v>
      </c>
      <c r="I273" s="70">
        <v>10</v>
      </c>
      <c r="J273" s="70">
        <v>-9</v>
      </c>
      <c r="K273" s="70">
        <v>-11</v>
      </c>
      <c r="L273" s="70">
        <v>30</v>
      </c>
      <c r="M273" s="70">
        <v>20</v>
      </c>
      <c r="N273" s="70">
        <v>3050</v>
      </c>
      <c r="O273" s="70">
        <v>10</v>
      </c>
      <c r="P273" s="71">
        <v>134</v>
      </c>
      <c r="Q273" s="71">
        <v>1800</v>
      </c>
      <c r="R273" s="72">
        <v>1.86</v>
      </c>
      <c r="S273" s="71">
        <v>1950</v>
      </c>
      <c r="T273" s="71">
        <v>160</v>
      </c>
      <c r="U273" s="73">
        <v>2.4</v>
      </c>
      <c r="V273" s="73">
        <v>0.2</v>
      </c>
      <c r="W273" s="72">
        <v>0.36</v>
      </c>
      <c r="X273" s="72">
        <v>0.47</v>
      </c>
      <c r="Y273" s="72">
        <v>0.97</v>
      </c>
      <c r="Z273" s="74">
        <v>0.65</v>
      </c>
      <c r="AA273" s="74">
        <v>0.32</v>
      </c>
      <c r="AB273" s="74">
        <v>0.17</v>
      </c>
      <c r="AC273" s="74">
        <v>0.48</v>
      </c>
    </row>
    <row r="274" spans="2:29" x14ac:dyDescent="0.2">
      <c r="B274" s="66" t="s">
        <v>630</v>
      </c>
      <c r="C274" s="67" t="s">
        <v>254</v>
      </c>
      <c r="D274" s="68">
        <v>7</v>
      </c>
      <c r="F274" s="66" t="s">
        <v>368</v>
      </c>
      <c r="G274" s="67" t="s">
        <v>247</v>
      </c>
      <c r="H274" s="68">
        <v>62</v>
      </c>
      <c r="I274" s="76">
        <v>785</v>
      </c>
      <c r="J274" s="70">
        <v>-33</v>
      </c>
      <c r="K274" s="70">
        <v>-36</v>
      </c>
      <c r="L274" s="70">
        <v>29</v>
      </c>
      <c r="M274" s="70">
        <v>20</v>
      </c>
      <c r="N274" s="76">
        <v>5700</v>
      </c>
      <c r="O274" s="76">
        <v>19</v>
      </c>
      <c r="P274" s="77">
        <v>90</v>
      </c>
      <c r="Q274" s="77">
        <v>285</v>
      </c>
      <c r="R274" s="72">
        <v>0.39</v>
      </c>
      <c r="S274" s="77">
        <v>390</v>
      </c>
      <c r="T274" s="77">
        <v>220</v>
      </c>
      <c r="U274" s="73">
        <v>1.9</v>
      </c>
      <c r="V274" s="73">
        <v>0.1</v>
      </c>
      <c r="W274" s="72">
        <v>0.28999999999999998</v>
      </c>
      <c r="X274" s="72">
        <v>0.42</v>
      </c>
      <c r="Y274" s="72">
        <v>0.12</v>
      </c>
      <c r="Z274" s="74">
        <v>0.06</v>
      </c>
      <c r="AA274" s="74">
        <v>0.02</v>
      </c>
      <c r="AB274" s="74">
        <v>0.01</v>
      </c>
      <c r="AC274" s="74">
        <v>0.06</v>
      </c>
    </row>
    <row r="275" spans="2:29" x14ac:dyDescent="0.2">
      <c r="B275" s="66" t="s">
        <v>658</v>
      </c>
      <c r="C275" s="67" t="s">
        <v>254</v>
      </c>
      <c r="D275" s="68">
        <v>8</v>
      </c>
      <c r="F275" s="66" t="s">
        <v>686</v>
      </c>
      <c r="G275" s="67" t="s">
        <v>264</v>
      </c>
      <c r="H275" s="68">
        <v>82</v>
      </c>
      <c r="I275" s="70">
        <v>270</v>
      </c>
      <c r="J275" s="70">
        <v>-19</v>
      </c>
      <c r="K275" s="70">
        <v>-21</v>
      </c>
      <c r="L275" s="70">
        <v>30</v>
      </c>
      <c r="M275" s="70">
        <v>22</v>
      </c>
      <c r="N275" s="70">
        <v>4600</v>
      </c>
      <c r="O275" s="70">
        <v>28</v>
      </c>
      <c r="P275" s="71">
        <v>108</v>
      </c>
      <c r="Q275" s="71">
        <v>790</v>
      </c>
      <c r="R275" s="72">
        <v>0.92</v>
      </c>
      <c r="S275" s="71">
        <v>1050</v>
      </c>
      <c r="T275" s="71">
        <v>140</v>
      </c>
      <c r="U275" s="73">
        <v>2.6</v>
      </c>
      <c r="V275" s="73">
        <v>0.4</v>
      </c>
      <c r="W275" s="72">
        <v>0.34</v>
      </c>
      <c r="X275" s="72">
        <v>0.48</v>
      </c>
      <c r="Y275" s="72">
        <v>0.13</v>
      </c>
      <c r="Z275" s="74">
        <v>7.6999999999999999E-2</v>
      </c>
      <c r="AA275" s="74">
        <v>4.1000000000000002E-2</v>
      </c>
      <c r="AB275" s="74">
        <v>1.0999999999999999E-2</v>
      </c>
      <c r="AC275" s="74">
        <v>6.5000000000000002E-2</v>
      </c>
    </row>
    <row r="276" spans="2:29" x14ac:dyDescent="0.2">
      <c r="B276" s="66" t="s">
        <v>687</v>
      </c>
      <c r="C276" s="67" t="s">
        <v>254</v>
      </c>
      <c r="D276" s="68">
        <v>9</v>
      </c>
      <c r="F276" s="66" t="s">
        <v>688</v>
      </c>
      <c r="G276" s="67" t="s">
        <v>258</v>
      </c>
      <c r="H276" s="68">
        <v>11</v>
      </c>
      <c r="I276" s="70">
        <v>15</v>
      </c>
      <c r="J276" s="70">
        <v>-31</v>
      </c>
      <c r="K276" s="70">
        <v>-33</v>
      </c>
      <c r="L276" s="70">
        <v>27</v>
      </c>
      <c r="M276" s="70">
        <v>19</v>
      </c>
      <c r="N276" s="70">
        <v>6700</v>
      </c>
      <c r="O276" s="70">
        <v>20</v>
      </c>
      <c r="P276" s="71">
        <v>80</v>
      </c>
      <c r="Q276" s="71">
        <v>575</v>
      </c>
      <c r="R276" s="72">
        <v>0.83</v>
      </c>
      <c r="S276" s="71">
        <v>960</v>
      </c>
      <c r="T276" s="71">
        <v>160</v>
      </c>
      <c r="U276" s="73">
        <v>5.3</v>
      </c>
      <c r="V276" s="73">
        <v>0.4</v>
      </c>
      <c r="W276" s="72">
        <v>0.28999999999999998</v>
      </c>
      <c r="X276" s="72">
        <v>0.37</v>
      </c>
      <c r="Y276" s="72">
        <v>0.15</v>
      </c>
      <c r="Z276" s="74">
        <v>9.1999999999999998E-2</v>
      </c>
      <c r="AA276" s="74">
        <v>4.7E-2</v>
      </c>
      <c r="AB276" s="74">
        <v>1.4E-2</v>
      </c>
      <c r="AC276" s="74">
        <v>9.0999999999999998E-2</v>
      </c>
    </row>
    <row r="277" spans="2:29" x14ac:dyDescent="0.2">
      <c r="B277" s="66" t="s">
        <v>689</v>
      </c>
      <c r="C277" s="67" t="s">
        <v>254</v>
      </c>
      <c r="D277" s="68">
        <v>10</v>
      </c>
      <c r="F277" s="66" t="s">
        <v>369</v>
      </c>
      <c r="G277" s="67" t="s">
        <v>247</v>
      </c>
      <c r="H277" s="68">
        <v>62</v>
      </c>
      <c r="I277" s="76">
        <v>615</v>
      </c>
      <c r="J277" s="70">
        <v>-33</v>
      </c>
      <c r="K277" s="70">
        <v>-35</v>
      </c>
      <c r="L277" s="70">
        <v>30</v>
      </c>
      <c r="M277" s="70">
        <v>19</v>
      </c>
      <c r="N277" s="76">
        <v>5900</v>
      </c>
      <c r="O277" s="76">
        <v>20</v>
      </c>
      <c r="P277" s="77">
        <v>76</v>
      </c>
      <c r="Q277" s="77">
        <v>325</v>
      </c>
      <c r="R277" s="72">
        <v>0.48</v>
      </c>
      <c r="S277" s="77">
        <v>425</v>
      </c>
      <c r="T277" s="77">
        <v>140</v>
      </c>
      <c r="U277" s="73">
        <v>1.7</v>
      </c>
      <c r="V277" s="73">
        <v>0.1</v>
      </c>
      <c r="W277" s="72">
        <v>0.24</v>
      </c>
      <c r="X277" s="72">
        <v>0.36</v>
      </c>
      <c r="Y277" s="72">
        <v>0.12</v>
      </c>
      <c r="Z277" s="74">
        <v>5.6000000000000001E-2</v>
      </c>
      <c r="AA277" s="74">
        <v>2.3E-2</v>
      </c>
      <c r="AB277" s="74">
        <v>6.0000000000000001E-3</v>
      </c>
      <c r="AC277" s="74">
        <v>5.8999999999999997E-2</v>
      </c>
    </row>
    <row r="278" spans="2:29" x14ac:dyDescent="0.2">
      <c r="B278" s="66" t="s">
        <v>690</v>
      </c>
      <c r="C278" s="67" t="s">
        <v>254</v>
      </c>
      <c r="D278" s="68">
        <v>11</v>
      </c>
      <c r="F278" s="66" t="s">
        <v>691</v>
      </c>
      <c r="G278" s="67" t="s">
        <v>257</v>
      </c>
      <c r="H278" s="68">
        <v>34</v>
      </c>
      <c r="I278" s="70">
        <v>30</v>
      </c>
      <c r="J278" s="70">
        <v>-25</v>
      </c>
      <c r="K278" s="70">
        <v>-27</v>
      </c>
      <c r="L278" s="70">
        <v>17</v>
      </c>
      <c r="M278" s="70">
        <v>16</v>
      </c>
      <c r="N278" s="70">
        <v>6000</v>
      </c>
      <c r="O278" s="70">
        <v>15</v>
      </c>
      <c r="P278" s="71">
        <v>102</v>
      </c>
      <c r="Q278" s="71">
        <v>900</v>
      </c>
      <c r="R278" s="72">
        <v>1.18</v>
      </c>
      <c r="S278" s="71">
        <v>1150</v>
      </c>
      <c r="T278" s="71">
        <v>300</v>
      </c>
      <c r="U278" s="73">
        <v>4.9000000000000004</v>
      </c>
      <c r="V278" s="73">
        <v>0.6</v>
      </c>
      <c r="W278" s="72">
        <v>0.7</v>
      </c>
      <c r="X278" s="72">
        <v>0.92</v>
      </c>
      <c r="Y278" s="72">
        <v>0.12</v>
      </c>
      <c r="Z278" s="74">
        <v>8.2000000000000003E-2</v>
      </c>
      <c r="AA278" s="74">
        <v>4.2999999999999997E-2</v>
      </c>
      <c r="AB278" s="74">
        <v>1.2999999999999999E-2</v>
      </c>
      <c r="AC278" s="74">
        <v>7.0999999999999994E-2</v>
      </c>
    </row>
    <row r="279" spans="2:29" x14ac:dyDescent="0.2">
      <c r="B279" s="66" t="s">
        <v>692</v>
      </c>
      <c r="C279" s="67" t="s">
        <v>254</v>
      </c>
      <c r="D279" s="68">
        <v>12</v>
      </c>
      <c r="F279" s="66" t="s">
        <v>693</v>
      </c>
      <c r="G279" s="67" t="s">
        <v>264</v>
      </c>
      <c r="H279" s="68">
        <v>83</v>
      </c>
      <c r="I279" s="70">
        <v>200</v>
      </c>
      <c r="J279" s="70">
        <v>-23</v>
      </c>
      <c r="K279" s="70">
        <v>-26</v>
      </c>
      <c r="L279" s="70">
        <v>30</v>
      </c>
      <c r="M279" s="70">
        <v>23</v>
      </c>
      <c r="N279" s="70">
        <v>4450</v>
      </c>
      <c r="O279" s="70">
        <v>28</v>
      </c>
      <c r="P279" s="71">
        <v>92</v>
      </c>
      <c r="Q279" s="71">
        <v>730</v>
      </c>
      <c r="R279" s="72">
        <v>0.85</v>
      </c>
      <c r="S279" s="71">
        <v>840</v>
      </c>
      <c r="T279" s="71">
        <v>140</v>
      </c>
      <c r="U279" s="73">
        <v>2</v>
      </c>
      <c r="V279" s="73">
        <v>0.4</v>
      </c>
      <c r="W279" s="72">
        <v>0.28999999999999998</v>
      </c>
      <c r="X279" s="72">
        <v>0.41</v>
      </c>
      <c r="Y279" s="72">
        <v>0.23</v>
      </c>
      <c r="Z279" s="74">
        <v>0.13</v>
      </c>
      <c r="AA279" s="74">
        <v>6.5000000000000002E-2</v>
      </c>
      <c r="AB279" s="74">
        <v>1.7999999999999999E-2</v>
      </c>
      <c r="AC279" s="74">
        <v>0.11</v>
      </c>
    </row>
    <row r="280" spans="2:29" x14ac:dyDescent="0.2">
      <c r="B280" s="66" t="s">
        <v>694</v>
      </c>
      <c r="C280" s="67" t="s">
        <v>254</v>
      </c>
      <c r="D280" s="68">
        <v>13</v>
      </c>
      <c r="F280" s="66" t="s">
        <v>695</v>
      </c>
      <c r="G280" s="67" t="s">
        <v>257</v>
      </c>
      <c r="H280" s="68">
        <v>35</v>
      </c>
      <c r="I280" s="70">
        <v>5</v>
      </c>
      <c r="J280" s="70">
        <v>-27</v>
      </c>
      <c r="K280" s="70">
        <v>-29</v>
      </c>
      <c r="L280" s="70">
        <v>22</v>
      </c>
      <c r="M280" s="70">
        <v>18</v>
      </c>
      <c r="N280" s="70">
        <v>6100</v>
      </c>
      <c r="O280" s="70">
        <v>15</v>
      </c>
      <c r="P280" s="71">
        <v>96</v>
      </c>
      <c r="Q280" s="71">
        <v>780</v>
      </c>
      <c r="R280" s="72">
        <v>1.05</v>
      </c>
      <c r="S280" s="71">
        <v>1125</v>
      </c>
      <c r="T280" s="71">
        <v>300</v>
      </c>
      <c r="U280" s="73">
        <v>4.0999999999999996</v>
      </c>
      <c r="V280" s="73">
        <v>0.6</v>
      </c>
      <c r="W280" s="72">
        <v>0.59</v>
      </c>
      <c r="X280" s="72">
        <v>0.78</v>
      </c>
      <c r="Y280" s="72">
        <v>0.33</v>
      </c>
      <c r="Z280" s="74">
        <v>0.17</v>
      </c>
      <c r="AA280" s="74">
        <v>7.0000000000000007E-2</v>
      </c>
      <c r="AB280" s="74">
        <v>2.3E-2</v>
      </c>
      <c r="AC280" s="74">
        <v>0.22</v>
      </c>
    </row>
    <row r="281" spans="2:29" x14ac:dyDescent="0.2">
      <c r="B281" s="66" t="s">
        <v>696</v>
      </c>
      <c r="C281" s="67" t="s">
        <v>254</v>
      </c>
      <c r="D281" s="68">
        <v>14</v>
      </c>
      <c r="F281" s="66" t="s">
        <v>697</v>
      </c>
      <c r="G281" s="67" t="s">
        <v>264</v>
      </c>
      <c r="H281" s="68">
        <v>84</v>
      </c>
      <c r="I281" s="70">
        <v>50</v>
      </c>
      <c r="J281" s="70">
        <v>-25</v>
      </c>
      <c r="K281" s="70">
        <v>-27</v>
      </c>
      <c r="L281" s="70">
        <v>30</v>
      </c>
      <c r="M281" s="70">
        <v>23</v>
      </c>
      <c r="N281" s="70">
        <v>4750</v>
      </c>
      <c r="O281" s="70">
        <v>23</v>
      </c>
      <c r="P281" s="71">
        <v>103</v>
      </c>
      <c r="Q281" s="71">
        <v>800</v>
      </c>
      <c r="R281" s="72">
        <v>0.91</v>
      </c>
      <c r="S281" s="71">
        <v>925</v>
      </c>
      <c r="T281" s="71">
        <v>160</v>
      </c>
      <c r="U281" s="73">
        <v>2.2999999999999998</v>
      </c>
      <c r="V281" s="73">
        <v>0.4</v>
      </c>
      <c r="W281" s="72">
        <v>0.31</v>
      </c>
      <c r="X281" s="72">
        <v>0.41</v>
      </c>
      <c r="Y281" s="72">
        <v>0.65</v>
      </c>
      <c r="Z281" s="74">
        <v>0.32</v>
      </c>
      <c r="AA281" s="74">
        <v>0.14000000000000001</v>
      </c>
      <c r="AB281" s="74">
        <v>4.2000000000000003E-2</v>
      </c>
      <c r="AC281" s="74">
        <v>0.39</v>
      </c>
    </row>
    <row r="282" spans="2:29" x14ac:dyDescent="0.2">
      <c r="B282" s="66" t="s">
        <v>698</v>
      </c>
      <c r="C282" s="67" t="s">
        <v>254</v>
      </c>
      <c r="D282" s="68">
        <v>15</v>
      </c>
      <c r="F282" s="66" t="s">
        <v>699</v>
      </c>
      <c r="G282" s="67" t="s">
        <v>265</v>
      </c>
      <c r="H282" s="68">
        <v>8</v>
      </c>
      <c r="I282" s="70">
        <v>45</v>
      </c>
      <c r="J282" s="70">
        <v>-41</v>
      </c>
      <c r="K282" s="70">
        <v>-43</v>
      </c>
      <c r="L282" s="70">
        <v>26</v>
      </c>
      <c r="M282" s="70">
        <v>18</v>
      </c>
      <c r="N282" s="70">
        <v>11100</v>
      </c>
      <c r="O282" s="70">
        <v>8</v>
      </c>
      <c r="P282" s="71">
        <v>44</v>
      </c>
      <c r="Q282" s="71">
        <v>200</v>
      </c>
      <c r="R282" s="72">
        <v>0.62</v>
      </c>
      <c r="S282" s="71">
        <v>150</v>
      </c>
      <c r="T282" s="71">
        <v>140</v>
      </c>
      <c r="U282" s="73">
        <v>2.4</v>
      </c>
      <c r="V282" s="73">
        <v>0.1</v>
      </c>
      <c r="W282" s="72">
        <v>0.26</v>
      </c>
      <c r="X282" s="72">
        <v>0.35</v>
      </c>
      <c r="Y282" s="72">
        <v>0.12</v>
      </c>
      <c r="Z282" s="74">
        <v>5.6000000000000001E-2</v>
      </c>
      <c r="AA282" s="74">
        <v>2.3E-2</v>
      </c>
      <c r="AB282" s="74">
        <v>7.0000000000000001E-3</v>
      </c>
      <c r="AC282" s="74">
        <v>5.8999999999999997E-2</v>
      </c>
    </row>
    <row r="283" spans="2:29" x14ac:dyDescent="0.2">
      <c r="B283" s="66" t="s">
        <v>301</v>
      </c>
      <c r="C283" s="67" t="s">
        <v>258</v>
      </c>
      <c r="D283" s="68">
        <v>1</v>
      </c>
      <c r="F283" s="66" t="s">
        <v>700</v>
      </c>
      <c r="G283" s="67" t="s">
        <v>264</v>
      </c>
      <c r="H283" s="68">
        <v>85</v>
      </c>
      <c r="I283" s="70">
        <v>245</v>
      </c>
      <c r="J283" s="70">
        <v>-34</v>
      </c>
      <c r="K283" s="70">
        <v>-36</v>
      </c>
      <c r="L283" s="70">
        <v>28</v>
      </c>
      <c r="M283" s="70">
        <v>21</v>
      </c>
      <c r="N283" s="70">
        <v>6500</v>
      </c>
      <c r="O283" s="70">
        <v>20</v>
      </c>
      <c r="P283" s="71">
        <v>81</v>
      </c>
      <c r="Q283" s="71">
        <v>520</v>
      </c>
      <c r="R283" s="72">
        <v>0.74</v>
      </c>
      <c r="S283" s="71">
        <v>825</v>
      </c>
      <c r="T283" s="71">
        <v>80</v>
      </c>
      <c r="U283" s="73">
        <v>2.8</v>
      </c>
      <c r="V283" s="73">
        <v>0.3</v>
      </c>
      <c r="W283" s="72">
        <v>0.2</v>
      </c>
      <c r="X283" s="72">
        <v>0.28000000000000003</v>
      </c>
      <c r="Y283" s="72">
        <v>0.12</v>
      </c>
      <c r="Z283" s="74">
        <v>5.6000000000000001E-2</v>
      </c>
      <c r="AA283" s="74">
        <v>2.7E-2</v>
      </c>
      <c r="AB283" s="74">
        <v>8.0000000000000002E-3</v>
      </c>
      <c r="AC283" s="74">
        <v>5.8999999999999997E-2</v>
      </c>
    </row>
    <row r="284" spans="2:29" x14ac:dyDescent="0.2">
      <c r="B284" s="66" t="s">
        <v>370</v>
      </c>
      <c r="C284" s="67" t="s">
        <v>258</v>
      </c>
      <c r="D284" s="68">
        <v>2</v>
      </c>
      <c r="F284" s="66" t="s">
        <v>701</v>
      </c>
      <c r="G284" s="67" t="s">
        <v>257</v>
      </c>
      <c r="H284" s="68">
        <v>36</v>
      </c>
      <c r="I284" s="70">
        <v>75</v>
      </c>
      <c r="J284" s="70">
        <v>-23</v>
      </c>
      <c r="K284" s="70">
        <v>-25</v>
      </c>
      <c r="L284" s="70">
        <v>29</v>
      </c>
      <c r="M284" s="70">
        <v>23</v>
      </c>
      <c r="N284" s="70">
        <v>4550</v>
      </c>
      <c r="O284" s="70">
        <v>25</v>
      </c>
      <c r="P284" s="71">
        <v>86</v>
      </c>
      <c r="Q284" s="71">
        <v>770</v>
      </c>
      <c r="R284" s="72">
        <v>0.89</v>
      </c>
      <c r="S284" s="71">
        <v>1025</v>
      </c>
      <c r="T284" s="71">
        <v>160</v>
      </c>
      <c r="U284" s="73">
        <v>2.4</v>
      </c>
      <c r="V284" s="73">
        <v>0.4</v>
      </c>
      <c r="W284" s="72">
        <v>0.3</v>
      </c>
      <c r="X284" s="72">
        <v>0.4</v>
      </c>
      <c r="Y284" s="72">
        <v>0.68</v>
      </c>
      <c r="Z284" s="74">
        <v>0.34</v>
      </c>
      <c r="AA284" s="74">
        <v>0.14000000000000001</v>
      </c>
      <c r="AB284" s="74">
        <v>4.7E-2</v>
      </c>
      <c r="AC284" s="74">
        <v>0.43</v>
      </c>
    </row>
    <row r="285" spans="2:29" x14ac:dyDescent="0.2">
      <c r="B285" s="66" t="s">
        <v>399</v>
      </c>
      <c r="C285" s="67" t="s">
        <v>258</v>
      </c>
      <c r="D285" s="68">
        <v>3</v>
      </c>
      <c r="F285" s="66" t="s">
        <v>371</v>
      </c>
      <c r="G285" s="67" t="s">
        <v>247</v>
      </c>
      <c r="H285" s="68">
        <v>63</v>
      </c>
      <c r="I285" s="76">
        <v>320</v>
      </c>
      <c r="J285" s="70">
        <v>-46</v>
      </c>
      <c r="K285" s="70">
        <v>-47</v>
      </c>
      <c r="L285" s="70">
        <v>26</v>
      </c>
      <c r="M285" s="70">
        <v>18</v>
      </c>
      <c r="N285" s="76">
        <v>7200</v>
      </c>
      <c r="O285" s="76">
        <v>11</v>
      </c>
      <c r="P285" s="77">
        <v>75</v>
      </c>
      <c r="Q285" s="77">
        <v>275</v>
      </c>
      <c r="R285" s="72">
        <v>0.55000000000000004</v>
      </c>
      <c r="S285" s="77">
        <v>420</v>
      </c>
      <c r="T285" s="77">
        <v>60</v>
      </c>
      <c r="U285" s="73">
        <v>2.4</v>
      </c>
      <c r="V285" s="73">
        <v>0.1</v>
      </c>
      <c r="W285" s="72">
        <v>0.22</v>
      </c>
      <c r="X285" s="72">
        <v>0.28999999999999998</v>
      </c>
      <c r="Y285" s="72">
        <v>0.12</v>
      </c>
      <c r="Z285" s="74">
        <v>0.06</v>
      </c>
      <c r="AA285" s="74">
        <v>0.02</v>
      </c>
      <c r="AB285" s="74">
        <v>0.01</v>
      </c>
      <c r="AC285" s="74">
        <v>0.06</v>
      </c>
    </row>
    <row r="286" spans="2:29" x14ac:dyDescent="0.2">
      <c r="B286" s="66" t="s">
        <v>434</v>
      </c>
      <c r="C286" s="67" t="s">
        <v>258</v>
      </c>
      <c r="D286" s="68">
        <v>4</v>
      </c>
      <c r="F286" s="66" t="s">
        <v>372</v>
      </c>
      <c r="G286" s="67" t="s">
        <v>247</v>
      </c>
      <c r="H286" s="68">
        <v>64</v>
      </c>
      <c r="I286" s="76">
        <v>595</v>
      </c>
      <c r="J286" s="70">
        <v>-38</v>
      </c>
      <c r="K286" s="70">
        <v>-40</v>
      </c>
      <c r="L286" s="70">
        <v>25</v>
      </c>
      <c r="M286" s="70">
        <v>19</v>
      </c>
      <c r="N286" s="76">
        <v>6000</v>
      </c>
      <c r="O286" s="76">
        <v>15</v>
      </c>
      <c r="P286" s="77">
        <v>75</v>
      </c>
      <c r="Q286" s="77">
        <v>375</v>
      </c>
      <c r="R286" s="72">
        <v>0.56999999999999995</v>
      </c>
      <c r="S286" s="77">
        <v>470</v>
      </c>
      <c r="T286" s="77">
        <v>80</v>
      </c>
      <c r="U286" s="73">
        <v>2.2999999999999998</v>
      </c>
      <c r="V286" s="73">
        <v>0.1</v>
      </c>
      <c r="W286" s="72">
        <v>0.28000000000000003</v>
      </c>
      <c r="X286" s="72">
        <v>0.37</v>
      </c>
      <c r="Y286" s="72">
        <v>0.12</v>
      </c>
      <c r="Z286" s="74">
        <v>0.06</v>
      </c>
      <c r="AA286" s="74">
        <v>0.02</v>
      </c>
      <c r="AB286" s="74">
        <v>0.01</v>
      </c>
      <c r="AC286" s="74">
        <v>0.06</v>
      </c>
    </row>
    <row r="287" spans="2:29" x14ac:dyDescent="0.2">
      <c r="B287" s="66" t="s">
        <v>436</v>
      </c>
      <c r="C287" s="67" t="s">
        <v>258</v>
      </c>
      <c r="D287" s="68">
        <v>5</v>
      </c>
      <c r="F287" s="66" t="s">
        <v>373</v>
      </c>
      <c r="G287" s="67" t="s">
        <v>247</v>
      </c>
      <c r="H287" s="68">
        <v>65</v>
      </c>
      <c r="I287" s="76">
        <v>1040</v>
      </c>
      <c r="J287" s="70">
        <v>-31</v>
      </c>
      <c r="K287" s="70">
        <v>-33</v>
      </c>
      <c r="L287" s="70">
        <v>28</v>
      </c>
      <c r="M287" s="70">
        <v>17</v>
      </c>
      <c r="N287" s="76">
        <v>5300</v>
      </c>
      <c r="O287" s="76">
        <v>18</v>
      </c>
      <c r="P287" s="77">
        <v>103</v>
      </c>
      <c r="Q287" s="77">
        <v>300</v>
      </c>
      <c r="R287" s="72">
        <v>0.36</v>
      </c>
      <c r="S287" s="77">
        <v>425</v>
      </c>
      <c r="T287" s="77">
        <v>200</v>
      </c>
      <c r="U287" s="73">
        <v>1.3</v>
      </c>
      <c r="V287" s="73">
        <v>0.1</v>
      </c>
      <c r="W287" s="72">
        <v>0.51</v>
      </c>
      <c r="X287" s="72">
        <v>0.65</v>
      </c>
      <c r="Y287" s="72">
        <v>0.15</v>
      </c>
      <c r="Z287" s="74">
        <v>8.6999999999999994E-2</v>
      </c>
      <c r="AA287" s="74">
        <v>4.2999999999999997E-2</v>
      </c>
      <c r="AB287" s="74">
        <v>2.4E-2</v>
      </c>
      <c r="AC287" s="74">
        <v>0.09</v>
      </c>
    </row>
    <row r="288" spans="2:29" x14ac:dyDescent="0.2">
      <c r="B288" s="66" t="s">
        <v>455</v>
      </c>
      <c r="C288" s="67" t="s">
        <v>258</v>
      </c>
      <c r="D288" s="68">
        <v>6</v>
      </c>
      <c r="F288" s="66" t="s">
        <v>374</v>
      </c>
      <c r="G288" s="67" t="s">
        <v>247</v>
      </c>
      <c r="H288" s="68">
        <v>66</v>
      </c>
      <c r="I288" s="76">
        <v>990</v>
      </c>
      <c r="J288" s="70">
        <v>-34</v>
      </c>
      <c r="K288" s="70">
        <v>-38</v>
      </c>
      <c r="L288" s="70">
        <v>27</v>
      </c>
      <c r="M288" s="70">
        <v>17</v>
      </c>
      <c r="N288" s="76">
        <v>5700</v>
      </c>
      <c r="O288" s="76">
        <v>13</v>
      </c>
      <c r="P288" s="77">
        <v>81</v>
      </c>
      <c r="Q288" s="77">
        <v>375</v>
      </c>
      <c r="R288" s="72">
        <v>0.55000000000000004</v>
      </c>
      <c r="S288" s="77">
        <v>500</v>
      </c>
      <c r="T288" s="77">
        <v>100</v>
      </c>
      <c r="U288" s="73">
        <v>2.9</v>
      </c>
      <c r="V288" s="73">
        <v>0.1</v>
      </c>
      <c r="W288" s="72">
        <v>0.36</v>
      </c>
      <c r="X288" s="72">
        <v>0.46</v>
      </c>
      <c r="Y288" s="72">
        <v>0.24</v>
      </c>
      <c r="Z288" s="74">
        <v>0.14000000000000001</v>
      </c>
      <c r="AA288" s="74">
        <v>6.4000000000000001E-2</v>
      </c>
      <c r="AB288" s="74">
        <v>3.5999999999999997E-2</v>
      </c>
      <c r="AC288" s="74">
        <v>0.12</v>
      </c>
    </row>
    <row r="289" spans="2:29" x14ac:dyDescent="0.2">
      <c r="B289" s="66" t="s">
        <v>510</v>
      </c>
      <c r="C289" s="67" t="s">
        <v>258</v>
      </c>
      <c r="D289" s="68">
        <v>7</v>
      </c>
      <c r="F289" s="66" t="s">
        <v>702</v>
      </c>
      <c r="G289" s="67" t="s">
        <v>265</v>
      </c>
      <c r="H289" s="68">
        <v>9</v>
      </c>
      <c r="I289" s="70">
        <v>10</v>
      </c>
      <c r="J289" s="70">
        <v>-43</v>
      </c>
      <c r="K289" s="70">
        <v>-45</v>
      </c>
      <c r="L289" s="70">
        <v>18</v>
      </c>
      <c r="M289" s="70">
        <v>12</v>
      </c>
      <c r="N289" s="70">
        <v>10050</v>
      </c>
      <c r="O289" s="70">
        <v>3</v>
      </c>
      <c r="P289" s="71">
        <v>44</v>
      </c>
      <c r="Q289" s="71">
        <v>80</v>
      </c>
      <c r="R289" s="72">
        <v>0.93</v>
      </c>
      <c r="S289" s="71">
        <v>250</v>
      </c>
      <c r="T289" s="71">
        <v>120</v>
      </c>
      <c r="U289" s="73">
        <v>2.1</v>
      </c>
      <c r="V289" s="73">
        <v>0.1</v>
      </c>
      <c r="W289" s="72">
        <v>0.63</v>
      </c>
      <c r="X289" s="72">
        <v>0.85</v>
      </c>
      <c r="Y289" s="72">
        <v>0.12</v>
      </c>
      <c r="Z289" s="74">
        <v>5.6000000000000001E-2</v>
      </c>
      <c r="AA289" s="74">
        <v>2.3E-2</v>
      </c>
      <c r="AB289" s="74">
        <v>6.0000000000000001E-3</v>
      </c>
      <c r="AC289" s="74">
        <v>5.8999999999999997E-2</v>
      </c>
    </row>
    <row r="290" spans="2:29" x14ac:dyDescent="0.2">
      <c r="B290" s="66" t="s">
        <v>636</v>
      </c>
      <c r="C290" s="67" t="s">
        <v>258</v>
      </c>
      <c r="D290" s="68">
        <v>8</v>
      </c>
      <c r="F290" s="66" t="s">
        <v>703</v>
      </c>
      <c r="G290" s="67" t="s">
        <v>264</v>
      </c>
      <c r="H290" s="68">
        <v>86</v>
      </c>
      <c r="I290" s="70">
        <v>180</v>
      </c>
      <c r="J290" s="70">
        <v>-24</v>
      </c>
      <c r="K290" s="70">
        <v>-26</v>
      </c>
      <c r="L290" s="70">
        <v>29</v>
      </c>
      <c r="M290" s="70">
        <v>22</v>
      </c>
      <c r="N290" s="70">
        <v>4300</v>
      </c>
      <c r="O290" s="70">
        <v>23</v>
      </c>
      <c r="P290" s="71">
        <v>97</v>
      </c>
      <c r="Q290" s="71">
        <v>710</v>
      </c>
      <c r="R290" s="72">
        <v>0.87</v>
      </c>
      <c r="S290" s="71">
        <v>1050</v>
      </c>
      <c r="T290" s="71">
        <v>160</v>
      </c>
      <c r="U290" s="73">
        <v>2.7</v>
      </c>
      <c r="V290" s="73">
        <v>0.4</v>
      </c>
      <c r="W290" s="72">
        <v>0.25</v>
      </c>
      <c r="X290" s="72">
        <v>0.39</v>
      </c>
      <c r="Y290" s="72">
        <v>0.15</v>
      </c>
      <c r="Z290" s="74">
        <v>9.5000000000000001E-2</v>
      </c>
      <c r="AA290" s="74">
        <v>4.8000000000000001E-2</v>
      </c>
      <c r="AB290" s="74">
        <v>1.4E-2</v>
      </c>
      <c r="AC290" s="74">
        <v>6.8000000000000005E-2</v>
      </c>
    </row>
    <row r="291" spans="2:29" x14ac:dyDescent="0.2">
      <c r="B291" s="66" t="s">
        <v>655</v>
      </c>
      <c r="C291" s="67" t="s">
        <v>258</v>
      </c>
      <c r="D291" s="68">
        <v>9</v>
      </c>
      <c r="F291" s="66" t="s">
        <v>554</v>
      </c>
      <c r="G291" s="67" t="s">
        <v>224</v>
      </c>
      <c r="H291" s="68">
        <v>33</v>
      </c>
      <c r="I291" s="70">
        <v>40</v>
      </c>
      <c r="J291" s="70">
        <v>-16</v>
      </c>
      <c r="K291" s="70">
        <v>-18</v>
      </c>
      <c r="L291" s="70">
        <v>32</v>
      </c>
      <c r="M291" s="70">
        <v>20</v>
      </c>
      <c r="N291" s="70">
        <v>3100</v>
      </c>
      <c r="O291" s="70">
        <v>8</v>
      </c>
      <c r="P291" s="71">
        <v>139</v>
      </c>
      <c r="Q291" s="71">
        <v>1825</v>
      </c>
      <c r="R291" s="72">
        <v>1.88</v>
      </c>
      <c r="S291" s="71">
        <v>1900</v>
      </c>
      <c r="T291" s="71">
        <v>140</v>
      </c>
      <c r="U291" s="73">
        <v>2.8</v>
      </c>
      <c r="V291" s="73">
        <v>0.7</v>
      </c>
      <c r="W291" s="72">
        <v>0.41</v>
      </c>
      <c r="X291" s="72">
        <v>0.63</v>
      </c>
      <c r="Y291" s="72">
        <v>0.63</v>
      </c>
      <c r="Z291" s="74">
        <v>0.47</v>
      </c>
      <c r="AA291" s="74">
        <v>0.28000000000000003</v>
      </c>
      <c r="AB291" s="74">
        <v>0.15</v>
      </c>
      <c r="AC291" s="74">
        <v>0.28999999999999998</v>
      </c>
    </row>
    <row r="292" spans="2:29" x14ac:dyDescent="0.2">
      <c r="B292" s="66" t="s">
        <v>658</v>
      </c>
      <c r="C292" s="67" t="s">
        <v>258</v>
      </c>
      <c r="D292" s="68">
        <v>10</v>
      </c>
      <c r="F292" s="66" t="s">
        <v>704</v>
      </c>
      <c r="G292" s="67" t="s">
        <v>264</v>
      </c>
      <c r="H292" s="68">
        <v>87</v>
      </c>
      <c r="I292" s="70">
        <v>360</v>
      </c>
      <c r="J292" s="70">
        <v>-37</v>
      </c>
      <c r="K292" s="70">
        <v>-40</v>
      </c>
      <c r="L292" s="70">
        <v>28</v>
      </c>
      <c r="M292" s="70">
        <v>21</v>
      </c>
      <c r="N292" s="70">
        <v>6500</v>
      </c>
      <c r="O292" s="70">
        <v>20</v>
      </c>
      <c r="P292" s="71">
        <v>97</v>
      </c>
      <c r="Q292" s="71">
        <v>420</v>
      </c>
      <c r="R292" s="72">
        <v>0.68</v>
      </c>
      <c r="S292" s="71">
        <v>750</v>
      </c>
      <c r="T292" s="71">
        <v>80</v>
      </c>
      <c r="U292" s="73">
        <v>3.6</v>
      </c>
      <c r="V292" s="73">
        <v>0.4</v>
      </c>
      <c r="W292" s="72">
        <v>0.19</v>
      </c>
      <c r="X292" s="72">
        <v>0.28000000000000003</v>
      </c>
      <c r="Y292" s="72">
        <v>0.12</v>
      </c>
      <c r="Z292" s="74">
        <v>5.6000000000000001E-2</v>
      </c>
      <c r="AA292" s="74">
        <v>2.3E-2</v>
      </c>
      <c r="AB292" s="74">
        <v>7.0000000000000001E-3</v>
      </c>
      <c r="AC292" s="74">
        <v>5.8999999999999997E-2</v>
      </c>
    </row>
    <row r="293" spans="2:29" x14ac:dyDescent="0.2">
      <c r="B293" s="66" t="s">
        <v>688</v>
      </c>
      <c r="C293" s="67" t="s">
        <v>258</v>
      </c>
      <c r="D293" s="68">
        <v>11</v>
      </c>
      <c r="F293" s="66" t="s">
        <v>705</v>
      </c>
      <c r="G293" s="67" t="s">
        <v>278</v>
      </c>
      <c r="H293" s="68">
        <v>8</v>
      </c>
      <c r="I293" s="70">
        <v>370</v>
      </c>
      <c r="J293" s="70">
        <v>-37</v>
      </c>
      <c r="K293" s="70">
        <v>-39</v>
      </c>
      <c r="L293" s="70">
        <v>29</v>
      </c>
      <c r="M293" s="70">
        <v>21</v>
      </c>
      <c r="N293" s="70">
        <v>6500</v>
      </c>
      <c r="O293" s="70">
        <v>18</v>
      </c>
      <c r="P293" s="71">
        <v>76</v>
      </c>
      <c r="Q293" s="71">
        <v>340</v>
      </c>
      <c r="R293" s="72">
        <v>0.59</v>
      </c>
      <c r="S293" s="71">
        <v>450</v>
      </c>
      <c r="T293" s="71">
        <v>80</v>
      </c>
      <c r="U293" s="73">
        <v>2</v>
      </c>
      <c r="V293" s="73">
        <v>0.1</v>
      </c>
      <c r="W293" s="72">
        <v>0.28000000000000003</v>
      </c>
      <c r="X293" s="72">
        <v>0.37</v>
      </c>
      <c r="Y293" s="72">
        <v>0.12</v>
      </c>
      <c r="Z293" s="74">
        <v>5.6000000000000001E-2</v>
      </c>
      <c r="AA293" s="74">
        <v>2.3E-2</v>
      </c>
      <c r="AB293" s="74">
        <v>6.0000000000000001E-3</v>
      </c>
      <c r="AC293" s="74">
        <v>5.8999999999999997E-2</v>
      </c>
    </row>
    <row r="294" spans="2:29" x14ac:dyDescent="0.2">
      <c r="B294" s="66" t="s">
        <v>706</v>
      </c>
      <c r="C294" s="67" t="s">
        <v>258</v>
      </c>
      <c r="D294" s="68">
        <v>12</v>
      </c>
      <c r="F294" s="66" t="s">
        <v>707</v>
      </c>
      <c r="G294" s="67" t="s">
        <v>257</v>
      </c>
      <c r="H294" s="68">
        <v>37</v>
      </c>
      <c r="I294" s="70">
        <v>65</v>
      </c>
      <c r="J294" s="70">
        <v>-25</v>
      </c>
      <c r="K294" s="70">
        <v>-28</v>
      </c>
      <c r="L294" s="70">
        <v>30</v>
      </c>
      <c r="M294" s="70">
        <v>23</v>
      </c>
      <c r="N294" s="70">
        <v>4600</v>
      </c>
      <c r="O294" s="70">
        <v>23</v>
      </c>
      <c r="P294" s="71">
        <v>96</v>
      </c>
      <c r="Q294" s="71">
        <v>730</v>
      </c>
      <c r="R294" s="72">
        <v>0.84</v>
      </c>
      <c r="S294" s="71">
        <v>900</v>
      </c>
      <c r="T294" s="71">
        <v>160</v>
      </c>
      <c r="U294" s="73">
        <v>2.4</v>
      </c>
      <c r="V294" s="73">
        <v>0.4</v>
      </c>
      <c r="W294" s="72">
        <v>0.3</v>
      </c>
      <c r="X294" s="72">
        <v>0.41</v>
      </c>
      <c r="Y294" s="72">
        <v>0.68</v>
      </c>
      <c r="Z294" s="74">
        <v>0.33</v>
      </c>
      <c r="AA294" s="74">
        <v>0.14000000000000001</v>
      </c>
      <c r="AB294" s="74">
        <v>4.4999999999999998E-2</v>
      </c>
      <c r="AC294" s="74">
        <v>0.42</v>
      </c>
    </row>
    <row r="295" spans="2:29" x14ac:dyDescent="0.2">
      <c r="B295" s="66" t="s">
        <v>708</v>
      </c>
      <c r="C295" s="67" t="s">
        <v>258</v>
      </c>
      <c r="D295" s="68">
        <v>13</v>
      </c>
      <c r="F295" s="66" t="s">
        <v>709</v>
      </c>
      <c r="G295" s="67" t="s">
        <v>278</v>
      </c>
      <c r="H295" s="68">
        <v>9</v>
      </c>
      <c r="I295" s="70">
        <v>565</v>
      </c>
      <c r="J295" s="70">
        <v>-36</v>
      </c>
      <c r="K295" s="70">
        <v>-39</v>
      </c>
      <c r="L295" s="70">
        <v>28</v>
      </c>
      <c r="M295" s="70">
        <v>21</v>
      </c>
      <c r="N295" s="70">
        <v>6300</v>
      </c>
      <c r="O295" s="70">
        <v>20</v>
      </c>
      <c r="P295" s="71">
        <v>86</v>
      </c>
      <c r="Q295" s="71">
        <v>320</v>
      </c>
      <c r="R295" s="72">
        <v>0.48</v>
      </c>
      <c r="S295" s="71">
        <v>375</v>
      </c>
      <c r="T295" s="71">
        <v>140</v>
      </c>
      <c r="U295" s="73">
        <v>2.1</v>
      </c>
      <c r="V295" s="73">
        <v>0.1</v>
      </c>
      <c r="W295" s="72">
        <v>0.28999999999999998</v>
      </c>
      <c r="X295" s="72">
        <v>0.39</v>
      </c>
      <c r="Y295" s="72">
        <v>0.12</v>
      </c>
      <c r="Z295" s="74">
        <v>5.6000000000000001E-2</v>
      </c>
      <c r="AA295" s="74">
        <v>2.3E-2</v>
      </c>
      <c r="AB295" s="74">
        <v>6.0000000000000001E-3</v>
      </c>
      <c r="AC295" s="74">
        <v>5.8999999999999997E-2</v>
      </c>
    </row>
    <row r="296" spans="2:29" x14ac:dyDescent="0.2">
      <c r="B296" s="66" t="s">
        <v>710</v>
      </c>
      <c r="C296" s="67" t="s">
        <v>258</v>
      </c>
      <c r="D296" s="68">
        <v>14</v>
      </c>
      <c r="F296" s="66" t="s">
        <v>711</v>
      </c>
      <c r="G296" s="67" t="s">
        <v>264</v>
      </c>
      <c r="H296" s="68">
        <v>88</v>
      </c>
      <c r="I296" s="70">
        <v>335</v>
      </c>
      <c r="J296" s="70">
        <v>-26</v>
      </c>
      <c r="K296" s="70">
        <v>-29</v>
      </c>
      <c r="L296" s="70">
        <v>29</v>
      </c>
      <c r="M296" s="70">
        <v>22</v>
      </c>
      <c r="N296" s="70">
        <v>4900</v>
      </c>
      <c r="O296" s="70">
        <v>25</v>
      </c>
      <c r="P296" s="71">
        <v>103</v>
      </c>
      <c r="Q296" s="71">
        <v>800</v>
      </c>
      <c r="R296" s="72">
        <v>0.93</v>
      </c>
      <c r="S296" s="71">
        <v>1000</v>
      </c>
      <c r="T296" s="71">
        <v>120</v>
      </c>
      <c r="U296" s="73">
        <v>2.9</v>
      </c>
      <c r="V296" s="73">
        <v>0.4</v>
      </c>
      <c r="W296" s="72">
        <v>0.26</v>
      </c>
      <c r="X296" s="72">
        <v>0.35</v>
      </c>
      <c r="Y296" s="72">
        <v>0.2</v>
      </c>
      <c r="Z296" s="74">
        <v>0.12</v>
      </c>
      <c r="AA296" s="74">
        <v>5.6000000000000001E-2</v>
      </c>
      <c r="AB296" s="74">
        <v>1.7000000000000001E-2</v>
      </c>
      <c r="AC296" s="74">
        <v>9.4E-2</v>
      </c>
    </row>
    <row r="297" spans="2:29" x14ac:dyDescent="0.2">
      <c r="B297" s="66" t="s">
        <v>712</v>
      </c>
      <c r="C297" s="67" t="s">
        <v>258</v>
      </c>
      <c r="D297" s="68">
        <v>15</v>
      </c>
      <c r="F297" s="66" t="s">
        <v>713</v>
      </c>
      <c r="G297" s="67" t="s">
        <v>257</v>
      </c>
      <c r="H297" s="68">
        <v>38</v>
      </c>
      <c r="I297" s="70">
        <v>35</v>
      </c>
      <c r="J297" s="70">
        <v>-24</v>
      </c>
      <c r="K297" s="70">
        <v>-26</v>
      </c>
      <c r="L297" s="70">
        <v>29</v>
      </c>
      <c r="M297" s="70">
        <v>23</v>
      </c>
      <c r="N297" s="70">
        <v>4450</v>
      </c>
      <c r="O297" s="70">
        <v>23</v>
      </c>
      <c r="P297" s="71">
        <v>86</v>
      </c>
      <c r="Q297" s="71">
        <v>880</v>
      </c>
      <c r="R297" s="72">
        <v>0.99</v>
      </c>
      <c r="S297" s="71">
        <v>1010</v>
      </c>
      <c r="T297" s="71">
        <v>160</v>
      </c>
      <c r="U297" s="73">
        <v>2.2000000000000002</v>
      </c>
      <c r="V297" s="73">
        <v>0.4</v>
      </c>
      <c r="W297" s="72">
        <v>0.31</v>
      </c>
      <c r="X297" s="72">
        <v>0.41</v>
      </c>
      <c r="Y297" s="72">
        <v>0.66</v>
      </c>
      <c r="Z297" s="74">
        <v>0.33</v>
      </c>
      <c r="AA297" s="74">
        <v>0.13</v>
      </c>
      <c r="AB297" s="74">
        <v>4.5999999999999999E-2</v>
      </c>
      <c r="AC297" s="74">
        <v>0.41</v>
      </c>
    </row>
    <row r="298" spans="2:29" x14ac:dyDescent="0.2">
      <c r="B298" s="66" t="s">
        <v>714</v>
      </c>
      <c r="C298" s="67" t="s">
        <v>258</v>
      </c>
      <c r="D298" s="68">
        <v>16</v>
      </c>
      <c r="F298" s="66" t="s">
        <v>715</v>
      </c>
      <c r="G298" s="67" t="s">
        <v>264</v>
      </c>
      <c r="H298" s="68">
        <v>89</v>
      </c>
      <c r="I298" s="70">
        <v>280</v>
      </c>
      <c r="J298" s="70">
        <v>-18</v>
      </c>
      <c r="K298" s="70">
        <v>-20</v>
      </c>
      <c r="L298" s="70">
        <v>30</v>
      </c>
      <c r="M298" s="70">
        <v>23</v>
      </c>
      <c r="N298" s="70">
        <v>4100</v>
      </c>
      <c r="O298" s="70">
        <v>28</v>
      </c>
      <c r="P298" s="71">
        <v>108</v>
      </c>
      <c r="Q298" s="71">
        <v>840</v>
      </c>
      <c r="R298" s="72">
        <v>0.95</v>
      </c>
      <c r="S298" s="71">
        <v>950</v>
      </c>
      <c r="T298" s="71">
        <v>180</v>
      </c>
      <c r="U298" s="73">
        <v>1.7</v>
      </c>
      <c r="V298" s="73">
        <v>0.4</v>
      </c>
      <c r="W298" s="72">
        <v>0.33</v>
      </c>
      <c r="X298" s="72">
        <v>0.48</v>
      </c>
      <c r="Y298" s="72">
        <v>0.19</v>
      </c>
      <c r="Z298" s="74">
        <v>9.8000000000000004E-2</v>
      </c>
      <c r="AA298" s="74">
        <v>4.9000000000000002E-2</v>
      </c>
      <c r="AB298" s="74">
        <v>1.2999999999999999E-2</v>
      </c>
      <c r="AC298" s="74">
        <v>0.12</v>
      </c>
    </row>
    <row r="299" spans="2:29" x14ac:dyDescent="0.2">
      <c r="B299" s="66" t="s">
        <v>716</v>
      </c>
      <c r="C299" s="67" t="s">
        <v>258</v>
      </c>
      <c r="D299" s="68">
        <v>17</v>
      </c>
      <c r="F299" s="66" t="s">
        <v>376</v>
      </c>
      <c r="G299" s="67" t="s">
        <v>247</v>
      </c>
      <c r="H299" s="68">
        <v>67</v>
      </c>
      <c r="I299" s="76">
        <v>945</v>
      </c>
      <c r="J299" s="70">
        <v>-34</v>
      </c>
      <c r="K299" s="70">
        <v>-38</v>
      </c>
      <c r="L299" s="70">
        <v>28</v>
      </c>
      <c r="M299" s="70">
        <v>19</v>
      </c>
      <c r="N299" s="76">
        <v>5700</v>
      </c>
      <c r="O299" s="76">
        <v>18</v>
      </c>
      <c r="P299" s="77">
        <v>95</v>
      </c>
      <c r="Q299" s="77">
        <v>355</v>
      </c>
      <c r="R299" s="72">
        <v>0.52</v>
      </c>
      <c r="S299" s="77">
        <v>480</v>
      </c>
      <c r="T299" s="77">
        <v>190</v>
      </c>
      <c r="U299" s="73">
        <v>1.9</v>
      </c>
      <c r="V299" s="73">
        <v>0.1</v>
      </c>
      <c r="W299" s="72">
        <v>0.31</v>
      </c>
      <c r="X299" s="72">
        <v>0.42</v>
      </c>
      <c r="Y299" s="72">
        <v>0.12</v>
      </c>
      <c r="Z299" s="74">
        <v>0.06</v>
      </c>
      <c r="AA299" s="74">
        <v>0.03</v>
      </c>
      <c r="AB299" s="74">
        <v>0.02</v>
      </c>
      <c r="AC299" s="74">
        <v>7.0000000000000007E-2</v>
      </c>
    </row>
    <row r="300" spans="2:29" x14ac:dyDescent="0.2">
      <c r="B300" s="66" t="s">
        <v>717</v>
      </c>
      <c r="C300" s="67" t="s">
        <v>258</v>
      </c>
      <c r="D300" s="68">
        <v>18</v>
      </c>
      <c r="F300" s="66" t="s">
        <v>718</v>
      </c>
      <c r="G300" s="67" t="s">
        <v>257</v>
      </c>
      <c r="H300" s="68">
        <v>39</v>
      </c>
      <c r="I300" s="70">
        <v>5</v>
      </c>
      <c r="J300" s="70">
        <v>-38</v>
      </c>
      <c r="K300" s="70">
        <v>-40</v>
      </c>
      <c r="L300" s="70">
        <v>17</v>
      </c>
      <c r="M300" s="70">
        <v>16</v>
      </c>
      <c r="N300" s="70">
        <v>9050</v>
      </c>
      <c r="O300" s="70">
        <v>8</v>
      </c>
      <c r="P300" s="71">
        <v>54</v>
      </c>
      <c r="Q300" s="71">
        <v>270</v>
      </c>
      <c r="R300" s="72">
        <v>0.88</v>
      </c>
      <c r="S300" s="71">
        <v>420</v>
      </c>
      <c r="T300" s="71">
        <v>240</v>
      </c>
      <c r="U300" s="73">
        <v>4.4000000000000004</v>
      </c>
      <c r="V300" s="73">
        <v>0.2</v>
      </c>
      <c r="W300" s="72">
        <v>0.63</v>
      </c>
      <c r="X300" s="72">
        <v>0.9</v>
      </c>
      <c r="Y300" s="72">
        <v>0.12</v>
      </c>
      <c r="Z300" s="74">
        <v>5.6000000000000001E-2</v>
      </c>
      <c r="AA300" s="74">
        <v>2.3E-2</v>
      </c>
      <c r="AB300" s="74">
        <v>6.0000000000000001E-3</v>
      </c>
      <c r="AC300" s="74">
        <v>5.8999999999999997E-2</v>
      </c>
    </row>
    <row r="301" spans="2:29" x14ac:dyDescent="0.2">
      <c r="B301" s="66" t="s">
        <v>291</v>
      </c>
      <c r="C301" s="67" t="s">
        <v>261</v>
      </c>
      <c r="D301" s="68">
        <v>1</v>
      </c>
      <c r="F301" s="66" t="s">
        <v>719</v>
      </c>
      <c r="G301" s="67" t="s">
        <v>265</v>
      </c>
      <c r="H301" s="68">
        <v>10</v>
      </c>
      <c r="I301" s="70">
        <v>45</v>
      </c>
      <c r="J301" s="70">
        <v>-46</v>
      </c>
      <c r="K301" s="70">
        <v>-48</v>
      </c>
      <c r="L301" s="70">
        <v>25</v>
      </c>
      <c r="M301" s="70">
        <v>16</v>
      </c>
      <c r="N301" s="70">
        <v>10050</v>
      </c>
      <c r="O301" s="70">
        <v>5</v>
      </c>
      <c r="P301" s="71">
        <v>60</v>
      </c>
      <c r="Q301" s="71">
        <v>115</v>
      </c>
      <c r="R301" s="72">
        <v>0.67</v>
      </c>
      <c r="S301" s="71">
        <v>425</v>
      </c>
      <c r="T301" s="71">
        <v>60</v>
      </c>
      <c r="U301" s="73">
        <v>2.2999999999999998</v>
      </c>
      <c r="V301" s="73">
        <v>0.1</v>
      </c>
      <c r="W301" s="72">
        <v>0.39</v>
      </c>
      <c r="X301" s="72">
        <v>0.64</v>
      </c>
      <c r="Y301" s="72">
        <v>0.12</v>
      </c>
      <c r="Z301" s="74">
        <v>6.9000000000000006E-2</v>
      </c>
      <c r="AA301" s="74">
        <v>4.1000000000000002E-2</v>
      </c>
      <c r="AB301" s="74">
        <v>2.5999999999999999E-2</v>
      </c>
      <c r="AC301" s="74">
        <v>0.06</v>
      </c>
    </row>
    <row r="302" spans="2:29" x14ac:dyDescent="0.2">
      <c r="B302" s="66" t="s">
        <v>297</v>
      </c>
      <c r="C302" s="67" t="s">
        <v>261</v>
      </c>
      <c r="D302" s="68">
        <v>2</v>
      </c>
      <c r="F302" s="66" t="s">
        <v>720</v>
      </c>
      <c r="G302" s="67" t="s">
        <v>267</v>
      </c>
      <c r="H302" s="68">
        <v>11</v>
      </c>
      <c r="I302" s="70">
        <v>45</v>
      </c>
      <c r="J302" s="70">
        <v>-40</v>
      </c>
      <c r="K302" s="70">
        <v>-42</v>
      </c>
      <c r="L302" s="70">
        <v>16</v>
      </c>
      <c r="M302" s="70">
        <v>11</v>
      </c>
      <c r="N302" s="70">
        <v>10050</v>
      </c>
      <c r="O302" s="70">
        <v>5</v>
      </c>
      <c r="P302" s="71">
        <v>58</v>
      </c>
      <c r="Q302" s="71">
        <v>200</v>
      </c>
      <c r="R302" s="72">
        <v>0.86</v>
      </c>
      <c r="S302" s="71">
        <v>433</v>
      </c>
      <c r="T302" s="71">
        <v>200</v>
      </c>
      <c r="U302" s="73">
        <v>2.9</v>
      </c>
      <c r="V302" s="73">
        <v>0.2</v>
      </c>
      <c r="W302" s="72">
        <v>0.39</v>
      </c>
      <c r="X302" s="72">
        <v>0.75</v>
      </c>
      <c r="Y302" s="72">
        <v>0.13</v>
      </c>
      <c r="Z302" s="74">
        <v>8.5999999999999993E-2</v>
      </c>
      <c r="AA302" s="74">
        <v>4.9000000000000002E-2</v>
      </c>
      <c r="AB302" s="74">
        <v>1.2999999999999999E-2</v>
      </c>
      <c r="AC302" s="74">
        <v>5.8999999999999997E-2</v>
      </c>
    </row>
    <row r="303" spans="2:29" x14ac:dyDescent="0.2">
      <c r="B303" s="66" t="s">
        <v>385</v>
      </c>
      <c r="C303" s="67" t="s">
        <v>261</v>
      </c>
      <c r="D303" s="68">
        <v>3</v>
      </c>
      <c r="F303" s="66" t="s">
        <v>721</v>
      </c>
      <c r="G303" s="67" t="s">
        <v>264</v>
      </c>
      <c r="H303" s="68">
        <v>90</v>
      </c>
      <c r="I303" s="70">
        <v>275</v>
      </c>
      <c r="J303" s="70">
        <v>-33</v>
      </c>
      <c r="K303" s="70">
        <v>-36</v>
      </c>
      <c r="L303" s="70">
        <v>29</v>
      </c>
      <c r="M303" s="70">
        <v>21</v>
      </c>
      <c r="N303" s="70">
        <v>6300</v>
      </c>
      <c r="O303" s="70">
        <v>20</v>
      </c>
      <c r="P303" s="71">
        <v>86</v>
      </c>
      <c r="Q303" s="71">
        <v>575</v>
      </c>
      <c r="R303" s="72">
        <v>0.77</v>
      </c>
      <c r="S303" s="71">
        <v>825</v>
      </c>
      <c r="T303" s="71">
        <v>100</v>
      </c>
      <c r="U303" s="73">
        <v>2.9</v>
      </c>
      <c r="V303" s="73">
        <v>0.3</v>
      </c>
      <c r="W303" s="72">
        <v>0.3</v>
      </c>
      <c r="X303" s="72">
        <v>0.4</v>
      </c>
      <c r="Y303" s="72">
        <v>0.21</v>
      </c>
      <c r="Z303" s="74">
        <v>0.1</v>
      </c>
      <c r="AA303" s="74">
        <v>4.9000000000000002E-2</v>
      </c>
      <c r="AB303" s="74">
        <v>1.4999999999999999E-2</v>
      </c>
      <c r="AC303" s="74">
        <v>0.15</v>
      </c>
    </row>
    <row r="304" spans="2:29" x14ac:dyDescent="0.2">
      <c r="B304" s="66" t="s">
        <v>432</v>
      </c>
      <c r="C304" s="67" t="s">
        <v>261</v>
      </c>
      <c r="D304" s="68">
        <v>4</v>
      </c>
      <c r="F304" s="66" t="s">
        <v>378</v>
      </c>
      <c r="G304" s="67" t="s">
        <v>247</v>
      </c>
      <c r="H304" s="68">
        <v>68</v>
      </c>
      <c r="I304" s="76">
        <v>763</v>
      </c>
      <c r="J304" s="70">
        <v>-32</v>
      </c>
      <c r="K304" s="70">
        <v>-36</v>
      </c>
      <c r="L304" s="70">
        <v>32</v>
      </c>
      <c r="M304" s="70">
        <v>20</v>
      </c>
      <c r="N304" s="76">
        <v>4900</v>
      </c>
      <c r="O304" s="76">
        <v>17</v>
      </c>
      <c r="P304" s="77">
        <v>75</v>
      </c>
      <c r="Q304" s="77">
        <v>250</v>
      </c>
      <c r="R304" s="72">
        <v>0.25</v>
      </c>
      <c r="S304" s="77">
        <v>360</v>
      </c>
      <c r="T304" s="77">
        <v>220</v>
      </c>
      <c r="U304" s="73">
        <v>1.4</v>
      </c>
      <c r="V304" s="73">
        <v>0.1</v>
      </c>
      <c r="W304" s="72">
        <v>0.4</v>
      </c>
      <c r="X304" s="72">
        <v>0.55000000000000004</v>
      </c>
      <c r="Y304" s="72">
        <v>0.12</v>
      </c>
      <c r="Z304" s="74">
        <v>0.06</v>
      </c>
      <c r="AA304" s="74">
        <v>0.02</v>
      </c>
      <c r="AB304" s="74">
        <v>0.01</v>
      </c>
      <c r="AC304" s="74">
        <v>0.06</v>
      </c>
    </row>
    <row r="305" spans="2:29" x14ac:dyDescent="0.2">
      <c r="B305" s="66" t="s">
        <v>524</v>
      </c>
      <c r="C305" s="67" t="s">
        <v>261</v>
      </c>
      <c r="D305" s="68">
        <v>5</v>
      </c>
      <c r="F305" s="66" t="s">
        <v>722</v>
      </c>
      <c r="G305" s="67" t="s">
        <v>267</v>
      </c>
      <c r="H305" s="68">
        <v>12</v>
      </c>
      <c r="I305" s="70">
        <v>10</v>
      </c>
      <c r="J305" s="70">
        <v>-46</v>
      </c>
      <c r="K305" s="70">
        <v>-48</v>
      </c>
      <c r="L305" s="70">
        <v>12</v>
      </c>
      <c r="M305" s="70">
        <v>9</v>
      </c>
      <c r="N305" s="70">
        <v>13600</v>
      </c>
      <c r="O305" s="70">
        <v>3</v>
      </c>
      <c r="P305" s="71">
        <v>22</v>
      </c>
      <c r="Q305" s="71">
        <v>25</v>
      </c>
      <c r="R305" s="72">
        <v>0.95</v>
      </c>
      <c r="S305" s="71">
        <v>75</v>
      </c>
      <c r="T305" s="71">
        <v>140</v>
      </c>
      <c r="U305" s="73">
        <v>1.6</v>
      </c>
      <c r="V305" s="73">
        <v>0.1</v>
      </c>
      <c r="W305" s="72">
        <v>0.68</v>
      </c>
      <c r="X305" s="72">
        <v>0.9</v>
      </c>
      <c r="Y305" s="72">
        <v>0.4</v>
      </c>
      <c r="Z305" s="74">
        <v>0.2</v>
      </c>
      <c r="AA305" s="74">
        <v>9.7000000000000003E-2</v>
      </c>
      <c r="AB305" s="74">
        <v>2.8000000000000001E-2</v>
      </c>
      <c r="AC305" s="74">
        <v>0.22</v>
      </c>
    </row>
    <row r="306" spans="2:29" x14ac:dyDescent="0.2">
      <c r="B306" s="66" t="s">
        <v>528</v>
      </c>
      <c r="C306" s="67" t="s">
        <v>261</v>
      </c>
      <c r="D306" s="68">
        <v>6</v>
      </c>
      <c r="F306" s="66" t="s">
        <v>723</v>
      </c>
      <c r="G306" s="67" t="s">
        <v>278</v>
      </c>
      <c r="H306" s="68">
        <v>10</v>
      </c>
      <c r="I306" s="70">
        <v>305</v>
      </c>
      <c r="J306" s="70">
        <v>-39</v>
      </c>
      <c r="K306" s="70">
        <v>-41</v>
      </c>
      <c r="L306" s="70">
        <v>26</v>
      </c>
      <c r="M306" s="70">
        <v>20</v>
      </c>
      <c r="N306" s="70">
        <v>7300</v>
      </c>
      <c r="O306" s="70">
        <v>10</v>
      </c>
      <c r="P306" s="71">
        <v>76</v>
      </c>
      <c r="Q306" s="71">
        <v>370</v>
      </c>
      <c r="R306" s="72">
        <v>0.62</v>
      </c>
      <c r="S306" s="71">
        <v>510</v>
      </c>
      <c r="T306" s="71">
        <v>80</v>
      </c>
      <c r="U306" s="73">
        <v>2.1</v>
      </c>
      <c r="V306" s="73">
        <v>0.1</v>
      </c>
      <c r="W306" s="72">
        <v>0.33</v>
      </c>
      <c r="X306" s="72">
        <v>0.44</v>
      </c>
      <c r="Y306" s="72">
        <v>0.12</v>
      </c>
      <c r="Z306" s="74">
        <v>5.6000000000000001E-2</v>
      </c>
      <c r="AA306" s="74">
        <v>2.3E-2</v>
      </c>
      <c r="AB306" s="74">
        <v>6.0000000000000001E-3</v>
      </c>
      <c r="AC306" s="74">
        <v>5.8999999999999997E-2</v>
      </c>
    </row>
    <row r="307" spans="2:29" x14ac:dyDescent="0.2">
      <c r="B307" s="66" t="s">
        <v>533</v>
      </c>
      <c r="C307" s="67" t="s">
        <v>261</v>
      </c>
      <c r="D307" s="68">
        <v>7</v>
      </c>
      <c r="F307" s="66" t="s">
        <v>656</v>
      </c>
      <c r="G307" s="67" t="s">
        <v>252</v>
      </c>
      <c r="H307" s="68">
        <v>8</v>
      </c>
      <c r="I307" s="70">
        <v>240</v>
      </c>
      <c r="J307" s="70">
        <v>-36</v>
      </c>
      <c r="K307" s="70">
        <v>-38</v>
      </c>
      <c r="L307" s="70">
        <v>26</v>
      </c>
      <c r="M307" s="70">
        <v>20</v>
      </c>
      <c r="N307" s="70">
        <v>7100</v>
      </c>
      <c r="O307" s="70">
        <v>13</v>
      </c>
      <c r="P307" s="71">
        <v>86</v>
      </c>
      <c r="Q307" s="71">
        <v>380</v>
      </c>
      <c r="R307" s="72">
        <v>0.67</v>
      </c>
      <c r="S307" s="71">
        <v>550</v>
      </c>
      <c r="T307" s="71">
        <v>80</v>
      </c>
      <c r="U307" s="73">
        <v>2.6</v>
      </c>
      <c r="V307" s="73">
        <v>0.2</v>
      </c>
      <c r="W307" s="72">
        <v>0.33</v>
      </c>
      <c r="X307" s="72">
        <v>0.44</v>
      </c>
      <c r="Y307" s="72">
        <v>0.12</v>
      </c>
      <c r="Z307" s="74">
        <v>5.6000000000000001E-2</v>
      </c>
      <c r="AA307" s="74">
        <v>2.3E-2</v>
      </c>
      <c r="AB307" s="74">
        <v>6.0000000000000001E-3</v>
      </c>
      <c r="AC307" s="74">
        <v>5.8999999999999997E-2</v>
      </c>
    </row>
    <row r="308" spans="2:29" x14ac:dyDescent="0.2">
      <c r="B308" s="66" t="s">
        <v>668</v>
      </c>
      <c r="C308" s="67" t="s">
        <v>261</v>
      </c>
      <c r="D308" s="68">
        <v>8</v>
      </c>
      <c r="F308" s="66" t="s">
        <v>380</v>
      </c>
      <c r="G308" s="67" t="s">
        <v>247</v>
      </c>
      <c r="H308" s="68">
        <v>69</v>
      </c>
      <c r="I308" s="76">
        <v>1060</v>
      </c>
      <c r="J308" s="70">
        <v>-32</v>
      </c>
      <c r="K308" s="70">
        <v>-35</v>
      </c>
      <c r="L308" s="70">
        <v>28</v>
      </c>
      <c r="M308" s="70">
        <v>18</v>
      </c>
      <c r="N308" s="76">
        <v>5500</v>
      </c>
      <c r="O308" s="76">
        <v>10</v>
      </c>
      <c r="P308" s="77">
        <v>76</v>
      </c>
      <c r="Q308" s="77">
        <v>300</v>
      </c>
      <c r="R308" s="72">
        <v>0.52</v>
      </c>
      <c r="S308" s="77">
        <v>400</v>
      </c>
      <c r="T308" s="77">
        <v>80</v>
      </c>
      <c r="U308" s="73">
        <v>3.3</v>
      </c>
      <c r="V308" s="73">
        <v>0.1</v>
      </c>
      <c r="W308" s="72">
        <v>0.37</v>
      </c>
      <c r="X308" s="72">
        <v>0.46</v>
      </c>
      <c r="Y308" s="72">
        <v>0.24</v>
      </c>
      <c r="Z308" s="74">
        <v>0.14000000000000001</v>
      </c>
      <c r="AA308" s="74">
        <v>6.8000000000000005E-2</v>
      </c>
      <c r="AB308" s="74">
        <v>3.7999999999999999E-2</v>
      </c>
      <c r="AC308" s="74">
        <v>0.12</v>
      </c>
    </row>
    <row r="309" spans="2:29" x14ac:dyDescent="0.2">
      <c r="B309" s="66" t="s">
        <v>683</v>
      </c>
      <c r="C309" s="67" t="s">
        <v>261</v>
      </c>
      <c r="D309" s="68">
        <v>9</v>
      </c>
      <c r="F309" s="66" t="s">
        <v>724</v>
      </c>
      <c r="G309" s="67" t="s">
        <v>264</v>
      </c>
      <c r="H309" s="68">
        <v>91</v>
      </c>
      <c r="I309" s="70">
        <v>330</v>
      </c>
      <c r="J309" s="70">
        <v>-36</v>
      </c>
      <c r="K309" s="70">
        <v>-39</v>
      </c>
      <c r="L309" s="70">
        <v>28</v>
      </c>
      <c r="M309" s="70">
        <v>21</v>
      </c>
      <c r="N309" s="70">
        <v>6600</v>
      </c>
      <c r="O309" s="70">
        <v>20</v>
      </c>
      <c r="P309" s="71">
        <v>86</v>
      </c>
      <c r="Q309" s="71">
        <v>550</v>
      </c>
      <c r="R309" s="72">
        <v>0.76</v>
      </c>
      <c r="S309" s="71">
        <v>750</v>
      </c>
      <c r="T309" s="71">
        <v>100</v>
      </c>
      <c r="U309" s="73">
        <v>2.7</v>
      </c>
      <c r="V309" s="73">
        <v>0.4</v>
      </c>
      <c r="W309" s="72">
        <v>0.21</v>
      </c>
      <c r="X309" s="72">
        <v>0.27</v>
      </c>
      <c r="Y309" s="72">
        <v>0.12</v>
      </c>
      <c r="Z309" s="74">
        <v>5.6000000000000001E-2</v>
      </c>
      <c r="AA309" s="74">
        <v>2.3E-2</v>
      </c>
      <c r="AB309" s="74">
        <v>6.0000000000000001E-3</v>
      </c>
      <c r="AC309" s="74">
        <v>5.8999999999999997E-2</v>
      </c>
    </row>
    <row r="310" spans="2:29" x14ac:dyDescent="0.2">
      <c r="B310" s="66" t="s">
        <v>725</v>
      </c>
      <c r="C310" s="67" t="s">
        <v>261</v>
      </c>
      <c r="D310" s="68">
        <v>10</v>
      </c>
      <c r="F310" s="66" t="s">
        <v>726</v>
      </c>
      <c r="G310" s="67" t="s">
        <v>257</v>
      </c>
      <c r="H310" s="68">
        <v>40</v>
      </c>
      <c r="I310" s="70">
        <v>45</v>
      </c>
      <c r="J310" s="70">
        <v>-25</v>
      </c>
      <c r="K310" s="70">
        <v>-28</v>
      </c>
      <c r="L310" s="70">
        <v>29</v>
      </c>
      <c r="M310" s="70">
        <v>23</v>
      </c>
      <c r="N310" s="70">
        <v>4900</v>
      </c>
      <c r="O310" s="70">
        <v>20</v>
      </c>
      <c r="P310" s="71">
        <v>102</v>
      </c>
      <c r="Q310" s="71">
        <v>790</v>
      </c>
      <c r="R310" s="72">
        <v>0.93</v>
      </c>
      <c r="S310" s="71">
        <v>1000</v>
      </c>
      <c r="T310" s="71">
        <v>160</v>
      </c>
      <c r="U310" s="73">
        <v>3.1</v>
      </c>
      <c r="V310" s="73">
        <v>0.4</v>
      </c>
      <c r="W310" s="72">
        <v>0.27</v>
      </c>
      <c r="X310" s="72">
        <v>0.36</v>
      </c>
      <c r="Y310" s="72">
        <v>0.63</v>
      </c>
      <c r="Z310" s="74">
        <v>0.3</v>
      </c>
      <c r="AA310" s="74">
        <v>0.12</v>
      </c>
      <c r="AB310" s="74">
        <v>4.2999999999999997E-2</v>
      </c>
      <c r="AC310" s="74">
        <v>0.39</v>
      </c>
    </row>
    <row r="311" spans="2:29" x14ac:dyDescent="0.2">
      <c r="B311" s="66" t="s">
        <v>727</v>
      </c>
      <c r="C311" s="67" t="s">
        <v>261</v>
      </c>
      <c r="D311" s="68">
        <v>11</v>
      </c>
      <c r="F311" s="66" t="s">
        <v>728</v>
      </c>
      <c r="G311" s="67" t="s">
        <v>257</v>
      </c>
      <c r="H311" s="68">
        <v>41</v>
      </c>
      <c r="I311" s="70">
        <v>135</v>
      </c>
      <c r="J311" s="70">
        <v>-29</v>
      </c>
      <c r="K311" s="70">
        <v>-31</v>
      </c>
      <c r="L311" s="70">
        <v>29</v>
      </c>
      <c r="M311" s="70">
        <v>21</v>
      </c>
      <c r="N311" s="70">
        <v>5650</v>
      </c>
      <c r="O311" s="70">
        <v>18</v>
      </c>
      <c r="P311" s="71">
        <v>86</v>
      </c>
      <c r="Q311" s="71">
        <v>710</v>
      </c>
      <c r="R311" s="72">
        <v>0.87</v>
      </c>
      <c r="S311" s="71">
        <v>925</v>
      </c>
      <c r="T311" s="71">
        <v>160</v>
      </c>
      <c r="U311" s="73">
        <v>3.1</v>
      </c>
      <c r="V311" s="73">
        <v>0.4</v>
      </c>
      <c r="W311" s="72">
        <v>0.25</v>
      </c>
      <c r="X311" s="72">
        <v>0.35</v>
      </c>
      <c r="Y311" s="72">
        <v>0.62</v>
      </c>
      <c r="Z311" s="74">
        <v>0.28999999999999998</v>
      </c>
      <c r="AA311" s="74">
        <v>0.13</v>
      </c>
      <c r="AB311" s="74">
        <v>4.4999999999999998E-2</v>
      </c>
      <c r="AC311" s="74">
        <v>0.39</v>
      </c>
    </row>
    <row r="312" spans="2:29" x14ac:dyDescent="0.2">
      <c r="B312" s="66" t="s">
        <v>729</v>
      </c>
      <c r="C312" s="67" t="s">
        <v>261</v>
      </c>
      <c r="D312" s="68">
        <v>12</v>
      </c>
      <c r="F312" s="66" t="s">
        <v>556</v>
      </c>
      <c r="G312" s="67" t="s">
        <v>224</v>
      </c>
      <c r="H312" s="68">
        <v>34</v>
      </c>
      <c r="I312" s="70">
        <v>355</v>
      </c>
      <c r="J312" s="70">
        <v>-25</v>
      </c>
      <c r="K312" s="70">
        <v>-28</v>
      </c>
      <c r="L312" s="70">
        <v>34</v>
      </c>
      <c r="M312" s="70">
        <v>20</v>
      </c>
      <c r="N312" s="70">
        <v>3650</v>
      </c>
      <c r="O312" s="70">
        <v>13</v>
      </c>
      <c r="P312" s="71">
        <v>48</v>
      </c>
      <c r="Q312" s="71">
        <v>225</v>
      </c>
      <c r="R312" s="72">
        <v>0.23</v>
      </c>
      <c r="S312" s="71">
        <v>275</v>
      </c>
      <c r="T312" s="71">
        <v>80</v>
      </c>
      <c r="U312" s="73">
        <v>1.8</v>
      </c>
      <c r="V312" s="73">
        <v>0.2</v>
      </c>
      <c r="W312" s="72">
        <v>0.3</v>
      </c>
      <c r="X312" s="72">
        <v>0.4</v>
      </c>
      <c r="Y312" s="72">
        <v>0.28000000000000003</v>
      </c>
      <c r="Z312" s="74">
        <v>0.17</v>
      </c>
      <c r="AA312" s="74">
        <v>0.1</v>
      </c>
      <c r="AB312" s="74">
        <v>6.0999999999999999E-2</v>
      </c>
      <c r="AC312" s="74">
        <v>0.14000000000000001</v>
      </c>
    </row>
    <row r="313" spans="2:29" x14ac:dyDescent="0.2">
      <c r="B313" s="66" t="s">
        <v>730</v>
      </c>
      <c r="C313" s="67" t="s">
        <v>261</v>
      </c>
      <c r="D313" s="68">
        <v>13</v>
      </c>
      <c r="F313" s="66" t="s">
        <v>731</v>
      </c>
      <c r="G313" s="67" t="s">
        <v>278</v>
      </c>
      <c r="H313" s="68">
        <v>11</v>
      </c>
      <c r="I313" s="70">
        <v>455</v>
      </c>
      <c r="J313" s="70">
        <v>-35</v>
      </c>
      <c r="K313" s="70">
        <v>-37</v>
      </c>
      <c r="L313" s="70">
        <v>29</v>
      </c>
      <c r="M313" s="70">
        <v>22</v>
      </c>
      <c r="N313" s="70">
        <v>6300</v>
      </c>
      <c r="O313" s="70">
        <v>20</v>
      </c>
      <c r="P313" s="71">
        <v>97</v>
      </c>
      <c r="Q313" s="71">
        <v>360</v>
      </c>
      <c r="R313" s="72">
        <v>0.55000000000000004</v>
      </c>
      <c r="S313" s="71">
        <v>450</v>
      </c>
      <c r="T313" s="71">
        <v>120</v>
      </c>
      <c r="U313" s="73">
        <v>2.1</v>
      </c>
      <c r="V313" s="73">
        <v>0.2</v>
      </c>
      <c r="W313" s="72">
        <v>0.32</v>
      </c>
      <c r="X313" s="72">
        <v>0.4</v>
      </c>
      <c r="Y313" s="72">
        <v>0.12</v>
      </c>
      <c r="Z313" s="74">
        <v>5.6000000000000001E-2</v>
      </c>
      <c r="AA313" s="74">
        <v>2.3E-2</v>
      </c>
      <c r="AB313" s="74">
        <v>6.0000000000000001E-3</v>
      </c>
      <c r="AC313" s="74">
        <v>5.8999999999999997E-2</v>
      </c>
    </row>
    <row r="314" spans="2:29" x14ac:dyDescent="0.2">
      <c r="B314" s="66" t="s">
        <v>732</v>
      </c>
      <c r="C314" s="67" t="s">
        <v>261</v>
      </c>
      <c r="D314" s="68">
        <v>14</v>
      </c>
      <c r="F314" s="66" t="s">
        <v>733</v>
      </c>
      <c r="G314" s="67" t="s">
        <v>264</v>
      </c>
      <c r="H314" s="68">
        <v>92</v>
      </c>
      <c r="I314" s="70">
        <v>245</v>
      </c>
      <c r="J314" s="70">
        <v>-33</v>
      </c>
      <c r="K314" s="70">
        <v>-35</v>
      </c>
      <c r="L314" s="70">
        <v>28</v>
      </c>
      <c r="M314" s="70">
        <v>21</v>
      </c>
      <c r="N314" s="70">
        <v>6450</v>
      </c>
      <c r="O314" s="70">
        <v>20</v>
      </c>
      <c r="P314" s="71">
        <v>86</v>
      </c>
      <c r="Q314" s="71">
        <v>550</v>
      </c>
      <c r="R314" s="72">
        <v>0.76</v>
      </c>
      <c r="S314" s="71">
        <v>825</v>
      </c>
      <c r="T314" s="71">
        <v>100</v>
      </c>
      <c r="U314" s="73">
        <v>2.8</v>
      </c>
      <c r="V314" s="73">
        <v>0.3</v>
      </c>
      <c r="W314" s="72">
        <v>0.23</v>
      </c>
      <c r="X314" s="72">
        <v>0.31</v>
      </c>
      <c r="Y314" s="72">
        <v>0.14000000000000001</v>
      </c>
      <c r="Z314" s="74">
        <v>7.2999999999999995E-2</v>
      </c>
      <c r="AA314" s="74">
        <v>3.5999999999999997E-2</v>
      </c>
      <c r="AB314" s="74">
        <v>1.0999999999999999E-2</v>
      </c>
      <c r="AC314" s="74">
        <v>9.0999999999999998E-2</v>
      </c>
    </row>
    <row r="315" spans="2:29" x14ac:dyDescent="0.2">
      <c r="B315" s="66" t="s">
        <v>734</v>
      </c>
      <c r="C315" s="67" t="s">
        <v>261</v>
      </c>
      <c r="D315" s="68">
        <v>15</v>
      </c>
      <c r="F315" s="66" t="s">
        <v>558</v>
      </c>
      <c r="G315" s="67" t="s">
        <v>224</v>
      </c>
      <c r="H315" s="68">
        <v>35</v>
      </c>
      <c r="I315" s="70">
        <v>545</v>
      </c>
      <c r="J315" s="70">
        <v>-23</v>
      </c>
      <c r="K315" s="70">
        <v>-26</v>
      </c>
      <c r="L315" s="70">
        <v>29</v>
      </c>
      <c r="M315" s="70">
        <v>19</v>
      </c>
      <c r="N315" s="70">
        <v>4000</v>
      </c>
      <c r="O315" s="70">
        <v>10</v>
      </c>
      <c r="P315" s="71">
        <v>59</v>
      </c>
      <c r="Q315" s="71">
        <v>660</v>
      </c>
      <c r="R315" s="72">
        <v>0.82</v>
      </c>
      <c r="S315" s="71">
        <v>850</v>
      </c>
      <c r="T315" s="71">
        <v>80</v>
      </c>
      <c r="U315" s="73">
        <v>2.8</v>
      </c>
      <c r="V315" s="73">
        <v>0.1</v>
      </c>
      <c r="W315" s="72">
        <v>0.22</v>
      </c>
      <c r="X315" s="72">
        <v>0.31</v>
      </c>
      <c r="Y315" s="72">
        <v>0.27</v>
      </c>
      <c r="Z315" s="74">
        <v>0.16</v>
      </c>
      <c r="AA315" s="74">
        <v>0.08</v>
      </c>
      <c r="AB315" s="74">
        <v>4.4999999999999998E-2</v>
      </c>
      <c r="AC315" s="74">
        <v>0.14000000000000001</v>
      </c>
    </row>
    <row r="316" spans="2:29" x14ac:dyDescent="0.2">
      <c r="B316" s="66" t="s">
        <v>735</v>
      </c>
      <c r="C316" s="67" t="s">
        <v>261</v>
      </c>
      <c r="D316" s="68">
        <v>16</v>
      </c>
      <c r="F316" s="66" t="s">
        <v>382</v>
      </c>
      <c r="G316" s="67" t="s">
        <v>247</v>
      </c>
      <c r="H316" s="68">
        <v>70</v>
      </c>
      <c r="I316" s="76">
        <v>420</v>
      </c>
      <c r="J316" s="70">
        <v>-40</v>
      </c>
      <c r="K316" s="70">
        <v>-42</v>
      </c>
      <c r="L316" s="70">
        <v>28</v>
      </c>
      <c r="M316" s="70">
        <v>18</v>
      </c>
      <c r="N316" s="76">
        <v>6800</v>
      </c>
      <c r="O316" s="76">
        <v>13</v>
      </c>
      <c r="P316" s="77">
        <v>65</v>
      </c>
      <c r="Q316" s="77">
        <v>310</v>
      </c>
      <c r="R316" s="72">
        <v>0.54</v>
      </c>
      <c r="S316" s="77">
        <v>450</v>
      </c>
      <c r="T316" s="77">
        <v>80</v>
      </c>
      <c r="U316" s="73">
        <v>2.4</v>
      </c>
      <c r="V316" s="73">
        <v>0.1</v>
      </c>
      <c r="W316" s="72">
        <v>0.21</v>
      </c>
      <c r="X316" s="72">
        <v>0.28000000000000003</v>
      </c>
      <c r="Y316" s="72">
        <v>0.12</v>
      </c>
      <c r="Z316" s="74">
        <v>5.6000000000000001E-2</v>
      </c>
      <c r="AA316" s="74">
        <v>2.3E-2</v>
      </c>
      <c r="AB316" s="74">
        <v>8.0000000000000002E-3</v>
      </c>
      <c r="AC316" s="74">
        <v>5.8999999999999997E-2</v>
      </c>
    </row>
    <row r="317" spans="2:29" x14ac:dyDescent="0.2">
      <c r="B317" s="66" t="s">
        <v>736</v>
      </c>
      <c r="C317" s="67" t="s">
        <v>261</v>
      </c>
      <c r="D317" s="68">
        <v>17</v>
      </c>
      <c r="F317" s="66" t="s">
        <v>560</v>
      </c>
      <c r="G317" s="67" t="s">
        <v>224</v>
      </c>
      <c r="H317" s="68">
        <v>36</v>
      </c>
      <c r="I317" s="70">
        <v>350</v>
      </c>
      <c r="J317" s="70">
        <v>-17</v>
      </c>
      <c r="K317" s="70">
        <v>-20</v>
      </c>
      <c r="L317" s="70">
        <v>33</v>
      </c>
      <c r="M317" s="70">
        <v>20</v>
      </c>
      <c r="N317" s="70">
        <v>3600</v>
      </c>
      <c r="O317" s="70">
        <v>10</v>
      </c>
      <c r="P317" s="71">
        <v>43</v>
      </c>
      <c r="Q317" s="71">
        <v>260</v>
      </c>
      <c r="R317" s="72">
        <v>0.28999999999999998</v>
      </c>
      <c r="S317" s="71">
        <v>325</v>
      </c>
      <c r="T317" s="71">
        <v>80</v>
      </c>
      <c r="U317" s="73">
        <v>1.7</v>
      </c>
      <c r="V317" s="73">
        <v>0.1</v>
      </c>
      <c r="W317" s="72">
        <v>0.34</v>
      </c>
      <c r="X317" s="72">
        <v>0.47</v>
      </c>
      <c r="Y317" s="72">
        <v>0.28000000000000003</v>
      </c>
      <c r="Z317" s="74">
        <v>0.17</v>
      </c>
      <c r="AA317" s="74">
        <v>9.4E-2</v>
      </c>
      <c r="AB317" s="74">
        <v>5.6000000000000001E-2</v>
      </c>
      <c r="AC317" s="74">
        <v>0.14000000000000001</v>
      </c>
    </row>
    <row r="318" spans="2:29" x14ac:dyDescent="0.2">
      <c r="B318" s="66" t="s">
        <v>737</v>
      </c>
      <c r="C318" s="67" t="s">
        <v>261</v>
      </c>
      <c r="D318" s="68">
        <v>18</v>
      </c>
      <c r="F318" s="66" t="s">
        <v>738</v>
      </c>
      <c r="G318" s="67" t="s">
        <v>264</v>
      </c>
      <c r="H318" s="68">
        <v>93</v>
      </c>
      <c r="I318" s="70">
        <v>90</v>
      </c>
      <c r="J318" s="70">
        <v>-25</v>
      </c>
      <c r="K318" s="70">
        <v>-27</v>
      </c>
      <c r="L318" s="70">
        <v>30</v>
      </c>
      <c r="M318" s="70">
        <v>23</v>
      </c>
      <c r="N318" s="70">
        <v>4650</v>
      </c>
      <c r="O318" s="70">
        <v>25</v>
      </c>
      <c r="P318" s="71">
        <v>86</v>
      </c>
      <c r="Q318" s="71">
        <v>750</v>
      </c>
      <c r="R318" s="72">
        <v>0.86</v>
      </c>
      <c r="S318" s="71">
        <v>925</v>
      </c>
      <c r="T318" s="71">
        <v>160</v>
      </c>
      <c r="U318" s="73">
        <v>2.2999999999999998</v>
      </c>
      <c r="V318" s="73">
        <v>0.4</v>
      </c>
      <c r="W318" s="72">
        <v>0.3</v>
      </c>
      <c r="X318" s="72">
        <v>0.41</v>
      </c>
      <c r="Y318" s="72">
        <v>0.6</v>
      </c>
      <c r="Z318" s="74">
        <v>0.28000000000000003</v>
      </c>
      <c r="AA318" s="74">
        <v>0.12</v>
      </c>
      <c r="AB318" s="74">
        <v>0.04</v>
      </c>
      <c r="AC318" s="74">
        <v>0.37</v>
      </c>
    </row>
    <row r="319" spans="2:29" x14ac:dyDescent="0.2">
      <c r="B319" s="66" t="s">
        <v>739</v>
      </c>
      <c r="C319" s="67" t="s">
        <v>261</v>
      </c>
      <c r="D319" s="68">
        <v>19</v>
      </c>
      <c r="F319" s="66" t="s">
        <v>740</v>
      </c>
      <c r="G319" s="67" t="s">
        <v>264</v>
      </c>
      <c r="H319" s="68">
        <v>94</v>
      </c>
      <c r="I319" s="70">
        <v>370</v>
      </c>
      <c r="J319" s="70">
        <v>-33</v>
      </c>
      <c r="K319" s="70">
        <v>-36</v>
      </c>
      <c r="L319" s="70">
        <v>28</v>
      </c>
      <c r="M319" s="70">
        <v>22</v>
      </c>
      <c r="N319" s="70">
        <v>5850</v>
      </c>
      <c r="O319" s="70">
        <v>25</v>
      </c>
      <c r="P319" s="71">
        <v>113</v>
      </c>
      <c r="Q319" s="71">
        <v>515</v>
      </c>
      <c r="R319" s="72">
        <v>0.64</v>
      </c>
      <c r="S319" s="71">
        <v>630</v>
      </c>
      <c r="T319" s="71">
        <v>120</v>
      </c>
      <c r="U319" s="73">
        <v>2.2999999999999998</v>
      </c>
      <c r="V319" s="73">
        <v>0.3</v>
      </c>
      <c r="W319" s="72">
        <v>0.23</v>
      </c>
      <c r="X319" s="72">
        <v>0.31</v>
      </c>
      <c r="Y319" s="72">
        <v>0.12</v>
      </c>
      <c r="Z319" s="74">
        <v>5.6000000000000001E-2</v>
      </c>
      <c r="AA319" s="74">
        <v>2.3E-2</v>
      </c>
      <c r="AB319" s="74">
        <v>6.0000000000000001E-3</v>
      </c>
      <c r="AC319" s="74">
        <v>5.8999999999999997E-2</v>
      </c>
    </row>
    <row r="320" spans="2:29" x14ac:dyDescent="0.2">
      <c r="B320" s="66" t="s">
        <v>741</v>
      </c>
      <c r="C320" s="67" t="s">
        <v>261</v>
      </c>
      <c r="D320" s="68">
        <v>20</v>
      </c>
      <c r="F320" s="66" t="s">
        <v>725</v>
      </c>
      <c r="G320" s="67" t="s">
        <v>261</v>
      </c>
      <c r="H320" s="68">
        <v>10</v>
      </c>
      <c r="I320" s="70">
        <v>25</v>
      </c>
      <c r="J320" s="70">
        <v>-18</v>
      </c>
      <c r="K320" s="70">
        <v>-20</v>
      </c>
      <c r="L320" s="70">
        <v>28</v>
      </c>
      <c r="M320" s="70">
        <v>21</v>
      </c>
      <c r="N320" s="70">
        <v>4200</v>
      </c>
      <c r="O320" s="70">
        <v>18</v>
      </c>
      <c r="P320" s="71">
        <v>128</v>
      </c>
      <c r="Q320" s="71">
        <v>950</v>
      </c>
      <c r="R320" s="72">
        <v>1.0900000000000001</v>
      </c>
      <c r="S320" s="71">
        <v>1200</v>
      </c>
      <c r="T320" s="71">
        <v>260</v>
      </c>
      <c r="U320" s="73">
        <v>2.4</v>
      </c>
      <c r="V320" s="73">
        <v>0.6</v>
      </c>
      <c r="W320" s="72">
        <v>0.36</v>
      </c>
      <c r="X320" s="72">
        <v>0.54</v>
      </c>
      <c r="Y320" s="72">
        <v>0.24</v>
      </c>
      <c r="Z320" s="74">
        <v>0.13</v>
      </c>
      <c r="AA320" s="74">
        <v>6.7000000000000004E-2</v>
      </c>
      <c r="AB320" s="74">
        <v>1.7999999999999999E-2</v>
      </c>
      <c r="AC320" s="74">
        <v>0.14000000000000001</v>
      </c>
    </row>
    <row r="321" spans="2:29" x14ac:dyDescent="0.2">
      <c r="B321" s="66" t="s">
        <v>742</v>
      </c>
      <c r="C321" s="67" t="s">
        <v>261</v>
      </c>
      <c r="D321" s="68">
        <v>21</v>
      </c>
      <c r="F321" s="66" t="s">
        <v>743</v>
      </c>
      <c r="G321" s="67" t="s">
        <v>264</v>
      </c>
      <c r="H321" s="68">
        <v>95</v>
      </c>
      <c r="I321" s="70">
        <v>185</v>
      </c>
      <c r="J321" s="70">
        <v>-28</v>
      </c>
      <c r="K321" s="70">
        <v>-31</v>
      </c>
      <c r="L321" s="70">
        <v>30</v>
      </c>
      <c r="M321" s="70">
        <v>22</v>
      </c>
      <c r="N321" s="70">
        <v>5100</v>
      </c>
      <c r="O321" s="70">
        <v>23</v>
      </c>
      <c r="P321" s="71">
        <v>86</v>
      </c>
      <c r="Q321" s="71">
        <v>680</v>
      </c>
      <c r="R321" s="72">
        <v>0.83</v>
      </c>
      <c r="S321" s="71">
        <v>825</v>
      </c>
      <c r="T321" s="71">
        <v>120</v>
      </c>
      <c r="U321" s="73">
        <v>2.7</v>
      </c>
      <c r="V321" s="73">
        <v>0.4</v>
      </c>
      <c r="W321" s="72">
        <v>0.26</v>
      </c>
      <c r="X321" s="72">
        <v>0.35</v>
      </c>
      <c r="Y321" s="72">
        <v>0.48</v>
      </c>
      <c r="Z321" s="74">
        <v>0.23</v>
      </c>
      <c r="AA321" s="74">
        <v>0.1</v>
      </c>
      <c r="AB321" s="74">
        <v>3.4000000000000002E-2</v>
      </c>
      <c r="AC321" s="74">
        <v>0.31</v>
      </c>
    </row>
    <row r="322" spans="2:29" x14ac:dyDescent="0.2">
      <c r="B322" s="66" t="s">
        <v>744</v>
      </c>
      <c r="C322" s="67" t="s">
        <v>261</v>
      </c>
      <c r="D322" s="68">
        <v>22</v>
      </c>
      <c r="F322" s="66" t="s">
        <v>384</v>
      </c>
      <c r="G322" s="67" t="s">
        <v>247</v>
      </c>
      <c r="H322" s="68">
        <v>71</v>
      </c>
      <c r="I322" s="76">
        <v>680</v>
      </c>
      <c r="J322" s="70">
        <v>-35</v>
      </c>
      <c r="K322" s="70">
        <v>-38</v>
      </c>
      <c r="L322" s="70">
        <v>29</v>
      </c>
      <c r="M322" s="70">
        <v>20</v>
      </c>
      <c r="N322" s="76">
        <v>5700</v>
      </c>
      <c r="O322" s="76">
        <v>21</v>
      </c>
      <c r="P322" s="77">
        <v>90</v>
      </c>
      <c r="Q322" s="77">
        <v>335</v>
      </c>
      <c r="R322" s="72">
        <v>0.51</v>
      </c>
      <c r="S322" s="77">
        <v>445</v>
      </c>
      <c r="T322" s="77">
        <v>150</v>
      </c>
      <c r="U322" s="73">
        <v>1.9</v>
      </c>
      <c r="V322" s="73">
        <v>0.1</v>
      </c>
      <c r="W322" s="72">
        <v>0.24</v>
      </c>
      <c r="X322" s="72">
        <v>0.35</v>
      </c>
      <c r="Y322" s="72">
        <v>0.12</v>
      </c>
      <c r="Z322" s="74">
        <v>0.06</v>
      </c>
      <c r="AA322" s="74">
        <v>0.02</v>
      </c>
      <c r="AB322" s="74">
        <v>0.01</v>
      </c>
      <c r="AC322" s="74">
        <v>0.06</v>
      </c>
    </row>
    <row r="323" spans="2:29" x14ac:dyDescent="0.2">
      <c r="B323" s="66" t="s">
        <v>745</v>
      </c>
      <c r="C323" s="67" t="s">
        <v>261</v>
      </c>
      <c r="D323" s="68">
        <v>23</v>
      </c>
      <c r="F323" s="66" t="s">
        <v>562</v>
      </c>
      <c r="G323" s="67" t="s">
        <v>224</v>
      </c>
      <c r="H323" s="68">
        <v>37</v>
      </c>
      <c r="I323" s="70">
        <v>1090</v>
      </c>
      <c r="J323" s="70">
        <v>-26</v>
      </c>
      <c r="K323" s="70">
        <v>-29</v>
      </c>
      <c r="L323" s="70">
        <v>31</v>
      </c>
      <c r="M323" s="70">
        <v>19</v>
      </c>
      <c r="N323" s="70">
        <v>4900</v>
      </c>
      <c r="O323" s="70">
        <v>10</v>
      </c>
      <c r="P323" s="71">
        <v>59</v>
      </c>
      <c r="Q323" s="71">
        <v>350</v>
      </c>
      <c r="R323" s="72">
        <v>0.38</v>
      </c>
      <c r="S323" s="71">
        <v>500</v>
      </c>
      <c r="T323" s="71">
        <v>100</v>
      </c>
      <c r="U323" s="73">
        <v>3</v>
      </c>
      <c r="V323" s="73">
        <v>0.2</v>
      </c>
      <c r="W323" s="72">
        <v>0.22</v>
      </c>
      <c r="X323" s="72">
        <v>0.33</v>
      </c>
      <c r="Y323" s="72">
        <v>0.27</v>
      </c>
      <c r="Z323" s="74">
        <v>0.16</v>
      </c>
      <c r="AA323" s="74">
        <v>7.9000000000000001E-2</v>
      </c>
      <c r="AB323" s="74">
        <v>4.3999999999999997E-2</v>
      </c>
      <c r="AC323" s="74">
        <v>0.14000000000000001</v>
      </c>
    </row>
    <row r="324" spans="2:29" x14ac:dyDescent="0.2">
      <c r="B324" s="66" t="s">
        <v>746</v>
      </c>
      <c r="C324" s="67" t="s">
        <v>261</v>
      </c>
      <c r="D324" s="68">
        <v>24</v>
      </c>
      <c r="F324" s="66" t="s">
        <v>747</v>
      </c>
      <c r="G324" s="67" t="s">
        <v>264</v>
      </c>
      <c r="H324" s="68">
        <v>96</v>
      </c>
      <c r="I324" s="70">
        <v>190</v>
      </c>
      <c r="J324" s="70">
        <v>-17</v>
      </c>
      <c r="K324" s="70">
        <v>-19</v>
      </c>
      <c r="L324" s="70">
        <v>28</v>
      </c>
      <c r="M324" s="70">
        <v>22</v>
      </c>
      <c r="N324" s="70">
        <v>4100</v>
      </c>
      <c r="O324" s="70">
        <v>23</v>
      </c>
      <c r="P324" s="71">
        <v>92</v>
      </c>
      <c r="Q324" s="71">
        <v>800</v>
      </c>
      <c r="R324" s="72">
        <v>0.95</v>
      </c>
      <c r="S324" s="71">
        <v>950</v>
      </c>
      <c r="T324" s="71">
        <v>180</v>
      </c>
      <c r="U324" s="73">
        <v>2.6</v>
      </c>
      <c r="V324" s="73">
        <v>0.4</v>
      </c>
      <c r="W324" s="72">
        <v>0.4</v>
      </c>
      <c r="X324" s="72">
        <v>0.55000000000000004</v>
      </c>
      <c r="Y324" s="72">
        <v>0.12</v>
      </c>
      <c r="Z324" s="74">
        <v>7.2999999999999995E-2</v>
      </c>
      <c r="AA324" s="74">
        <v>3.7999999999999999E-2</v>
      </c>
      <c r="AB324" s="74">
        <v>1.0999999999999999E-2</v>
      </c>
      <c r="AC324" s="74">
        <v>0.06</v>
      </c>
    </row>
    <row r="325" spans="2:29" x14ac:dyDescent="0.2">
      <c r="B325" s="66" t="s">
        <v>748</v>
      </c>
      <c r="C325" s="67" t="s">
        <v>261</v>
      </c>
      <c r="D325" s="68">
        <v>25</v>
      </c>
      <c r="F325" s="66" t="s">
        <v>749</v>
      </c>
      <c r="G325" s="67" t="s">
        <v>278</v>
      </c>
      <c r="H325" s="68">
        <v>12</v>
      </c>
      <c r="I325" s="70">
        <v>685</v>
      </c>
      <c r="J325" s="70">
        <v>-33</v>
      </c>
      <c r="K325" s="70">
        <v>-35</v>
      </c>
      <c r="L325" s="70">
        <v>32</v>
      </c>
      <c r="M325" s="70">
        <v>20</v>
      </c>
      <c r="N325" s="70">
        <v>5750</v>
      </c>
      <c r="O325" s="70">
        <v>23</v>
      </c>
      <c r="P325" s="71">
        <v>86</v>
      </c>
      <c r="Q325" s="71">
        <v>260</v>
      </c>
      <c r="R325" s="72">
        <v>0.38</v>
      </c>
      <c r="S325" s="71">
        <v>325</v>
      </c>
      <c r="T325" s="71">
        <v>200</v>
      </c>
      <c r="U325" s="73">
        <v>1.4</v>
      </c>
      <c r="V325" s="73">
        <v>0.1</v>
      </c>
      <c r="W325" s="72">
        <v>0.45</v>
      </c>
      <c r="X325" s="72">
        <v>0.64</v>
      </c>
      <c r="Y325" s="72">
        <v>0.12</v>
      </c>
      <c r="Z325" s="74">
        <v>5.6000000000000001E-2</v>
      </c>
      <c r="AA325" s="74">
        <v>2.3E-2</v>
      </c>
      <c r="AB325" s="74">
        <v>6.0000000000000001E-3</v>
      </c>
      <c r="AC325" s="74">
        <v>5.8999999999999997E-2</v>
      </c>
    </row>
    <row r="326" spans="2:29" x14ac:dyDescent="0.2">
      <c r="B326" s="66" t="s">
        <v>275</v>
      </c>
      <c r="C326" s="67" t="s">
        <v>265</v>
      </c>
      <c r="D326" s="68">
        <v>1</v>
      </c>
      <c r="F326" s="66" t="s">
        <v>750</v>
      </c>
      <c r="G326" s="67" t="s">
        <v>264</v>
      </c>
      <c r="H326" s="68">
        <v>97</v>
      </c>
      <c r="I326" s="70">
        <v>80</v>
      </c>
      <c r="J326" s="70">
        <v>-22</v>
      </c>
      <c r="K326" s="70">
        <v>-24</v>
      </c>
      <c r="L326" s="70">
        <v>27</v>
      </c>
      <c r="M326" s="70">
        <v>23</v>
      </c>
      <c r="N326" s="70">
        <v>4300</v>
      </c>
      <c r="O326" s="70">
        <v>23</v>
      </c>
      <c r="P326" s="71">
        <v>113</v>
      </c>
      <c r="Q326" s="71">
        <v>780</v>
      </c>
      <c r="R326" s="72">
        <v>0.96</v>
      </c>
      <c r="S326" s="71">
        <v>950</v>
      </c>
      <c r="T326" s="71">
        <v>180</v>
      </c>
      <c r="U326" s="73">
        <v>2.1</v>
      </c>
      <c r="V326" s="73">
        <v>0.4</v>
      </c>
      <c r="W326" s="72">
        <v>0.35</v>
      </c>
      <c r="X326" s="72">
        <v>0.47</v>
      </c>
      <c r="Y326" s="72">
        <v>0.3</v>
      </c>
      <c r="Z326" s="74">
        <v>0.16</v>
      </c>
      <c r="AA326" s="74">
        <v>8.4000000000000005E-2</v>
      </c>
      <c r="AB326" s="74">
        <v>2.4E-2</v>
      </c>
      <c r="AC326" s="74">
        <v>0.16</v>
      </c>
    </row>
    <row r="327" spans="2:29" x14ac:dyDescent="0.2">
      <c r="B327" s="66" t="s">
        <v>561</v>
      </c>
      <c r="C327" s="67" t="s">
        <v>265</v>
      </c>
      <c r="D327" s="68">
        <v>2</v>
      </c>
      <c r="F327" s="66" t="s">
        <v>751</v>
      </c>
      <c r="G327" s="67" t="s">
        <v>264</v>
      </c>
      <c r="H327" s="68">
        <v>98</v>
      </c>
      <c r="I327" s="70">
        <v>295</v>
      </c>
      <c r="J327" s="70">
        <v>-26</v>
      </c>
      <c r="K327" s="70">
        <v>-28</v>
      </c>
      <c r="L327" s="70">
        <v>29</v>
      </c>
      <c r="M327" s="70">
        <v>22</v>
      </c>
      <c r="N327" s="70">
        <v>4800</v>
      </c>
      <c r="O327" s="70">
        <v>25</v>
      </c>
      <c r="P327" s="71">
        <v>108</v>
      </c>
      <c r="Q327" s="71">
        <v>750</v>
      </c>
      <c r="R327" s="72">
        <v>0.88</v>
      </c>
      <c r="S327" s="71">
        <v>950</v>
      </c>
      <c r="T327" s="71">
        <v>120</v>
      </c>
      <c r="U327" s="73">
        <v>2.7</v>
      </c>
      <c r="V327" s="73">
        <v>0.4</v>
      </c>
      <c r="W327" s="72">
        <v>0.26</v>
      </c>
      <c r="X327" s="72">
        <v>0.35</v>
      </c>
      <c r="Y327" s="72">
        <v>0.19</v>
      </c>
      <c r="Z327" s="74">
        <v>0.12</v>
      </c>
      <c r="AA327" s="74">
        <v>5.8000000000000003E-2</v>
      </c>
      <c r="AB327" s="74">
        <v>1.7000000000000001E-2</v>
      </c>
      <c r="AC327" s="74">
        <v>8.6999999999999994E-2</v>
      </c>
    </row>
    <row r="328" spans="2:29" x14ac:dyDescent="0.2">
      <c r="B328" s="66" t="s">
        <v>610</v>
      </c>
      <c r="C328" s="67" t="s">
        <v>265</v>
      </c>
      <c r="D328" s="68">
        <v>3</v>
      </c>
      <c r="F328" s="66" t="s">
        <v>752</v>
      </c>
      <c r="G328" s="67" t="s">
        <v>264</v>
      </c>
      <c r="H328" s="68">
        <v>99</v>
      </c>
      <c r="I328" s="70">
        <v>325</v>
      </c>
      <c r="J328" s="70">
        <v>-33</v>
      </c>
      <c r="K328" s="70">
        <v>-36</v>
      </c>
      <c r="L328" s="70">
        <v>30</v>
      </c>
      <c r="M328" s="70">
        <v>21</v>
      </c>
      <c r="N328" s="70">
        <v>6100</v>
      </c>
      <c r="O328" s="70">
        <v>20</v>
      </c>
      <c r="P328" s="71">
        <v>103</v>
      </c>
      <c r="Q328" s="71">
        <v>600</v>
      </c>
      <c r="R328" s="72">
        <v>0.78</v>
      </c>
      <c r="S328" s="71">
        <v>875</v>
      </c>
      <c r="T328" s="71">
        <v>100</v>
      </c>
      <c r="U328" s="73">
        <v>2.9</v>
      </c>
      <c r="V328" s="73">
        <v>0.3</v>
      </c>
      <c r="W328" s="72">
        <v>0.28999999999999998</v>
      </c>
      <c r="X328" s="72">
        <v>0.41</v>
      </c>
      <c r="Y328" s="72">
        <v>0.24</v>
      </c>
      <c r="Z328" s="74">
        <v>0.12</v>
      </c>
      <c r="AA328" s="74">
        <v>5.7000000000000002E-2</v>
      </c>
      <c r="AB328" s="74">
        <v>1.7000000000000001E-2</v>
      </c>
      <c r="AC328" s="74">
        <v>0.15</v>
      </c>
    </row>
    <row r="329" spans="2:29" x14ac:dyDescent="0.2">
      <c r="B329" s="66" t="s">
        <v>614</v>
      </c>
      <c r="C329" s="67" t="s">
        <v>265</v>
      </c>
      <c r="D329" s="68">
        <v>4</v>
      </c>
      <c r="F329" s="66" t="s">
        <v>753</v>
      </c>
      <c r="G329" s="67" t="s">
        <v>264</v>
      </c>
      <c r="H329" s="68">
        <v>100</v>
      </c>
      <c r="I329" s="70">
        <v>335</v>
      </c>
      <c r="J329" s="70">
        <v>-19</v>
      </c>
      <c r="K329" s="70">
        <v>-21</v>
      </c>
      <c r="L329" s="70">
        <v>29</v>
      </c>
      <c r="M329" s="70">
        <v>23</v>
      </c>
      <c r="N329" s="70">
        <v>4250</v>
      </c>
      <c r="O329" s="70">
        <v>28</v>
      </c>
      <c r="P329" s="71">
        <v>119</v>
      </c>
      <c r="Q329" s="71">
        <v>780</v>
      </c>
      <c r="R329" s="72">
        <v>0.89</v>
      </c>
      <c r="S329" s="71">
        <v>925</v>
      </c>
      <c r="T329" s="71">
        <v>140</v>
      </c>
      <c r="U329" s="73">
        <v>2</v>
      </c>
      <c r="V329" s="73">
        <v>0.4</v>
      </c>
      <c r="W329" s="72">
        <v>0.27</v>
      </c>
      <c r="X329" s="72">
        <v>0.37</v>
      </c>
      <c r="Y329" s="72">
        <v>0.19</v>
      </c>
      <c r="Z329" s="74">
        <v>9.6000000000000002E-2</v>
      </c>
      <c r="AA329" s="74">
        <v>4.8000000000000001E-2</v>
      </c>
      <c r="AB329" s="74">
        <v>1.2999999999999999E-2</v>
      </c>
      <c r="AC329" s="74">
        <v>0.11</v>
      </c>
    </row>
    <row r="330" spans="2:29" x14ac:dyDescent="0.2">
      <c r="B330" s="66" t="s">
        <v>616</v>
      </c>
      <c r="C330" s="67" t="s">
        <v>265</v>
      </c>
      <c r="D330" s="68">
        <v>5</v>
      </c>
      <c r="F330" s="66" t="s">
        <v>563</v>
      </c>
      <c r="G330" s="67" t="s">
        <v>224</v>
      </c>
      <c r="H330" s="68">
        <v>38</v>
      </c>
      <c r="I330" s="70">
        <v>15</v>
      </c>
      <c r="J330" s="70">
        <v>-16</v>
      </c>
      <c r="K330" s="70">
        <v>-18</v>
      </c>
      <c r="L330" s="70">
        <v>23</v>
      </c>
      <c r="M330" s="70">
        <v>16</v>
      </c>
      <c r="N330" s="70">
        <v>4000</v>
      </c>
      <c r="O330" s="70">
        <v>13</v>
      </c>
      <c r="P330" s="71">
        <v>193</v>
      </c>
      <c r="Q330" s="71">
        <v>2100</v>
      </c>
      <c r="R330" s="72">
        <v>2.19</v>
      </c>
      <c r="S330" s="71">
        <v>2500</v>
      </c>
      <c r="T330" s="71">
        <v>220</v>
      </c>
      <c r="U330" s="73">
        <v>5.5</v>
      </c>
      <c r="V330" s="73">
        <v>0.8</v>
      </c>
      <c r="W330" s="72">
        <v>0.36</v>
      </c>
      <c r="X330" s="72">
        <v>0.48</v>
      </c>
      <c r="Y330" s="72">
        <v>0.37</v>
      </c>
      <c r="Z330" s="74">
        <v>0.24</v>
      </c>
      <c r="AA330" s="74">
        <v>0.13</v>
      </c>
      <c r="AB330" s="74">
        <v>7.2999999999999995E-2</v>
      </c>
      <c r="AC330" s="74">
        <v>0.18</v>
      </c>
    </row>
    <row r="331" spans="2:29" x14ac:dyDescent="0.2">
      <c r="B331" s="66" t="s">
        <v>619</v>
      </c>
      <c r="C331" s="67" t="s">
        <v>265</v>
      </c>
      <c r="D331" s="68">
        <v>6</v>
      </c>
      <c r="F331" s="66" t="s">
        <v>565</v>
      </c>
      <c r="G331" s="67" t="s">
        <v>224</v>
      </c>
      <c r="H331" s="68">
        <v>39</v>
      </c>
      <c r="I331" s="70">
        <v>130</v>
      </c>
      <c r="J331" s="70">
        <v>-16</v>
      </c>
      <c r="K331" s="70">
        <v>-18</v>
      </c>
      <c r="L331" s="70">
        <v>23</v>
      </c>
      <c r="M331" s="70">
        <v>16</v>
      </c>
      <c r="N331" s="70">
        <v>4200</v>
      </c>
      <c r="O331" s="70">
        <v>13</v>
      </c>
      <c r="P331" s="71">
        <v>171</v>
      </c>
      <c r="Q331" s="71">
        <v>1900</v>
      </c>
      <c r="R331" s="72">
        <v>2</v>
      </c>
      <c r="S331" s="71">
        <v>2300</v>
      </c>
      <c r="T331" s="71">
        <v>220</v>
      </c>
      <c r="U331" s="73">
        <v>6.5</v>
      </c>
      <c r="V331" s="73">
        <v>0.8</v>
      </c>
      <c r="W331" s="72">
        <v>0.36</v>
      </c>
      <c r="X331" s="72">
        <v>0.48</v>
      </c>
      <c r="Y331" s="72">
        <v>0.37</v>
      </c>
      <c r="Z331" s="74">
        <v>0.24</v>
      </c>
      <c r="AA331" s="74">
        <v>0.13</v>
      </c>
      <c r="AB331" s="74">
        <v>7.2999999999999995E-2</v>
      </c>
      <c r="AC331" s="74">
        <v>0.18</v>
      </c>
    </row>
    <row r="332" spans="2:29" x14ac:dyDescent="0.2">
      <c r="B332" s="66" t="s">
        <v>621</v>
      </c>
      <c r="C332" s="67" t="s">
        <v>265</v>
      </c>
      <c r="D332" s="68">
        <v>7</v>
      </c>
      <c r="F332" s="66" t="s">
        <v>386</v>
      </c>
      <c r="G332" s="67" t="s">
        <v>247</v>
      </c>
      <c r="H332" s="68">
        <v>72</v>
      </c>
      <c r="I332" s="76">
        <v>670</v>
      </c>
      <c r="J332" s="70">
        <v>-35</v>
      </c>
      <c r="K332" s="70">
        <v>-38</v>
      </c>
      <c r="L332" s="70">
        <v>29</v>
      </c>
      <c r="M332" s="70">
        <v>20</v>
      </c>
      <c r="N332" s="76">
        <v>6150</v>
      </c>
      <c r="O332" s="76">
        <v>22</v>
      </c>
      <c r="P332" s="77">
        <v>80</v>
      </c>
      <c r="Q332" s="77">
        <v>305</v>
      </c>
      <c r="R332" s="72">
        <v>0.5</v>
      </c>
      <c r="S332" s="77">
        <v>430</v>
      </c>
      <c r="T332" s="77">
        <v>110</v>
      </c>
      <c r="U332" s="73">
        <v>1.9</v>
      </c>
      <c r="V332" s="73">
        <v>0.1</v>
      </c>
      <c r="W332" s="72">
        <v>0.3</v>
      </c>
      <c r="X332" s="72">
        <v>0.4</v>
      </c>
      <c r="Y332" s="72">
        <v>0.12</v>
      </c>
      <c r="Z332" s="74">
        <v>0.06</v>
      </c>
      <c r="AA332" s="74">
        <v>0.02</v>
      </c>
      <c r="AB332" s="74">
        <v>0.01</v>
      </c>
      <c r="AC332" s="74">
        <v>0.06</v>
      </c>
    </row>
    <row r="333" spans="2:29" x14ac:dyDescent="0.2">
      <c r="B333" s="66" t="s">
        <v>699</v>
      </c>
      <c r="C333" s="67" t="s">
        <v>265</v>
      </c>
      <c r="D333" s="68">
        <v>8</v>
      </c>
      <c r="F333" s="66" t="s">
        <v>754</v>
      </c>
      <c r="G333" s="67" t="s">
        <v>257</v>
      </c>
      <c r="H333" s="68">
        <v>42</v>
      </c>
      <c r="I333" s="70">
        <v>25</v>
      </c>
      <c r="J333" s="70">
        <v>-39</v>
      </c>
      <c r="K333" s="70">
        <v>-41</v>
      </c>
      <c r="L333" s="70">
        <v>24</v>
      </c>
      <c r="M333" s="70">
        <v>17</v>
      </c>
      <c r="N333" s="70">
        <v>8650</v>
      </c>
      <c r="O333" s="70">
        <v>8</v>
      </c>
      <c r="P333" s="71">
        <v>54</v>
      </c>
      <c r="Q333" s="71">
        <v>280</v>
      </c>
      <c r="R333" s="72">
        <v>0.8</v>
      </c>
      <c r="S333" s="71">
        <v>525</v>
      </c>
      <c r="T333" s="71">
        <v>260</v>
      </c>
      <c r="U333" s="73">
        <v>4.8</v>
      </c>
      <c r="V333" s="73">
        <v>0.2</v>
      </c>
      <c r="W333" s="72">
        <v>0.53</v>
      </c>
      <c r="X333" s="72">
        <v>0.72</v>
      </c>
      <c r="Y333" s="72">
        <v>0.12</v>
      </c>
      <c r="Z333" s="74">
        <v>6.5000000000000002E-2</v>
      </c>
      <c r="AA333" s="74">
        <v>3.3000000000000002E-2</v>
      </c>
      <c r="AB333" s="74">
        <v>0.01</v>
      </c>
      <c r="AC333" s="74">
        <v>5.8999999999999997E-2</v>
      </c>
    </row>
    <row r="334" spans="2:29" x14ac:dyDescent="0.2">
      <c r="B334" s="66" t="s">
        <v>702</v>
      </c>
      <c r="C334" s="67" t="s">
        <v>265</v>
      </c>
      <c r="D334" s="68">
        <v>9</v>
      </c>
      <c r="F334" s="66" t="s">
        <v>755</v>
      </c>
      <c r="G334" s="67" t="s">
        <v>257</v>
      </c>
      <c r="H334" s="68">
        <v>43</v>
      </c>
      <c r="I334" s="70">
        <v>20</v>
      </c>
      <c r="J334" s="70">
        <v>-36</v>
      </c>
      <c r="K334" s="70">
        <v>-38</v>
      </c>
      <c r="L334" s="70">
        <v>29</v>
      </c>
      <c r="M334" s="70">
        <v>17</v>
      </c>
      <c r="N334" s="70">
        <v>8250</v>
      </c>
      <c r="O334" s="70">
        <v>10</v>
      </c>
      <c r="P334" s="71">
        <v>80</v>
      </c>
      <c r="Q334" s="71">
        <v>410</v>
      </c>
      <c r="R334" s="72">
        <v>0.85</v>
      </c>
      <c r="S334" s="71">
        <v>610</v>
      </c>
      <c r="T334" s="71">
        <v>180</v>
      </c>
      <c r="U334" s="73">
        <v>4.5</v>
      </c>
      <c r="V334" s="73">
        <v>0.3</v>
      </c>
      <c r="W334" s="72">
        <v>0.64</v>
      </c>
      <c r="X334" s="72">
        <v>0.83</v>
      </c>
      <c r="Y334" s="72">
        <v>0.12</v>
      </c>
      <c r="Z334" s="74">
        <v>5.6000000000000001E-2</v>
      </c>
      <c r="AA334" s="74">
        <v>2.3E-2</v>
      </c>
      <c r="AB334" s="74">
        <v>6.0000000000000001E-3</v>
      </c>
      <c r="AC334" s="74">
        <v>5.8999999999999997E-2</v>
      </c>
    </row>
    <row r="335" spans="2:29" x14ac:dyDescent="0.2">
      <c r="B335" s="66" t="s">
        <v>719</v>
      </c>
      <c r="C335" s="67" t="s">
        <v>265</v>
      </c>
      <c r="D335" s="68">
        <v>10</v>
      </c>
      <c r="F335" s="66" t="s">
        <v>706</v>
      </c>
      <c r="G335" s="67" t="s">
        <v>258</v>
      </c>
      <c r="H335" s="68">
        <v>12</v>
      </c>
      <c r="I335" s="70">
        <v>550</v>
      </c>
      <c r="J335" s="70">
        <v>-35</v>
      </c>
      <c r="K335" s="70">
        <v>-37</v>
      </c>
      <c r="L335" s="70">
        <v>23</v>
      </c>
      <c r="M335" s="70">
        <v>18</v>
      </c>
      <c r="N335" s="70">
        <v>7900</v>
      </c>
      <c r="O335" s="70">
        <v>15</v>
      </c>
      <c r="P335" s="71">
        <v>70</v>
      </c>
      <c r="Q335" s="71">
        <v>500</v>
      </c>
      <c r="R335" s="72">
        <v>0.82</v>
      </c>
      <c r="S335" s="71">
        <v>880</v>
      </c>
      <c r="T335" s="71">
        <v>140</v>
      </c>
      <c r="U335" s="73">
        <v>4.3</v>
      </c>
      <c r="V335" s="73">
        <v>0.3</v>
      </c>
      <c r="W335" s="72">
        <v>0.31</v>
      </c>
      <c r="X335" s="72">
        <v>0.4</v>
      </c>
      <c r="Y335" s="72">
        <v>0.12</v>
      </c>
      <c r="Z335" s="74">
        <v>7.5999999999999998E-2</v>
      </c>
      <c r="AA335" s="74">
        <v>3.9E-2</v>
      </c>
      <c r="AB335" s="74">
        <v>1.2E-2</v>
      </c>
      <c r="AC335" s="74">
        <v>5.8999999999999997E-2</v>
      </c>
    </row>
    <row r="336" spans="2:29" x14ac:dyDescent="0.2">
      <c r="B336" s="66" t="s">
        <v>756</v>
      </c>
      <c r="C336" s="67" t="s">
        <v>265</v>
      </c>
      <c r="D336" s="68">
        <v>11</v>
      </c>
      <c r="F336" s="66" t="s">
        <v>657</v>
      </c>
      <c r="G336" s="67" t="s">
        <v>252</v>
      </c>
      <c r="H336" s="68">
        <v>9</v>
      </c>
      <c r="I336" s="70">
        <v>260</v>
      </c>
      <c r="J336" s="70">
        <v>-34</v>
      </c>
      <c r="K336" s="70">
        <v>-36</v>
      </c>
      <c r="L336" s="70">
        <v>28</v>
      </c>
      <c r="M336" s="70">
        <v>23</v>
      </c>
      <c r="N336" s="70">
        <v>6000</v>
      </c>
      <c r="O336" s="70">
        <v>28</v>
      </c>
      <c r="P336" s="71">
        <v>97</v>
      </c>
      <c r="Q336" s="71">
        <v>445</v>
      </c>
      <c r="R336" s="72">
        <v>0.65</v>
      </c>
      <c r="S336" s="71">
        <v>560</v>
      </c>
      <c r="T336" s="71">
        <v>180</v>
      </c>
      <c r="U336" s="73">
        <v>1.9</v>
      </c>
      <c r="V336" s="73">
        <v>0.2</v>
      </c>
      <c r="W336" s="72">
        <v>0.28000000000000003</v>
      </c>
      <c r="X336" s="72">
        <v>0.37</v>
      </c>
      <c r="Y336" s="72">
        <v>0.12</v>
      </c>
      <c r="Z336" s="74">
        <v>5.6000000000000001E-2</v>
      </c>
      <c r="AA336" s="74">
        <v>2.3E-2</v>
      </c>
      <c r="AB336" s="74">
        <v>6.0000000000000001E-3</v>
      </c>
      <c r="AC336" s="74">
        <v>5.8999999999999997E-2</v>
      </c>
    </row>
    <row r="337" spans="2:29" x14ac:dyDescent="0.2">
      <c r="B337" s="66" t="s">
        <v>757</v>
      </c>
      <c r="C337" s="67" t="s">
        <v>265</v>
      </c>
      <c r="D337" s="68">
        <v>12</v>
      </c>
      <c r="F337" s="66" t="s">
        <v>388</v>
      </c>
      <c r="G337" s="67" t="s">
        <v>247</v>
      </c>
      <c r="H337" s="68">
        <v>73</v>
      </c>
      <c r="I337" s="76">
        <v>560</v>
      </c>
      <c r="J337" s="70">
        <v>-35</v>
      </c>
      <c r="K337" s="70">
        <v>-38</v>
      </c>
      <c r="L337" s="70">
        <v>28</v>
      </c>
      <c r="M337" s="70">
        <v>19</v>
      </c>
      <c r="N337" s="76">
        <v>6150</v>
      </c>
      <c r="O337" s="76">
        <v>15</v>
      </c>
      <c r="P337" s="77">
        <v>86</v>
      </c>
      <c r="Q337" s="77">
        <v>375</v>
      </c>
      <c r="R337" s="72">
        <v>0.57999999999999996</v>
      </c>
      <c r="S337" s="77">
        <v>475</v>
      </c>
      <c r="T337" s="77">
        <v>80</v>
      </c>
      <c r="U337" s="73">
        <v>1.6</v>
      </c>
      <c r="V337" s="73">
        <v>0.1</v>
      </c>
      <c r="W337" s="72">
        <v>0.31</v>
      </c>
      <c r="X337" s="72">
        <v>0.4</v>
      </c>
      <c r="Y337" s="72">
        <v>0.12</v>
      </c>
      <c r="Z337" s="74">
        <v>5.6000000000000001E-2</v>
      </c>
      <c r="AA337" s="74">
        <v>2.3E-2</v>
      </c>
      <c r="AB337" s="74">
        <v>6.0000000000000001E-3</v>
      </c>
      <c r="AC337" s="74">
        <v>5.8999999999999997E-2</v>
      </c>
    </row>
    <row r="338" spans="2:29" x14ac:dyDescent="0.2">
      <c r="B338" s="66" t="s">
        <v>758</v>
      </c>
      <c r="C338" s="67" t="s">
        <v>265</v>
      </c>
      <c r="D338" s="68">
        <v>13</v>
      </c>
      <c r="F338" s="66" t="s">
        <v>759</v>
      </c>
      <c r="G338" s="67" t="s">
        <v>257</v>
      </c>
      <c r="H338" s="68">
        <v>44</v>
      </c>
      <c r="I338" s="70">
        <v>65</v>
      </c>
      <c r="J338" s="70">
        <v>-25</v>
      </c>
      <c r="K338" s="70">
        <v>-27</v>
      </c>
      <c r="L338" s="70">
        <v>29</v>
      </c>
      <c r="M338" s="70">
        <v>23</v>
      </c>
      <c r="N338" s="70">
        <v>4900</v>
      </c>
      <c r="O338" s="70">
        <v>23</v>
      </c>
      <c r="P338" s="71">
        <v>96</v>
      </c>
      <c r="Q338" s="71">
        <v>910</v>
      </c>
      <c r="R338" s="72">
        <v>1.04</v>
      </c>
      <c r="S338" s="71">
        <v>1075</v>
      </c>
      <c r="T338" s="71">
        <v>160</v>
      </c>
      <c r="U338" s="73">
        <v>2.4</v>
      </c>
      <c r="V338" s="73">
        <v>0.4</v>
      </c>
      <c r="W338" s="72">
        <v>0.31</v>
      </c>
      <c r="X338" s="72">
        <v>0.4</v>
      </c>
      <c r="Y338" s="72">
        <v>0.64</v>
      </c>
      <c r="Z338" s="74">
        <v>0.31</v>
      </c>
      <c r="AA338" s="74">
        <v>0.14000000000000001</v>
      </c>
      <c r="AB338" s="74">
        <v>4.2999999999999997E-2</v>
      </c>
      <c r="AC338" s="74">
        <v>0.4</v>
      </c>
    </row>
    <row r="339" spans="2:29" x14ac:dyDescent="0.2">
      <c r="B339" s="66" t="s">
        <v>760</v>
      </c>
      <c r="C339" s="67" t="s">
        <v>265</v>
      </c>
      <c r="D339" s="68">
        <v>14</v>
      </c>
      <c r="F339" s="66" t="s">
        <v>761</v>
      </c>
      <c r="G339" s="67" t="s">
        <v>257</v>
      </c>
      <c r="H339" s="68">
        <v>45</v>
      </c>
      <c r="I339" s="70">
        <v>420</v>
      </c>
      <c r="J339" s="70">
        <v>-27</v>
      </c>
      <c r="K339" s="70">
        <v>-29</v>
      </c>
      <c r="L339" s="70">
        <v>27</v>
      </c>
      <c r="M339" s="70">
        <v>22</v>
      </c>
      <c r="N339" s="70">
        <v>5250</v>
      </c>
      <c r="O339" s="70">
        <v>23</v>
      </c>
      <c r="P339" s="71">
        <v>91</v>
      </c>
      <c r="Q339" s="71">
        <v>790</v>
      </c>
      <c r="R339" s="72">
        <v>0.94</v>
      </c>
      <c r="S339" s="71">
        <v>1025</v>
      </c>
      <c r="T339" s="71">
        <v>160</v>
      </c>
      <c r="U339" s="73">
        <v>3.2</v>
      </c>
      <c r="V339" s="73">
        <v>0.6</v>
      </c>
      <c r="W339" s="72">
        <v>0.26</v>
      </c>
      <c r="X339" s="72">
        <v>0.35</v>
      </c>
      <c r="Y339" s="72">
        <v>0.4</v>
      </c>
      <c r="Z339" s="74">
        <v>0.22</v>
      </c>
      <c r="AA339" s="74">
        <v>9.0999999999999998E-2</v>
      </c>
      <c r="AB339" s="74">
        <v>3.1E-2</v>
      </c>
      <c r="AC339" s="74">
        <v>0.27</v>
      </c>
    </row>
    <row r="340" spans="2:29" x14ac:dyDescent="0.2">
      <c r="B340" s="66" t="s">
        <v>762</v>
      </c>
      <c r="C340" s="67" t="s">
        <v>265</v>
      </c>
      <c r="D340" s="68">
        <v>15</v>
      </c>
      <c r="F340" s="66" t="s">
        <v>390</v>
      </c>
      <c r="G340" s="67" t="s">
        <v>247</v>
      </c>
      <c r="H340" s="68">
        <v>74</v>
      </c>
      <c r="I340" s="76">
        <v>855</v>
      </c>
      <c r="J340" s="70">
        <v>-33</v>
      </c>
      <c r="K340" s="70">
        <v>-35</v>
      </c>
      <c r="L340" s="70">
        <v>29</v>
      </c>
      <c r="M340" s="70">
        <v>18</v>
      </c>
      <c r="N340" s="76">
        <v>5700</v>
      </c>
      <c r="O340" s="76">
        <v>23</v>
      </c>
      <c r="P340" s="77">
        <v>92</v>
      </c>
      <c r="Q340" s="77">
        <v>350</v>
      </c>
      <c r="R340" s="72">
        <v>0.53</v>
      </c>
      <c r="S340" s="77">
        <v>450</v>
      </c>
      <c r="T340" s="77">
        <v>180</v>
      </c>
      <c r="U340" s="73">
        <v>2.1</v>
      </c>
      <c r="V340" s="73">
        <v>0.1</v>
      </c>
      <c r="W340" s="72">
        <v>0.3</v>
      </c>
      <c r="X340" s="72">
        <v>0.4</v>
      </c>
      <c r="Y340" s="72">
        <v>0.12</v>
      </c>
      <c r="Z340" s="74">
        <v>5.6000000000000001E-2</v>
      </c>
      <c r="AA340" s="74">
        <v>2.3E-2</v>
      </c>
      <c r="AB340" s="74">
        <v>1.2E-2</v>
      </c>
      <c r="AC340" s="74">
        <v>5.8999999999999997E-2</v>
      </c>
    </row>
    <row r="341" spans="2:29" x14ac:dyDescent="0.2">
      <c r="B341" s="66" t="s">
        <v>280</v>
      </c>
      <c r="C341" s="67" t="s">
        <v>267</v>
      </c>
      <c r="D341" s="68">
        <v>1</v>
      </c>
      <c r="F341" s="66" t="s">
        <v>566</v>
      </c>
      <c r="G341" s="67" t="s">
        <v>224</v>
      </c>
      <c r="H341" s="68">
        <v>40</v>
      </c>
      <c r="I341" s="70">
        <v>3</v>
      </c>
      <c r="J341" s="70">
        <v>-6</v>
      </c>
      <c r="K341" s="70">
        <v>-8</v>
      </c>
      <c r="L341" s="70">
        <v>27</v>
      </c>
      <c r="M341" s="70">
        <v>19</v>
      </c>
      <c r="N341" s="70">
        <v>3000</v>
      </c>
      <c r="O341" s="70">
        <v>10</v>
      </c>
      <c r="P341" s="71">
        <v>80</v>
      </c>
      <c r="Q341" s="71">
        <v>1000</v>
      </c>
      <c r="R341" s="72">
        <v>1.1399999999999999</v>
      </c>
      <c r="S341" s="71">
        <v>1050</v>
      </c>
      <c r="T341" s="71">
        <v>160</v>
      </c>
      <c r="U341" s="73">
        <v>1.3</v>
      </c>
      <c r="V341" s="73">
        <v>0.2</v>
      </c>
      <c r="W341" s="72">
        <v>0.37</v>
      </c>
      <c r="X341" s="72">
        <v>0.49</v>
      </c>
      <c r="Y341" s="72">
        <v>1.1000000000000001</v>
      </c>
      <c r="Z341" s="74">
        <v>0.73</v>
      </c>
      <c r="AA341" s="74">
        <v>0.35</v>
      </c>
      <c r="AB341" s="74">
        <v>0.18</v>
      </c>
      <c r="AC341" s="74">
        <v>0.54</v>
      </c>
    </row>
    <row r="342" spans="2:29" x14ac:dyDescent="0.2">
      <c r="B342" s="66" t="s">
        <v>299</v>
      </c>
      <c r="C342" s="67" t="s">
        <v>267</v>
      </c>
      <c r="D342" s="68">
        <v>2</v>
      </c>
      <c r="F342" s="66" t="s">
        <v>392</v>
      </c>
      <c r="G342" s="67" t="s">
        <v>247</v>
      </c>
      <c r="H342" s="68">
        <v>75</v>
      </c>
      <c r="I342" s="76">
        <v>1600</v>
      </c>
      <c r="J342" s="70">
        <v>-33</v>
      </c>
      <c r="K342" s="70">
        <v>-34</v>
      </c>
      <c r="L342" s="70">
        <v>27</v>
      </c>
      <c r="M342" s="70">
        <v>14</v>
      </c>
      <c r="N342" s="76">
        <v>6700</v>
      </c>
      <c r="O342" s="76">
        <v>11</v>
      </c>
      <c r="P342" s="77">
        <v>55</v>
      </c>
      <c r="Q342" s="77">
        <v>275</v>
      </c>
      <c r="R342" s="72">
        <v>0.59</v>
      </c>
      <c r="S342" s="77">
        <v>580</v>
      </c>
      <c r="T342" s="77">
        <v>80</v>
      </c>
      <c r="U342" s="73">
        <v>4.5</v>
      </c>
      <c r="V342" s="73">
        <v>0.1</v>
      </c>
      <c r="W342" s="72">
        <v>0.39</v>
      </c>
      <c r="X342" s="72">
        <v>0.5</v>
      </c>
      <c r="Y342" s="72">
        <v>0.25</v>
      </c>
      <c r="Z342" s="74">
        <v>0.14000000000000001</v>
      </c>
      <c r="AA342" s="74">
        <v>7.0000000000000007E-2</v>
      </c>
      <c r="AB342" s="74">
        <v>0.04</v>
      </c>
      <c r="AC342" s="74">
        <v>0.12</v>
      </c>
    </row>
    <row r="343" spans="2:29" x14ac:dyDescent="0.2">
      <c r="B343" s="66" t="s">
        <v>307</v>
      </c>
      <c r="C343" s="67" t="s">
        <v>267</v>
      </c>
      <c r="D343" s="68">
        <v>3</v>
      </c>
      <c r="F343" s="66" t="s">
        <v>763</v>
      </c>
      <c r="G343" s="67" t="s">
        <v>264</v>
      </c>
      <c r="H343" s="68">
        <v>101</v>
      </c>
      <c r="I343" s="70">
        <v>240</v>
      </c>
      <c r="J343" s="70">
        <v>-24</v>
      </c>
      <c r="K343" s="70">
        <v>-26</v>
      </c>
      <c r="L343" s="70">
        <v>30</v>
      </c>
      <c r="M343" s="70">
        <v>23</v>
      </c>
      <c r="N343" s="70">
        <v>4550</v>
      </c>
      <c r="O343" s="70">
        <v>28</v>
      </c>
      <c r="P343" s="71">
        <v>92</v>
      </c>
      <c r="Q343" s="71">
        <v>720</v>
      </c>
      <c r="R343" s="72">
        <v>0.85</v>
      </c>
      <c r="S343" s="71">
        <v>850</v>
      </c>
      <c r="T343" s="71">
        <v>140</v>
      </c>
      <c r="U343" s="73">
        <v>2.2000000000000002</v>
      </c>
      <c r="V343" s="73">
        <v>0.4</v>
      </c>
      <c r="W343" s="72">
        <v>0.27</v>
      </c>
      <c r="X343" s="72">
        <v>0.38</v>
      </c>
      <c r="Y343" s="72">
        <v>0.2</v>
      </c>
      <c r="Z343" s="74">
        <v>0.12</v>
      </c>
      <c r="AA343" s="74">
        <v>6.0999999999999999E-2</v>
      </c>
      <c r="AB343" s="74">
        <v>1.7000000000000001E-2</v>
      </c>
      <c r="AC343" s="74">
        <v>9.5000000000000001E-2</v>
      </c>
    </row>
    <row r="344" spans="2:29" x14ac:dyDescent="0.2">
      <c r="B344" s="66" t="s">
        <v>324</v>
      </c>
      <c r="C344" s="67" t="s">
        <v>267</v>
      </c>
      <c r="D344" s="68">
        <v>4</v>
      </c>
      <c r="F344" s="66" t="s">
        <v>764</v>
      </c>
      <c r="G344" s="67" t="s">
        <v>257</v>
      </c>
      <c r="H344" s="68">
        <v>46</v>
      </c>
      <c r="I344" s="70">
        <v>25</v>
      </c>
      <c r="J344" s="70">
        <v>-26</v>
      </c>
      <c r="K344" s="70">
        <v>-28</v>
      </c>
      <c r="L344" s="70">
        <v>28</v>
      </c>
      <c r="M344" s="70">
        <v>21</v>
      </c>
      <c r="N344" s="70">
        <v>5400</v>
      </c>
      <c r="O344" s="70">
        <v>20</v>
      </c>
      <c r="P344" s="71">
        <v>102</v>
      </c>
      <c r="Q344" s="71">
        <v>640</v>
      </c>
      <c r="R344" s="72">
        <v>0.82</v>
      </c>
      <c r="S344" s="71">
        <v>900</v>
      </c>
      <c r="T344" s="71">
        <v>180</v>
      </c>
      <c r="U344" s="73">
        <v>3.1</v>
      </c>
      <c r="V344" s="73">
        <v>0.6</v>
      </c>
      <c r="W344" s="72">
        <v>0.39</v>
      </c>
      <c r="X344" s="72">
        <v>0.55000000000000004</v>
      </c>
      <c r="Y344" s="72">
        <v>2.2999999999999998</v>
      </c>
      <c r="Z344" s="74">
        <v>1.2</v>
      </c>
      <c r="AA344" s="74">
        <v>0.6</v>
      </c>
      <c r="AB344" s="74">
        <v>0.19</v>
      </c>
      <c r="AC344" s="74">
        <v>1.1000000000000001</v>
      </c>
    </row>
    <row r="345" spans="2:29" x14ac:dyDescent="0.2">
      <c r="B345" s="66" t="s">
        <v>417</v>
      </c>
      <c r="C345" s="67" t="s">
        <v>267</v>
      </c>
      <c r="D345" s="68">
        <v>5</v>
      </c>
      <c r="F345" s="66" t="s">
        <v>394</v>
      </c>
      <c r="G345" s="67" t="s">
        <v>247</v>
      </c>
      <c r="H345" s="68">
        <v>76</v>
      </c>
      <c r="I345" s="76">
        <v>653</v>
      </c>
      <c r="J345" s="70">
        <v>-37</v>
      </c>
      <c r="K345" s="70">
        <v>-40</v>
      </c>
      <c r="L345" s="70">
        <v>27</v>
      </c>
      <c r="M345" s="70">
        <v>19</v>
      </c>
      <c r="N345" s="76">
        <v>5800</v>
      </c>
      <c r="O345" s="76">
        <v>19</v>
      </c>
      <c r="P345" s="77">
        <v>90</v>
      </c>
      <c r="Q345" s="77">
        <v>350</v>
      </c>
      <c r="R345" s="72">
        <v>0.5</v>
      </c>
      <c r="S345" s="77">
        <v>460</v>
      </c>
      <c r="T345" s="77">
        <v>130</v>
      </c>
      <c r="U345" s="73">
        <v>1.8</v>
      </c>
      <c r="V345" s="73">
        <v>0.1</v>
      </c>
      <c r="W345" s="72">
        <v>0.3</v>
      </c>
      <c r="X345" s="72">
        <v>0.41</v>
      </c>
      <c r="Y345" s="72">
        <v>0.12</v>
      </c>
      <c r="Z345" s="74">
        <v>0.06</v>
      </c>
      <c r="AA345" s="74">
        <v>0.02</v>
      </c>
      <c r="AB345" s="74">
        <v>0.01</v>
      </c>
      <c r="AC345" s="74">
        <v>0.06</v>
      </c>
    </row>
    <row r="346" spans="2:29" x14ac:dyDescent="0.2">
      <c r="B346" s="66" t="s">
        <v>466</v>
      </c>
      <c r="C346" s="67" t="s">
        <v>267</v>
      </c>
      <c r="D346" s="68">
        <v>6</v>
      </c>
      <c r="F346" s="66" t="s">
        <v>568</v>
      </c>
      <c r="G346" s="67" t="s">
        <v>224</v>
      </c>
      <c r="H346" s="68">
        <v>41</v>
      </c>
      <c r="I346" s="70">
        <v>15</v>
      </c>
      <c r="J346" s="70">
        <v>-8</v>
      </c>
      <c r="K346" s="70">
        <v>-10</v>
      </c>
      <c r="L346" s="70">
        <v>29</v>
      </c>
      <c r="M346" s="70">
        <v>20</v>
      </c>
      <c r="N346" s="70">
        <v>3100</v>
      </c>
      <c r="O346" s="70">
        <v>8</v>
      </c>
      <c r="P346" s="71">
        <v>112</v>
      </c>
      <c r="Q346" s="71">
        <v>1450</v>
      </c>
      <c r="R346" s="72">
        <v>1.53</v>
      </c>
      <c r="S346" s="71">
        <v>1500</v>
      </c>
      <c r="T346" s="71">
        <v>160</v>
      </c>
      <c r="U346" s="73">
        <v>2.4</v>
      </c>
      <c r="V346" s="73">
        <v>0.2</v>
      </c>
      <c r="W346" s="72">
        <v>0.36</v>
      </c>
      <c r="X346" s="72">
        <v>0.47</v>
      </c>
      <c r="Y346" s="72">
        <v>1.1000000000000001</v>
      </c>
      <c r="Z346" s="74">
        <v>0.71</v>
      </c>
      <c r="AA346" s="74">
        <v>0.33</v>
      </c>
      <c r="AB346" s="74">
        <v>0.17</v>
      </c>
      <c r="AC346" s="74">
        <v>0.53</v>
      </c>
    </row>
    <row r="347" spans="2:29" x14ac:dyDescent="0.2">
      <c r="B347" s="66" t="s">
        <v>485</v>
      </c>
      <c r="C347" s="67" t="s">
        <v>267</v>
      </c>
      <c r="D347" s="68">
        <v>7</v>
      </c>
      <c r="F347" s="66" t="s">
        <v>765</v>
      </c>
      <c r="G347" s="67" t="s">
        <v>264</v>
      </c>
      <c r="H347" s="68">
        <v>102</v>
      </c>
      <c r="I347" s="70">
        <v>240</v>
      </c>
      <c r="J347" s="70">
        <v>-39</v>
      </c>
      <c r="K347" s="70">
        <v>-41</v>
      </c>
      <c r="L347" s="70">
        <v>28</v>
      </c>
      <c r="M347" s="70">
        <v>21</v>
      </c>
      <c r="N347" s="70">
        <v>7150</v>
      </c>
      <c r="O347" s="70">
        <v>18</v>
      </c>
      <c r="P347" s="71">
        <v>97</v>
      </c>
      <c r="Q347" s="71">
        <v>500</v>
      </c>
      <c r="R347" s="72">
        <v>0.78</v>
      </c>
      <c r="S347" s="71">
        <v>680</v>
      </c>
      <c r="T347" s="71">
        <v>140</v>
      </c>
      <c r="U347" s="73">
        <v>2.9</v>
      </c>
      <c r="V347" s="73">
        <v>0.2</v>
      </c>
      <c r="W347" s="72">
        <v>0.24</v>
      </c>
      <c r="X347" s="72">
        <v>0.32</v>
      </c>
      <c r="Y347" s="72">
        <v>0.12</v>
      </c>
      <c r="Z347" s="74">
        <v>5.6000000000000001E-2</v>
      </c>
      <c r="AA347" s="74">
        <v>2.3E-2</v>
      </c>
      <c r="AB347" s="74">
        <v>6.0000000000000001E-3</v>
      </c>
      <c r="AC347" s="74">
        <v>5.8999999999999997E-2</v>
      </c>
    </row>
    <row r="348" spans="2:29" x14ac:dyDescent="0.2">
      <c r="B348" s="66" t="s">
        <v>506</v>
      </c>
      <c r="C348" s="67" t="s">
        <v>267</v>
      </c>
      <c r="D348" s="68">
        <v>8</v>
      </c>
      <c r="F348" s="66" t="s">
        <v>766</v>
      </c>
      <c r="G348" s="67" t="s">
        <v>257</v>
      </c>
      <c r="H348" s="68">
        <v>47</v>
      </c>
      <c r="I348" s="70">
        <v>165</v>
      </c>
      <c r="J348" s="70">
        <v>-29</v>
      </c>
      <c r="K348" s="70">
        <v>-31</v>
      </c>
      <c r="L348" s="70">
        <v>29</v>
      </c>
      <c r="M348" s="70">
        <v>22</v>
      </c>
      <c r="N348" s="70">
        <v>5400</v>
      </c>
      <c r="O348" s="70">
        <v>23</v>
      </c>
      <c r="P348" s="71">
        <v>96</v>
      </c>
      <c r="Q348" s="71">
        <v>720</v>
      </c>
      <c r="R348" s="72">
        <v>0.87</v>
      </c>
      <c r="S348" s="71">
        <v>930</v>
      </c>
      <c r="T348" s="71">
        <v>160</v>
      </c>
      <c r="U348" s="73">
        <v>3.4</v>
      </c>
      <c r="V348" s="73">
        <v>0.4</v>
      </c>
      <c r="W348" s="72">
        <v>0.26</v>
      </c>
      <c r="X348" s="72">
        <v>0.35</v>
      </c>
      <c r="Y348" s="72">
        <v>0.28999999999999998</v>
      </c>
      <c r="Z348" s="74">
        <v>0.18</v>
      </c>
      <c r="AA348" s="74">
        <v>9.0999999999999998E-2</v>
      </c>
      <c r="AB348" s="74">
        <v>0.03</v>
      </c>
      <c r="AC348" s="74">
        <v>0.16</v>
      </c>
    </row>
    <row r="349" spans="2:29" x14ac:dyDescent="0.2">
      <c r="B349" s="66" t="s">
        <v>508</v>
      </c>
      <c r="C349" s="67" t="s">
        <v>267</v>
      </c>
      <c r="D349" s="68">
        <v>9</v>
      </c>
      <c r="F349" s="66" t="s">
        <v>767</v>
      </c>
      <c r="G349" s="67" t="s">
        <v>257</v>
      </c>
      <c r="H349" s="68">
        <v>48</v>
      </c>
      <c r="I349" s="70">
        <v>35</v>
      </c>
      <c r="J349" s="70">
        <v>-24</v>
      </c>
      <c r="K349" s="70">
        <v>-26</v>
      </c>
      <c r="L349" s="70">
        <v>29</v>
      </c>
      <c r="M349" s="70">
        <v>23</v>
      </c>
      <c r="N349" s="70">
        <v>4600</v>
      </c>
      <c r="O349" s="70">
        <v>23</v>
      </c>
      <c r="P349" s="71">
        <v>96</v>
      </c>
      <c r="Q349" s="71">
        <v>830</v>
      </c>
      <c r="R349" s="72">
        <v>0.93</v>
      </c>
      <c r="S349" s="71">
        <v>1025</v>
      </c>
      <c r="T349" s="71">
        <v>160</v>
      </c>
      <c r="U349" s="73">
        <v>2.6</v>
      </c>
      <c r="V349" s="73">
        <v>0.4</v>
      </c>
      <c r="W349" s="72">
        <v>0.32</v>
      </c>
      <c r="X349" s="72">
        <v>0.4</v>
      </c>
      <c r="Y349" s="72">
        <v>0.68</v>
      </c>
      <c r="Z349" s="74">
        <v>0.34</v>
      </c>
      <c r="AA349" s="74">
        <v>0.14000000000000001</v>
      </c>
      <c r="AB349" s="74">
        <v>4.8000000000000001E-2</v>
      </c>
      <c r="AC349" s="74">
        <v>0.43</v>
      </c>
    </row>
    <row r="350" spans="2:29" x14ac:dyDescent="0.2">
      <c r="B350" s="66" t="s">
        <v>585</v>
      </c>
      <c r="C350" s="67" t="s">
        <v>267</v>
      </c>
      <c r="D350" s="68">
        <v>10</v>
      </c>
      <c r="F350" s="66" t="s">
        <v>768</v>
      </c>
      <c r="G350" s="67" t="s">
        <v>264</v>
      </c>
      <c r="H350" s="68">
        <v>103</v>
      </c>
      <c r="I350" s="70">
        <v>190</v>
      </c>
      <c r="J350" s="70">
        <v>-15</v>
      </c>
      <c r="K350" s="70">
        <v>-17</v>
      </c>
      <c r="L350" s="70">
        <v>31</v>
      </c>
      <c r="M350" s="70">
        <v>24</v>
      </c>
      <c r="N350" s="70">
        <v>3600</v>
      </c>
      <c r="O350" s="70">
        <v>28</v>
      </c>
      <c r="P350" s="71">
        <v>113</v>
      </c>
      <c r="Q350" s="71">
        <v>800</v>
      </c>
      <c r="R350" s="72">
        <v>0.91</v>
      </c>
      <c r="S350" s="71">
        <v>875</v>
      </c>
      <c r="T350" s="71">
        <v>180</v>
      </c>
      <c r="U350" s="73">
        <v>0.8</v>
      </c>
      <c r="V350" s="73">
        <v>0.4</v>
      </c>
      <c r="W350" s="72">
        <v>0.35</v>
      </c>
      <c r="X350" s="72">
        <v>0.47</v>
      </c>
      <c r="Y350" s="72">
        <v>0.2</v>
      </c>
      <c r="Z350" s="74">
        <v>9.6000000000000002E-2</v>
      </c>
      <c r="AA350" s="74">
        <v>4.2999999999999997E-2</v>
      </c>
      <c r="AB350" s="74">
        <v>1.2E-2</v>
      </c>
      <c r="AC350" s="74">
        <v>0.14000000000000001</v>
      </c>
    </row>
    <row r="351" spans="2:29" x14ac:dyDescent="0.2">
      <c r="B351" s="66" t="s">
        <v>720</v>
      </c>
      <c r="C351" s="67" t="s">
        <v>267</v>
      </c>
      <c r="D351" s="68">
        <v>11</v>
      </c>
      <c r="F351" s="66" t="s">
        <v>395</v>
      </c>
      <c r="G351" s="67" t="s">
        <v>247</v>
      </c>
      <c r="H351" s="68">
        <v>77</v>
      </c>
      <c r="I351" s="76">
        <v>730</v>
      </c>
      <c r="J351" s="70">
        <v>-35</v>
      </c>
      <c r="K351" s="70">
        <v>-38</v>
      </c>
      <c r="L351" s="70">
        <v>27</v>
      </c>
      <c r="M351" s="70">
        <v>19</v>
      </c>
      <c r="N351" s="76">
        <v>5600</v>
      </c>
      <c r="O351" s="76">
        <v>20</v>
      </c>
      <c r="P351" s="77">
        <v>90</v>
      </c>
      <c r="Q351" s="77">
        <v>400</v>
      </c>
      <c r="R351" s="72">
        <v>0.54</v>
      </c>
      <c r="S351" s="77">
        <v>485</v>
      </c>
      <c r="T351" s="77">
        <v>160</v>
      </c>
      <c r="U351" s="73">
        <v>1.9</v>
      </c>
      <c r="V351" s="73">
        <v>0.1</v>
      </c>
      <c r="W351" s="72">
        <v>0.31</v>
      </c>
      <c r="X351" s="72">
        <v>0.42</v>
      </c>
      <c r="Y351" s="72">
        <v>0.12</v>
      </c>
      <c r="Z351" s="74">
        <v>0.06</v>
      </c>
      <c r="AA351" s="74">
        <v>0.02</v>
      </c>
      <c r="AB351" s="74">
        <v>0.01</v>
      </c>
      <c r="AC351" s="74">
        <v>0.06</v>
      </c>
    </row>
    <row r="352" spans="2:29" x14ac:dyDescent="0.2">
      <c r="B352" s="66" t="s">
        <v>722</v>
      </c>
      <c r="C352" s="67" t="s">
        <v>267</v>
      </c>
      <c r="D352" s="68">
        <v>12</v>
      </c>
      <c r="F352" s="66" t="s">
        <v>769</v>
      </c>
      <c r="G352" s="67" t="s">
        <v>257</v>
      </c>
      <c r="H352" s="68">
        <v>49</v>
      </c>
      <c r="I352" s="70">
        <v>155</v>
      </c>
      <c r="J352" s="70">
        <v>-28</v>
      </c>
      <c r="K352" s="70">
        <v>-30</v>
      </c>
      <c r="L352" s="70">
        <v>29</v>
      </c>
      <c r="M352" s="70">
        <v>22</v>
      </c>
      <c r="N352" s="70">
        <v>4800</v>
      </c>
      <c r="O352" s="70">
        <v>23</v>
      </c>
      <c r="P352" s="71">
        <v>102</v>
      </c>
      <c r="Q352" s="71">
        <v>850</v>
      </c>
      <c r="R352" s="72">
        <v>0.98</v>
      </c>
      <c r="S352" s="71">
        <v>1100</v>
      </c>
      <c r="T352" s="71">
        <v>160</v>
      </c>
      <c r="U352" s="73">
        <v>2</v>
      </c>
      <c r="V352" s="73">
        <v>0.6</v>
      </c>
      <c r="W352" s="72">
        <v>0.23</v>
      </c>
      <c r="X352" s="72">
        <v>0.32</v>
      </c>
      <c r="Y352" s="72">
        <v>0.38</v>
      </c>
      <c r="Z352" s="74">
        <v>0.21</v>
      </c>
      <c r="AA352" s="74">
        <v>8.6999999999999994E-2</v>
      </c>
      <c r="AB352" s="74">
        <v>3.1E-2</v>
      </c>
      <c r="AC352" s="74">
        <v>0.2</v>
      </c>
    </row>
    <row r="353" spans="2:29" x14ac:dyDescent="0.2">
      <c r="B353" s="66" t="s">
        <v>770</v>
      </c>
      <c r="C353" s="67" t="s">
        <v>267</v>
      </c>
      <c r="D353" s="68">
        <v>13</v>
      </c>
      <c r="F353" s="66" t="s">
        <v>771</v>
      </c>
      <c r="G353" s="67" t="s">
        <v>257</v>
      </c>
      <c r="H353" s="68">
        <v>50</v>
      </c>
      <c r="I353" s="70">
        <v>30</v>
      </c>
      <c r="J353" s="70">
        <v>-23</v>
      </c>
      <c r="K353" s="70">
        <v>-26</v>
      </c>
      <c r="L353" s="70">
        <v>29</v>
      </c>
      <c r="M353" s="70">
        <v>23</v>
      </c>
      <c r="N353" s="70">
        <v>4550</v>
      </c>
      <c r="O353" s="70">
        <v>23</v>
      </c>
      <c r="P353" s="71">
        <v>91</v>
      </c>
      <c r="Q353" s="71">
        <v>800</v>
      </c>
      <c r="R353" s="72">
        <v>0.91</v>
      </c>
      <c r="S353" s="71">
        <v>950</v>
      </c>
      <c r="T353" s="71">
        <v>180</v>
      </c>
      <c r="U353" s="73">
        <v>2.2999999999999998</v>
      </c>
      <c r="V353" s="73">
        <v>0.4</v>
      </c>
      <c r="W353" s="72">
        <v>0.31</v>
      </c>
      <c r="X353" s="72">
        <v>0.4</v>
      </c>
      <c r="Y353" s="72">
        <v>0.7</v>
      </c>
      <c r="Z353" s="74">
        <v>0.34</v>
      </c>
      <c r="AA353" s="74">
        <v>0.14000000000000001</v>
      </c>
      <c r="AB353" s="74">
        <v>4.8000000000000001E-2</v>
      </c>
      <c r="AC353" s="74">
        <v>0.43</v>
      </c>
    </row>
    <row r="354" spans="2:29" x14ac:dyDescent="0.2">
      <c r="B354" s="66" t="s">
        <v>772</v>
      </c>
      <c r="C354" s="67" t="s">
        <v>267</v>
      </c>
      <c r="D354" s="68">
        <v>14</v>
      </c>
      <c r="F354" s="66" t="s">
        <v>397</v>
      </c>
      <c r="G354" s="67" t="s">
        <v>247</v>
      </c>
      <c r="H354" s="68">
        <v>78</v>
      </c>
      <c r="I354" s="76">
        <v>910</v>
      </c>
      <c r="J354" s="70">
        <v>-30</v>
      </c>
      <c r="K354" s="70">
        <v>-33</v>
      </c>
      <c r="L354" s="70">
        <v>31</v>
      </c>
      <c r="M354" s="70">
        <v>18</v>
      </c>
      <c r="N354" s="76">
        <v>4650</v>
      </c>
      <c r="O354" s="76">
        <v>20</v>
      </c>
      <c r="P354" s="77">
        <v>97</v>
      </c>
      <c r="Q354" s="77">
        <v>250</v>
      </c>
      <c r="R354" s="72">
        <v>0.26</v>
      </c>
      <c r="S354" s="77">
        <v>390</v>
      </c>
      <c r="T354" s="77">
        <v>200</v>
      </c>
      <c r="U354" s="73">
        <v>1.2</v>
      </c>
      <c r="V354" s="73">
        <v>0.1</v>
      </c>
      <c r="W354" s="72">
        <v>0.64</v>
      </c>
      <c r="X354" s="72">
        <v>0.82</v>
      </c>
      <c r="Y354" s="72">
        <v>0.15</v>
      </c>
      <c r="Z354" s="74">
        <v>8.6999999999999994E-2</v>
      </c>
      <c r="AA354" s="74">
        <v>4.3999999999999997E-2</v>
      </c>
      <c r="AB354" s="74">
        <v>2.5999999999999999E-2</v>
      </c>
      <c r="AC354" s="74">
        <v>8.6999999999999994E-2</v>
      </c>
    </row>
    <row r="355" spans="2:29" x14ac:dyDescent="0.2">
      <c r="B355" s="66" t="s">
        <v>773</v>
      </c>
      <c r="C355" s="67" t="s">
        <v>267</v>
      </c>
      <c r="D355" s="68">
        <v>15</v>
      </c>
      <c r="F355" s="66" t="s">
        <v>774</v>
      </c>
      <c r="G355" s="67" t="s">
        <v>257</v>
      </c>
      <c r="H355" s="68">
        <v>51</v>
      </c>
      <c r="I355" s="70">
        <v>50</v>
      </c>
      <c r="J355" s="70">
        <v>-25</v>
      </c>
      <c r="K355" s="70">
        <v>-28</v>
      </c>
      <c r="L355" s="70">
        <v>28</v>
      </c>
      <c r="M355" s="70">
        <v>22</v>
      </c>
      <c r="N355" s="70">
        <v>5200</v>
      </c>
      <c r="O355" s="70">
        <v>20</v>
      </c>
      <c r="P355" s="71">
        <v>107</v>
      </c>
      <c r="Q355" s="71">
        <v>920</v>
      </c>
      <c r="R355" s="72">
        <v>1.04</v>
      </c>
      <c r="S355" s="71">
        <v>1200</v>
      </c>
      <c r="T355" s="71">
        <v>160</v>
      </c>
      <c r="U355" s="73">
        <v>3.3</v>
      </c>
      <c r="V355" s="73">
        <v>0.6</v>
      </c>
      <c r="W355" s="72">
        <v>0.38</v>
      </c>
      <c r="X355" s="72">
        <v>0.53</v>
      </c>
      <c r="Y355" s="72">
        <v>0.57999999999999996</v>
      </c>
      <c r="Z355" s="74">
        <v>0.3</v>
      </c>
      <c r="AA355" s="74">
        <v>0.14000000000000001</v>
      </c>
      <c r="AB355" s="74">
        <v>4.9000000000000002E-2</v>
      </c>
      <c r="AC355" s="74">
        <v>0.36</v>
      </c>
    </row>
    <row r="356" spans="2:29" x14ac:dyDescent="0.2">
      <c r="B356" s="66" t="s">
        <v>775</v>
      </c>
      <c r="C356" s="67" t="s">
        <v>267</v>
      </c>
      <c r="D356" s="68">
        <v>16</v>
      </c>
      <c r="F356" s="66" t="s">
        <v>569</v>
      </c>
      <c r="G356" s="67" t="s">
        <v>224</v>
      </c>
      <c r="H356" s="68">
        <v>42</v>
      </c>
      <c r="I356" s="70">
        <v>245</v>
      </c>
      <c r="J356" s="70">
        <v>-23</v>
      </c>
      <c r="K356" s="70">
        <v>-25</v>
      </c>
      <c r="L356" s="70">
        <v>33</v>
      </c>
      <c r="M356" s="70">
        <v>20</v>
      </c>
      <c r="N356" s="70">
        <v>3550</v>
      </c>
      <c r="O356" s="70">
        <v>10</v>
      </c>
      <c r="P356" s="71">
        <v>75</v>
      </c>
      <c r="Q356" s="71">
        <v>300</v>
      </c>
      <c r="R356" s="72">
        <v>0.31</v>
      </c>
      <c r="S356" s="71">
        <v>350</v>
      </c>
      <c r="T356" s="71">
        <v>100</v>
      </c>
      <c r="U356" s="73">
        <v>2.1</v>
      </c>
      <c r="V356" s="73">
        <v>0.1</v>
      </c>
      <c r="W356" s="72">
        <v>0.32</v>
      </c>
      <c r="X356" s="72">
        <v>0.44</v>
      </c>
      <c r="Y356" s="72">
        <v>0.6</v>
      </c>
      <c r="Z356" s="74">
        <v>0.44</v>
      </c>
      <c r="AA356" s="74">
        <v>0.26</v>
      </c>
      <c r="AB356" s="74">
        <v>0.14000000000000001</v>
      </c>
      <c r="AC356" s="74">
        <v>0.27</v>
      </c>
    </row>
    <row r="357" spans="2:29" x14ac:dyDescent="0.2">
      <c r="B357" s="66" t="s">
        <v>263</v>
      </c>
      <c r="C357" s="67" t="s">
        <v>264</v>
      </c>
      <c r="D357" s="68">
        <v>1</v>
      </c>
      <c r="F357" s="66" t="s">
        <v>776</v>
      </c>
      <c r="G357" s="67" t="s">
        <v>264</v>
      </c>
      <c r="H357" s="68">
        <v>104</v>
      </c>
      <c r="I357" s="70">
        <v>265</v>
      </c>
      <c r="J357" s="70">
        <v>-24</v>
      </c>
      <c r="K357" s="70">
        <v>-26</v>
      </c>
      <c r="L357" s="70">
        <v>30</v>
      </c>
      <c r="M357" s="70">
        <v>23</v>
      </c>
      <c r="N357" s="70">
        <v>4550</v>
      </c>
      <c r="O357" s="70">
        <v>25</v>
      </c>
      <c r="P357" s="71">
        <v>103</v>
      </c>
      <c r="Q357" s="71">
        <v>720</v>
      </c>
      <c r="R357" s="72">
        <v>0.84</v>
      </c>
      <c r="S357" s="71">
        <v>850</v>
      </c>
      <c r="T357" s="71">
        <v>140</v>
      </c>
      <c r="U357" s="73">
        <v>2.2999999999999998</v>
      </c>
      <c r="V357" s="73">
        <v>0.4</v>
      </c>
      <c r="W357" s="72">
        <v>0.26</v>
      </c>
      <c r="X357" s="72">
        <v>0.38</v>
      </c>
      <c r="Y357" s="72">
        <v>0.18</v>
      </c>
      <c r="Z357" s="74">
        <v>0.11</v>
      </c>
      <c r="AA357" s="74">
        <v>5.7000000000000002E-2</v>
      </c>
      <c r="AB357" s="74">
        <v>1.6E-2</v>
      </c>
      <c r="AC357" s="74">
        <v>8.4000000000000005E-2</v>
      </c>
    </row>
    <row r="358" spans="2:29" x14ac:dyDescent="0.2">
      <c r="B358" s="66" t="s">
        <v>272</v>
      </c>
      <c r="C358" s="67" t="s">
        <v>264</v>
      </c>
      <c r="D358" s="68">
        <v>2</v>
      </c>
      <c r="F358" s="66" t="s">
        <v>777</v>
      </c>
      <c r="G358" s="67" t="s">
        <v>264</v>
      </c>
      <c r="H358" s="68">
        <v>105</v>
      </c>
      <c r="I358" s="70">
        <v>185</v>
      </c>
      <c r="J358" s="70">
        <v>-19</v>
      </c>
      <c r="K358" s="70">
        <v>-21</v>
      </c>
      <c r="L358" s="70">
        <v>27</v>
      </c>
      <c r="M358" s="70">
        <v>22</v>
      </c>
      <c r="N358" s="70">
        <v>4300</v>
      </c>
      <c r="O358" s="70">
        <v>25</v>
      </c>
      <c r="P358" s="71">
        <v>108</v>
      </c>
      <c r="Q358" s="71">
        <v>700</v>
      </c>
      <c r="R358" s="72">
        <v>0.89</v>
      </c>
      <c r="S358" s="71">
        <v>950</v>
      </c>
      <c r="T358" s="71">
        <v>180</v>
      </c>
      <c r="U358" s="73">
        <v>2.7</v>
      </c>
      <c r="V358" s="73">
        <v>0.4</v>
      </c>
      <c r="W358" s="72">
        <v>0.33</v>
      </c>
      <c r="X358" s="72">
        <v>0.48</v>
      </c>
      <c r="Y358" s="72">
        <v>0.12</v>
      </c>
      <c r="Z358" s="74">
        <v>7.6999999999999999E-2</v>
      </c>
      <c r="AA358" s="74">
        <v>0.04</v>
      </c>
      <c r="AB358" s="74">
        <v>1.2E-2</v>
      </c>
      <c r="AC358" s="74">
        <v>5.8999999999999997E-2</v>
      </c>
    </row>
    <row r="359" spans="2:29" x14ac:dyDescent="0.2">
      <c r="B359" s="66" t="s">
        <v>282</v>
      </c>
      <c r="C359" s="67" t="s">
        <v>264</v>
      </c>
      <c r="D359" s="68">
        <v>3</v>
      </c>
      <c r="F359" s="66" t="s">
        <v>778</v>
      </c>
      <c r="G359" s="67" t="s">
        <v>264</v>
      </c>
      <c r="H359" s="68">
        <v>106</v>
      </c>
      <c r="I359" s="70">
        <v>380</v>
      </c>
      <c r="J359" s="70">
        <v>-19</v>
      </c>
      <c r="K359" s="70">
        <v>-21</v>
      </c>
      <c r="L359" s="70">
        <v>29</v>
      </c>
      <c r="M359" s="70">
        <v>23</v>
      </c>
      <c r="N359" s="70">
        <v>4500</v>
      </c>
      <c r="O359" s="70">
        <v>30</v>
      </c>
      <c r="P359" s="71">
        <v>119</v>
      </c>
      <c r="Q359" s="71">
        <v>800</v>
      </c>
      <c r="R359" s="72">
        <v>0.93</v>
      </c>
      <c r="S359" s="71">
        <v>1000</v>
      </c>
      <c r="T359" s="71">
        <v>160</v>
      </c>
      <c r="U359" s="73">
        <v>2.6</v>
      </c>
      <c r="V359" s="73">
        <v>0.4</v>
      </c>
      <c r="W359" s="72">
        <v>0.34</v>
      </c>
      <c r="X359" s="72">
        <v>0.47</v>
      </c>
      <c r="Y359" s="72">
        <v>0.15</v>
      </c>
      <c r="Z359" s="74">
        <v>8.1000000000000003E-2</v>
      </c>
      <c r="AA359" s="74">
        <v>4.2999999999999997E-2</v>
      </c>
      <c r="AB359" s="74">
        <v>1.2E-2</v>
      </c>
      <c r="AC359" s="74">
        <v>7.4999999999999997E-2</v>
      </c>
    </row>
    <row r="360" spans="2:29" x14ac:dyDescent="0.2">
      <c r="B360" s="66" t="s">
        <v>284</v>
      </c>
      <c r="C360" s="67" t="s">
        <v>264</v>
      </c>
      <c r="D360" s="68">
        <v>4</v>
      </c>
      <c r="F360" s="66" t="s">
        <v>727</v>
      </c>
      <c r="G360" s="67" t="s">
        <v>261</v>
      </c>
      <c r="H360" s="68">
        <v>11</v>
      </c>
      <c r="I360" s="70">
        <v>20</v>
      </c>
      <c r="J360" s="70">
        <v>-14</v>
      </c>
      <c r="K360" s="70">
        <v>-16</v>
      </c>
      <c r="L360" s="70">
        <v>27</v>
      </c>
      <c r="M360" s="70">
        <v>20</v>
      </c>
      <c r="N360" s="70">
        <v>4050</v>
      </c>
      <c r="O360" s="70">
        <v>15</v>
      </c>
      <c r="P360" s="71">
        <v>150</v>
      </c>
      <c r="Q360" s="71">
        <v>1325</v>
      </c>
      <c r="R360" s="72">
        <v>1.48</v>
      </c>
      <c r="S360" s="71">
        <v>1425</v>
      </c>
      <c r="T360" s="71">
        <v>280</v>
      </c>
      <c r="U360" s="73">
        <v>1.7</v>
      </c>
      <c r="V360" s="73">
        <v>0.6</v>
      </c>
      <c r="W360" s="72">
        <v>0.44</v>
      </c>
      <c r="X360" s="72">
        <v>0.61</v>
      </c>
      <c r="Y360" s="72">
        <v>0.24</v>
      </c>
      <c r="Z360" s="74">
        <v>0.14000000000000001</v>
      </c>
      <c r="AA360" s="74">
        <v>7.1999999999999995E-2</v>
      </c>
      <c r="AB360" s="74">
        <v>0.02</v>
      </c>
      <c r="AC360" s="74">
        <v>0.13</v>
      </c>
    </row>
    <row r="361" spans="2:29" x14ac:dyDescent="0.2">
      <c r="B361" s="66" t="s">
        <v>289</v>
      </c>
      <c r="C361" s="67" t="s">
        <v>264</v>
      </c>
      <c r="D361" s="68">
        <v>5</v>
      </c>
      <c r="F361" s="66" t="s">
        <v>398</v>
      </c>
      <c r="G361" s="67" t="s">
        <v>247</v>
      </c>
      <c r="H361" s="68">
        <v>79</v>
      </c>
      <c r="I361" s="76">
        <v>645</v>
      </c>
      <c r="J361" s="70">
        <v>-35</v>
      </c>
      <c r="K361" s="70">
        <v>-38</v>
      </c>
      <c r="L361" s="70">
        <v>29</v>
      </c>
      <c r="M361" s="70">
        <v>20</v>
      </c>
      <c r="N361" s="76">
        <v>6100</v>
      </c>
      <c r="O361" s="76">
        <v>18</v>
      </c>
      <c r="P361" s="77">
        <v>70</v>
      </c>
      <c r="Q361" s="77">
        <v>320</v>
      </c>
      <c r="R361" s="72">
        <v>0.51</v>
      </c>
      <c r="S361" s="77">
        <v>430</v>
      </c>
      <c r="T361" s="77">
        <v>110</v>
      </c>
      <c r="U361" s="73">
        <v>2</v>
      </c>
      <c r="V361" s="73">
        <v>0.1</v>
      </c>
      <c r="W361" s="72">
        <v>0.3</v>
      </c>
      <c r="X361" s="72">
        <v>0.41</v>
      </c>
      <c r="Y361" s="72">
        <v>0.12</v>
      </c>
      <c r="Z361" s="74">
        <v>0.06</v>
      </c>
      <c r="AA361" s="74">
        <v>0.02</v>
      </c>
      <c r="AB361" s="74">
        <v>0.01</v>
      </c>
      <c r="AC361" s="74">
        <v>0.06</v>
      </c>
    </row>
    <row r="362" spans="2:29" x14ac:dyDescent="0.2">
      <c r="B362" s="66" t="s">
        <v>303</v>
      </c>
      <c r="C362" s="67" t="s">
        <v>264</v>
      </c>
      <c r="D362" s="68">
        <v>6</v>
      </c>
      <c r="F362" s="66" t="s">
        <v>398</v>
      </c>
      <c r="G362" s="67" t="s">
        <v>278</v>
      </c>
      <c r="H362" s="68">
        <v>13</v>
      </c>
      <c r="I362" s="70">
        <v>645</v>
      </c>
      <c r="J362" s="70">
        <v>-35</v>
      </c>
      <c r="K362" s="70">
        <v>-38</v>
      </c>
      <c r="L362" s="70">
        <v>29</v>
      </c>
      <c r="M362" s="70">
        <v>20</v>
      </c>
      <c r="N362" s="70">
        <v>6100</v>
      </c>
      <c r="O362" s="70">
        <v>18</v>
      </c>
      <c r="P362" s="71">
        <v>76</v>
      </c>
      <c r="Q362" s="71">
        <v>310</v>
      </c>
      <c r="R362" s="72">
        <v>0.53</v>
      </c>
      <c r="S362" s="71">
        <v>430</v>
      </c>
      <c r="T362" s="71">
        <v>120</v>
      </c>
      <c r="U362" s="73">
        <v>2</v>
      </c>
      <c r="V362" s="73">
        <v>0.1</v>
      </c>
      <c r="W362" s="72">
        <v>0.3</v>
      </c>
      <c r="X362" s="72">
        <v>0.41</v>
      </c>
      <c r="Y362" s="72">
        <v>0.12</v>
      </c>
      <c r="Z362" s="74">
        <v>5.6000000000000001E-2</v>
      </c>
      <c r="AA362" s="74">
        <v>2.3E-2</v>
      </c>
      <c r="AB362" s="74">
        <v>6.0000000000000001E-3</v>
      </c>
      <c r="AC362" s="74">
        <v>5.8999999999999997E-2</v>
      </c>
    </row>
    <row r="363" spans="2:29" x14ac:dyDescent="0.2">
      <c r="B363" s="66" t="s">
        <v>305</v>
      </c>
      <c r="C363" s="67" t="s">
        <v>264</v>
      </c>
      <c r="D363" s="68">
        <v>7</v>
      </c>
      <c r="F363" s="66" t="s">
        <v>729</v>
      </c>
      <c r="G363" s="67" t="s">
        <v>261</v>
      </c>
      <c r="H363" s="68">
        <v>12</v>
      </c>
      <c r="I363" s="70">
        <v>5</v>
      </c>
      <c r="J363" s="70">
        <v>-14</v>
      </c>
      <c r="K363" s="70">
        <v>-16</v>
      </c>
      <c r="L363" s="70">
        <v>25</v>
      </c>
      <c r="M363" s="70">
        <v>20</v>
      </c>
      <c r="N363" s="70">
        <v>4100</v>
      </c>
      <c r="O363" s="70">
        <v>15</v>
      </c>
      <c r="P363" s="71">
        <v>139</v>
      </c>
      <c r="Q363" s="71">
        <v>1250</v>
      </c>
      <c r="R363" s="72">
        <v>1.42</v>
      </c>
      <c r="S363" s="71">
        <v>1450</v>
      </c>
      <c r="T363" s="71">
        <v>280</v>
      </c>
      <c r="U363" s="73">
        <v>1.4</v>
      </c>
      <c r="V363" s="73">
        <v>0.6</v>
      </c>
      <c r="W363" s="72">
        <v>0.44</v>
      </c>
      <c r="X363" s="72">
        <v>0.6</v>
      </c>
      <c r="Y363" s="72">
        <v>0.26</v>
      </c>
      <c r="Z363" s="74">
        <v>0.14000000000000001</v>
      </c>
      <c r="AA363" s="74">
        <v>7.3999999999999996E-2</v>
      </c>
      <c r="AB363" s="74">
        <v>2.1000000000000001E-2</v>
      </c>
      <c r="AC363" s="74">
        <v>0.14000000000000001</v>
      </c>
    </row>
    <row r="364" spans="2:29" x14ac:dyDescent="0.2">
      <c r="B364" s="66" t="s">
        <v>316</v>
      </c>
      <c r="C364" s="67" t="s">
        <v>264</v>
      </c>
      <c r="D364" s="68">
        <v>8</v>
      </c>
      <c r="F364" s="66" t="s">
        <v>779</v>
      </c>
      <c r="G364" s="67" t="s">
        <v>264</v>
      </c>
      <c r="H364" s="68">
        <v>107</v>
      </c>
      <c r="I364" s="70">
        <v>245</v>
      </c>
      <c r="J364" s="70">
        <v>-18</v>
      </c>
      <c r="K364" s="70">
        <v>-20</v>
      </c>
      <c r="L364" s="70">
        <v>30</v>
      </c>
      <c r="M364" s="70">
        <v>23</v>
      </c>
      <c r="N364" s="70">
        <v>4150</v>
      </c>
      <c r="O364" s="70">
        <v>28</v>
      </c>
      <c r="P364" s="71">
        <v>103</v>
      </c>
      <c r="Q364" s="71">
        <v>825</v>
      </c>
      <c r="R364" s="72">
        <v>0.94</v>
      </c>
      <c r="S364" s="71">
        <v>975</v>
      </c>
      <c r="T364" s="71">
        <v>180</v>
      </c>
      <c r="U364" s="73">
        <v>1.9</v>
      </c>
      <c r="V364" s="73">
        <v>0.4</v>
      </c>
      <c r="W364" s="72">
        <v>0.36</v>
      </c>
      <c r="X364" s="72">
        <v>0.54</v>
      </c>
      <c r="Y364" s="72">
        <v>0.18</v>
      </c>
      <c r="Z364" s="74">
        <v>9.4E-2</v>
      </c>
      <c r="AA364" s="74">
        <v>4.7E-2</v>
      </c>
      <c r="AB364" s="74">
        <v>1.2999999999999999E-2</v>
      </c>
      <c r="AC364" s="74">
        <v>0.12</v>
      </c>
    </row>
    <row r="365" spans="2:29" x14ac:dyDescent="0.2">
      <c r="B365" s="66" t="s">
        <v>318</v>
      </c>
      <c r="C365" s="67" t="s">
        <v>264</v>
      </c>
      <c r="D365" s="68">
        <v>9</v>
      </c>
      <c r="F365" s="66" t="s">
        <v>780</v>
      </c>
      <c r="G365" s="67" t="s">
        <v>257</v>
      </c>
      <c r="H365" s="68">
        <v>52</v>
      </c>
      <c r="I365" s="70">
        <v>100</v>
      </c>
      <c r="J365" s="70">
        <v>-25</v>
      </c>
      <c r="K365" s="70">
        <v>-28</v>
      </c>
      <c r="L365" s="70">
        <v>28</v>
      </c>
      <c r="M365" s="70">
        <v>22</v>
      </c>
      <c r="N365" s="70">
        <v>5250</v>
      </c>
      <c r="O365" s="70">
        <v>20</v>
      </c>
      <c r="P365" s="71">
        <v>102</v>
      </c>
      <c r="Q365" s="71">
        <v>980</v>
      </c>
      <c r="R365" s="72">
        <v>1.0900000000000001</v>
      </c>
      <c r="S365" s="71">
        <v>1225</v>
      </c>
      <c r="T365" s="71">
        <v>200</v>
      </c>
      <c r="U365" s="73">
        <v>3.7</v>
      </c>
      <c r="V365" s="73">
        <v>0.6</v>
      </c>
      <c r="W365" s="72">
        <v>0.38</v>
      </c>
      <c r="X365" s="72">
        <v>0.53</v>
      </c>
      <c r="Y365" s="72">
        <v>0.63</v>
      </c>
      <c r="Z365" s="74">
        <v>0.3</v>
      </c>
      <c r="AA365" s="74">
        <v>0.14000000000000001</v>
      </c>
      <c r="AB365" s="74">
        <v>4.8000000000000001E-2</v>
      </c>
      <c r="AC365" s="74">
        <v>0.4</v>
      </c>
    </row>
    <row r="366" spans="2:29" x14ac:dyDescent="0.2">
      <c r="B366" s="66" t="s">
        <v>326</v>
      </c>
      <c r="C366" s="67" t="s">
        <v>264</v>
      </c>
      <c r="D366" s="68">
        <v>10</v>
      </c>
      <c r="F366" s="66" t="s">
        <v>730</v>
      </c>
      <c r="G366" s="67" t="s">
        <v>261</v>
      </c>
      <c r="H366" s="68">
        <v>13</v>
      </c>
      <c r="I366" s="70">
        <v>5</v>
      </c>
      <c r="J366" s="70">
        <v>-15</v>
      </c>
      <c r="K366" s="70">
        <v>-17</v>
      </c>
      <c r="L366" s="70">
        <v>26</v>
      </c>
      <c r="M366" s="70">
        <v>20</v>
      </c>
      <c r="N366" s="70">
        <v>4500</v>
      </c>
      <c r="O366" s="70">
        <v>15</v>
      </c>
      <c r="P366" s="71">
        <v>118</v>
      </c>
      <c r="Q366" s="71">
        <v>1300</v>
      </c>
      <c r="R366" s="72">
        <v>1.46</v>
      </c>
      <c r="S366" s="71">
        <v>1500</v>
      </c>
      <c r="T366" s="71">
        <v>300</v>
      </c>
      <c r="U366" s="73">
        <v>2.1</v>
      </c>
      <c r="V366" s="73">
        <v>0.7</v>
      </c>
      <c r="W366" s="72">
        <v>0.52</v>
      </c>
      <c r="X366" s="72">
        <v>0.65</v>
      </c>
      <c r="Y366" s="72">
        <v>0.22</v>
      </c>
      <c r="Z366" s="74">
        <v>0.12</v>
      </c>
      <c r="AA366" s="74">
        <v>6.6000000000000003E-2</v>
      </c>
      <c r="AB366" s="74">
        <v>1.7999999999999999E-2</v>
      </c>
      <c r="AC366" s="74">
        <v>0.12</v>
      </c>
    </row>
    <row r="367" spans="2:29" x14ac:dyDescent="0.2">
      <c r="B367" s="66" t="s">
        <v>330</v>
      </c>
      <c r="C367" s="67" t="s">
        <v>264</v>
      </c>
      <c r="D367" s="68">
        <v>11</v>
      </c>
      <c r="F367" s="66" t="s">
        <v>781</v>
      </c>
      <c r="G367" s="67" t="s">
        <v>257</v>
      </c>
      <c r="H367" s="68">
        <v>53</v>
      </c>
      <c r="I367" s="70">
        <v>15</v>
      </c>
      <c r="J367" s="70">
        <v>-25</v>
      </c>
      <c r="K367" s="70">
        <v>-28</v>
      </c>
      <c r="L367" s="70">
        <v>29</v>
      </c>
      <c r="M367" s="70">
        <v>23</v>
      </c>
      <c r="N367" s="70">
        <v>5000</v>
      </c>
      <c r="O367" s="70">
        <v>20</v>
      </c>
      <c r="P367" s="71">
        <v>102</v>
      </c>
      <c r="Q367" s="71">
        <v>800</v>
      </c>
      <c r="R367" s="72">
        <v>0.93</v>
      </c>
      <c r="S367" s="71">
        <v>1025</v>
      </c>
      <c r="T367" s="71">
        <v>160</v>
      </c>
      <c r="U367" s="73">
        <v>2.9</v>
      </c>
      <c r="V367" s="73">
        <v>0.4</v>
      </c>
      <c r="W367" s="72">
        <v>0.33</v>
      </c>
      <c r="X367" s="72">
        <v>0.43</v>
      </c>
      <c r="Y367" s="72">
        <v>0.63</v>
      </c>
      <c r="Z367" s="74">
        <v>0.31</v>
      </c>
      <c r="AA367" s="74">
        <v>0.12</v>
      </c>
      <c r="AB367" s="74">
        <v>4.2999999999999997E-2</v>
      </c>
      <c r="AC367" s="74">
        <v>0.4</v>
      </c>
    </row>
    <row r="368" spans="2:29" x14ac:dyDescent="0.2">
      <c r="B368" s="66" t="s">
        <v>332</v>
      </c>
      <c r="C368" s="67" t="s">
        <v>264</v>
      </c>
      <c r="D368" s="68">
        <v>12</v>
      </c>
      <c r="F368" s="66" t="s">
        <v>782</v>
      </c>
      <c r="G368" s="67" t="s">
        <v>264</v>
      </c>
      <c r="H368" s="68">
        <v>108</v>
      </c>
      <c r="I368" s="70">
        <v>300</v>
      </c>
      <c r="J368" s="70">
        <v>-17</v>
      </c>
      <c r="K368" s="70">
        <v>-19</v>
      </c>
      <c r="L368" s="70">
        <v>30</v>
      </c>
      <c r="M368" s="70">
        <v>23</v>
      </c>
      <c r="N368" s="70">
        <v>4150</v>
      </c>
      <c r="O368" s="70">
        <v>25</v>
      </c>
      <c r="P368" s="71">
        <v>113</v>
      </c>
      <c r="Q368" s="71">
        <v>810</v>
      </c>
      <c r="R368" s="72">
        <v>0.94</v>
      </c>
      <c r="S368" s="71">
        <v>1000</v>
      </c>
      <c r="T368" s="71">
        <v>180</v>
      </c>
      <c r="U368" s="73">
        <v>2.2999999999999998</v>
      </c>
      <c r="V368" s="73">
        <v>0.4</v>
      </c>
      <c r="W368" s="72">
        <v>0.39</v>
      </c>
      <c r="X368" s="72">
        <v>0.55000000000000004</v>
      </c>
      <c r="Y368" s="72">
        <v>0.16</v>
      </c>
      <c r="Z368" s="74">
        <v>8.3000000000000004E-2</v>
      </c>
      <c r="AA368" s="74">
        <v>4.3999999999999997E-2</v>
      </c>
      <c r="AB368" s="74">
        <v>1.2E-2</v>
      </c>
      <c r="AC368" s="74">
        <v>9.2999999999999999E-2</v>
      </c>
    </row>
    <row r="369" spans="2:29" x14ac:dyDescent="0.2">
      <c r="B369" s="66" t="s">
        <v>350</v>
      </c>
      <c r="C369" s="67" t="s">
        <v>264</v>
      </c>
      <c r="D369" s="68">
        <v>13</v>
      </c>
      <c r="F369" s="66" t="s">
        <v>732</v>
      </c>
      <c r="G369" s="67" t="s">
        <v>261</v>
      </c>
      <c r="H369" s="68">
        <v>14</v>
      </c>
      <c r="I369" s="70">
        <v>25</v>
      </c>
      <c r="J369" s="70">
        <v>-15</v>
      </c>
      <c r="K369" s="70">
        <v>-17</v>
      </c>
      <c r="L369" s="70">
        <v>26</v>
      </c>
      <c r="M369" s="70">
        <v>20</v>
      </c>
      <c r="N369" s="70">
        <v>4250</v>
      </c>
      <c r="O369" s="70">
        <v>15</v>
      </c>
      <c r="P369" s="71">
        <v>144</v>
      </c>
      <c r="Q369" s="71">
        <v>1300</v>
      </c>
      <c r="R369" s="72">
        <v>1.45</v>
      </c>
      <c r="S369" s="71">
        <v>1450</v>
      </c>
      <c r="T369" s="71">
        <v>260</v>
      </c>
      <c r="U369" s="73">
        <v>1.9</v>
      </c>
      <c r="V369" s="73">
        <v>0.6</v>
      </c>
      <c r="W369" s="72">
        <v>0.43</v>
      </c>
      <c r="X369" s="72">
        <v>0.61</v>
      </c>
      <c r="Y369" s="72">
        <v>0.23</v>
      </c>
      <c r="Z369" s="74">
        <v>0.13</v>
      </c>
      <c r="AA369" s="74">
        <v>6.9000000000000006E-2</v>
      </c>
      <c r="AB369" s="74">
        <v>1.9E-2</v>
      </c>
      <c r="AC369" s="74">
        <v>0.12</v>
      </c>
    </row>
    <row r="370" spans="2:29" x14ac:dyDescent="0.2">
      <c r="B370" s="66" t="s">
        <v>354</v>
      </c>
      <c r="C370" s="67" t="s">
        <v>264</v>
      </c>
      <c r="D370" s="68">
        <v>14</v>
      </c>
      <c r="F370" s="66" t="s">
        <v>659</v>
      </c>
      <c r="G370" s="67" t="s">
        <v>252</v>
      </c>
      <c r="H370" s="68">
        <v>10</v>
      </c>
      <c r="I370" s="70">
        <v>350</v>
      </c>
      <c r="J370" s="70">
        <v>-40</v>
      </c>
      <c r="K370" s="70">
        <v>-42</v>
      </c>
      <c r="L370" s="70">
        <v>27</v>
      </c>
      <c r="M370" s="70">
        <v>19</v>
      </c>
      <c r="N370" s="70">
        <v>7900</v>
      </c>
      <c r="O370" s="70">
        <v>8</v>
      </c>
      <c r="P370" s="71">
        <v>76</v>
      </c>
      <c r="Q370" s="71">
        <v>310</v>
      </c>
      <c r="R370" s="72">
        <v>0.62</v>
      </c>
      <c r="S370" s="71">
        <v>490</v>
      </c>
      <c r="T370" s="71">
        <v>100</v>
      </c>
      <c r="U370" s="73">
        <v>2.4</v>
      </c>
      <c r="V370" s="73">
        <v>0.2</v>
      </c>
      <c r="W370" s="72">
        <v>0.33</v>
      </c>
      <c r="X370" s="72">
        <v>0.44</v>
      </c>
      <c r="Y370" s="72">
        <v>0.12</v>
      </c>
      <c r="Z370" s="74">
        <v>5.6000000000000001E-2</v>
      </c>
      <c r="AA370" s="74">
        <v>2.3E-2</v>
      </c>
      <c r="AB370" s="74">
        <v>6.0000000000000001E-3</v>
      </c>
      <c r="AC370" s="74">
        <v>5.8999999999999997E-2</v>
      </c>
    </row>
    <row r="371" spans="2:29" x14ac:dyDescent="0.2">
      <c r="B371" s="66" t="s">
        <v>356</v>
      </c>
      <c r="C371" s="67" t="s">
        <v>264</v>
      </c>
      <c r="D371" s="68">
        <v>15</v>
      </c>
      <c r="F371" s="66" t="s">
        <v>570</v>
      </c>
      <c r="G371" s="67" t="s">
        <v>224</v>
      </c>
      <c r="H371" s="68">
        <v>43</v>
      </c>
      <c r="I371" s="70">
        <v>325</v>
      </c>
      <c r="J371" s="70">
        <v>-19</v>
      </c>
      <c r="K371" s="70">
        <v>-22</v>
      </c>
      <c r="L371" s="70">
        <v>35</v>
      </c>
      <c r="M371" s="70">
        <v>20</v>
      </c>
      <c r="N371" s="70">
        <v>3300</v>
      </c>
      <c r="O371" s="70">
        <v>10</v>
      </c>
      <c r="P371" s="71">
        <v>75</v>
      </c>
      <c r="Q371" s="71">
        <v>330</v>
      </c>
      <c r="R371" s="72">
        <v>0.33</v>
      </c>
      <c r="S371" s="71">
        <v>425</v>
      </c>
      <c r="T371" s="71">
        <v>80</v>
      </c>
      <c r="U371" s="73">
        <v>2.8</v>
      </c>
      <c r="V371" s="73">
        <v>0.3</v>
      </c>
      <c r="W371" s="72">
        <v>0.31</v>
      </c>
      <c r="X371" s="72">
        <v>0.43</v>
      </c>
      <c r="Y371" s="72">
        <v>0.6</v>
      </c>
      <c r="Z371" s="74">
        <v>0.44</v>
      </c>
      <c r="AA371" s="74">
        <v>0.26</v>
      </c>
      <c r="AB371" s="74">
        <v>0.14000000000000001</v>
      </c>
      <c r="AC371" s="74">
        <v>0.27</v>
      </c>
    </row>
    <row r="372" spans="2:29" x14ac:dyDescent="0.2">
      <c r="B372" s="66" t="s">
        <v>361</v>
      </c>
      <c r="C372" s="67" t="s">
        <v>264</v>
      </c>
      <c r="D372" s="68">
        <v>16</v>
      </c>
      <c r="F372" s="66" t="s">
        <v>571</v>
      </c>
      <c r="G372" s="67" t="s">
        <v>224</v>
      </c>
      <c r="H372" s="68">
        <v>44</v>
      </c>
      <c r="I372" s="70">
        <v>765</v>
      </c>
      <c r="J372" s="70">
        <v>-35</v>
      </c>
      <c r="K372" s="70">
        <v>-38</v>
      </c>
      <c r="L372" s="70">
        <v>26</v>
      </c>
      <c r="M372" s="70">
        <v>17</v>
      </c>
      <c r="N372" s="70">
        <v>5750</v>
      </c>
      <c r="O372" s="70">
        <v>10</v>
      </c>
      <c r="P372" s="71">
        <v>54</v>
      </c>
      <c r="Q372" s="71">
        <v>350</v>
      </c>
      <c r="R372" s="72">
        <v>0.54</v>
      </c>
      <c r="S372" s="71">
        <v>650</v>
      </c>
      <c r="T372" s="71">
        <v>60</v>
      </c>
      <c r="U372" s="73">
        <v>5.0999999999999996</v>
      </c>
      <c r="V372" s="73">
        <v>0.2</v>
      </c>
      <c r="W372" s="72">
        <v>0.24</v>
      </c>
      <c r="X372" s="72">
        <v>0.32</v>
      </c>
      <c r="Y372" s="72">
        <v>0.23</v>
      </c>
      <c r="Z372" s="74">
        <v>0.13</v>
      </c>
      <c r="AA372" s="74">
        <v>6.0999999999999999E-2</v>
      </c>
      <c r="AB372" s="74">
        <v>3.4000000000000002E-2</v>
      </c>
      <c r="AC372" s="74">
        <v>0.12</v>
      </c>
    </row>
    <row r="373" spans="2:29" x14ac:dyDescent="0.2">
      <c r="B373" s="66" t="s">
        <v>375</v>
      </c>
      <c r="C373" s="67" t="s">
        <v>264</v>
      </c>
      <c r="D373" s="68">
        <v>17</v>
      </c>
      <c r="F373" s="66" t="s">
        <v>783</v>
      </c>
      <c r="G373" s="67" t="s">
        <v>257</v>
      </c>
      <c r="H373" s="68">
        <v>54</v>
      </c>
      <c r="I373" s="70">
        <v>215</v>
      </c>
      <c r="J373" s="70">
        <v>-26</v>
      </c>
      <c r="K373" s="70">
        <v>-28</v>
      </c>
      <c r="L373" s="70">
        <v>29</v>
      </c>
      <c r="M373" s="70">
        <v>22</v>
      </c>
      <c r="N373" s="70">
        <v>4800</v>
      </c>
      <c r="O373" s="70">
        <v>23</v>
      </c>
      <c r="P373" s="71">
        <v>96</v>
      </c>
      <c r="Q373" s="71">
        <v>860</v>
      </c>
      <c r="R373" s="72">
        <v>0.99</v>
      </c>
      <c r="S373" s="71">
        <v>1125</v>
      </c>
      <c r="T373" s="71">
        <v>160</v>
      </c>
      <c r="U373" s="73">
        <v>2.2999999999999998</v>
      </c>
      <c r="V373" s="73">
        <v>0.4</v>
      </c>
      <c r="W373" s="72">
        <v>0.26</v>
      </c>
      <c r="X373" s="72">
        <v>0.35</v>
      </c>
      <c r="Y373" s="72">
        <v>0.38</v>
      </c>
      <c r="Z373" s="74">
        <v>0.21</v>
      </c>
      <c r="AA373" s="74">
        <v>8.8999999999999996E-2</v>
      </c>
      <c r="AB373" s="74">
        <v>3.1E-2</v>
      </c>
      <c r="AC373" s="74">
        <v>0.2</v>
      </c>
    </row>
    <row r="374" spans="2:29" x14ac:dyDescent="0.2">
      <c r="B374" s="66" t="s">
        <v>377</v>
      </c>
      <c r="C374" s="67" t="s">
        <v>264</v>
      </c>
      <c r="D374" s="68">
        <v>18</v>
      </c>
      <c r="F374" s="66" t="s">
        <v>400</v>
      </c>
      <c r="G374" s="67" t="s">
        <v>247</v>
      </c>
      <c r="H374" s="68">
        <v>80</v>
      </c>
      <c r="I374" s="76">
        <v>983</v>
      </c>
      <c r="J374" s="70">
        <v>-31</v>
      </c>
      <c r="K374" s="70">
        <v>-35</v>
      </c>
      <c r="L374" s="70">
        <v>31</v>
      </c>
      <c r="M374" s="70">
        <v>19</v>
      </c>
      <c r="N374" s="76">
        <v>4800</v>
      </c>
      <c r="O374" s="76">
        <v>17</v>
      </c>
      <c r="P374" s="77">
        <v>80</v>
      </c>
      <c r="Q374" s="77">
        <v>275</v>
      </c>
      <c r="R374" s="72">
        <v>0.28999999999999998</v>
      </c>
      <c r="S374" s="77">
        <v>430</v>
      </c>
      <c r="T374" s="77">
        <v>160</v>
      </c>
      <c r="U374" s="73">
        <v>1.5</v>
      </c>
      <c r="V374" s="73">
        <v>0.1</v>
      </c>
      <c r="W374" s="72">
        <v>0.65</v>
      </c>
      <c r="X374" s="72">
        <v>0.91</v>
      </c>
      <c r="Y374" s="72">
        <v>0.15</v>
      </c>
      <c r="Z374" s="74">
        <v>0.1</v>
      </c>
      <c r="AA374" s="74">
        <v>0.05</v>
      </c>
      <c r="AB374" s="74">
        <v>0.03</v>
      </c>
      <c r="AC374" s="74">
        <v>0.09</v>
      </c>
    </row>
    <row r="375" spans="2:29" x14ac:dyDescent="0.2">
      <c r="B375" s="66" t="s">
        <v>379</v>
      </c>
      <c r="C375" s="67" t="s">
        <v>264</v>
      </c>
      <c r="D375" s="68">
        <v>19</v>
      </c>
      <c r="F375" s="66" t="s">
        <v>784</v>
      </c>
      <c r="G375" s="67" t="s">
        <v>264</v>
      </c>
      <c r="H375" s="68">
        <v>109</v>
      </c>
      <c r="I375" s="70">
        <v>85</v>
      </c>
      <c r="J375" s="70">
        <v>-23</v>
      </c>
      <c r="K375" s="70">
        <v>-25</v>
      </c>
      <c r="L375" s="70">
        <v>29</v>
      </c>
      <c r="M375" s="70">
        <v>23</v>
      </c>
      <c r="N375" s="70">
        <v>4200</v>
      </c>
      <c r="O375" s="70">
        <v>25</v>
      </c>
      <c r="P375" s="71">
        <v>103</v>
      </c>
      <c r="Q375" s="71">
        <v>770</v>
      </c>
      <c r="R375" s="72">
        <v>0.89</v>
      </c>
      <c r="S375" s="71">
        <v>975</v>
      </c>
      <c r="T375" s="71">
        <v>180</v>
      </c>
      <c r="U375" s="73">
        <v>2.2000000000000002</v>
      </c>
      <c r="V375" s="73">
        <v>0.4</v>
      </c>
      <c r="W375" s="72">
        <v>0.32</v>
      </c>
      <c r="X375" s="72">
        <v>0.44</v>
      </c>
      <c r="Y375" s="72">
        <v>0.41</v>
      </c>
      <c r="Z375" s="74">
        <v>0.21</v>
      </c>
      <c r="AA375" s="74">
        <v>0.11</v>
      </c>
      <c r="AB375" s="74">
        <v>3.1E-2</v>
      </c>
      <c r="AC375" s="74">
        <v>0.23</v>
      </c>
    </row>
    <row r="376" spans="2:29" x14ac:dyDescent="0.2">
      <c r="B376" s="66" t="s">
        <v>383</v>
      </c>
      <c r="C376" s="67" t="s">
        <v>264</v>
      </c>
      <c r="D376" s="68">
        <v>20</v>
      </c>
      <c r="F376" s="66" t="s">
        <v>785</v>
      </c>
      <c r="G376" s="67" t="s">
        <v>257</v>
      </c>
      <c r="H376" s="68">
        <v>55</v>
      </c>
      <c r="I376" s="70">
        <v>325</v>
      </c>
      <c r="J376" s="70">
        <v>-33</v>
      </c>
      <c r="K376" s="70">
        <v>-36</v>
      </c>
      <c r="L376" s="70">
        <v>29</v>
      </c>
      <c r="M376" s="70">
        <v>21</v>
      </c>
      <c r="N376" s="70">
        <v>6200</v>
      </c>
      <c r="O376" s="70">
        <v>20</v>
      </c>
      <c r="P376" s="71">
        <v>86</v>
      </c>
      <c r="Q376" s="71">
        <v>640</v>
      </c>
      <c r="R376" s="72">
        <v>0.82</v>
      </c>
      <c r="S376" s="71">
        <v>900</v>
      </c>
      <c r="T376" s="71">
        <v>100</v>
      </c>
      <c r="U376" s="73">
        <v>3.3</v>
      </c>
      <c r="V376" s="73">
        <v>0.3</v>
      </c>
      <c r="W376" s="72">
        <v>0.24</v>
      </c>
      <c r="X376" s="72">
        <v>0.32</v>
      </c>
      <c r="Y376" s="72">
        <v>0.21</v>
      </c>
      <c r="Z376" s="74">
        <v>0.12</v>
      </c>
      <c r="AA376" s="74">
        <v>5.8999999999999997E-2</v>
      </c>
      <c r="AB376" s="74">
        <v>1.7000000000000001E-2</v>
      </c>
      <c r="AC376" s="74">
        <v>0.11</v>
      </c>
    </row>
    <row r="377" spans="2:29" x14ac:dyDescent="0.2">
      <c r="B377" s="66" t="s">
        <v>387</v>
      </c>
      <c r="C377" s="67" t="s">
        <v>264</v>
      </c>
      <c r="D377" s="68">
        <v>21</v>
      </c>
      <c r="F377" s="66" t="s">
        <v>786</v>
      </c>
      <c r="G377" s="67" t="s">
        <v>257</v>
      </c>
      <c r="H377" s="68">
        <v>56</v>
      </c>
      <c r="I377" s="70">
        <v>180</v>
      </c>
      <c r="J377" s="70">
        <v>-29</v>
      </c>
      <c r="K377" s="70">
        <v>-32</v>
      </c>
      <c r="L377" s="70">
        <v>29</v>
      </c>
      <c r="M377" s="70">
        <v>22</v>
      </c>
      <c r="N377" s="70">
        <v>5350</v>
      </c>
      <c r="O377" s="70">
        <v>28</v>
      </c>
      <c r="P377" s="71">
        <v>102</v>
      </c>
      <c r="Q377" s="71">
        <v>700</v>
      </c>
      <c r="R377" s="72">
        <v>0.86</v>
      </c>
      <c r="S377" s="71">
        <v>900</v>
      </c>
      <c r="T377" s="71">
        <v>100</v>
      </c>
      <c r="U377" s="73">
        <v>2.4</v>
      </c>
      <c r="V377" s="73">
        <v>0.4</v>
      </c>
      <c r="W377" s="72">
        <v>0.24</v>
      </c>
      <c r="X377" s="72">
        <v>0.31</v>
      </c>
      <c r="Y377" s="72">
        <v>0.66</v>
      </c>
      <c r="Z377" s="74">
        <v>0.3</v>
      </c>
      <c r="AA377" s="74">
        <v>0.14000000000000001</v>
      </c>
      <c r="AB377" s="74">
        <v>0.04</v>
      </c>
      <c r="AC377" s="74">
        <v>0.42</v>
      </c>
    </row>
    <row r="378" spans="2:29" x14ac:dyDescent="0.2">
      <c r="B378" s="66" t="s">
        <v>391</v>
      </c>
      <c r="C378" s="67" t="s">
        <v>264</v>
      </c>
      <c r="D378" s="68">
        <v>22</v>
      </c>
      <c r="F378" s="66" t="s">
        <v>402</v>
      </c>
      <c r="G378" s="67" t="s">
        <v>247</v>
      </c>
      <c r="H378" s="68">
        <v>81</v>
      </c>
      <c r="I378" s="76">
        <v>465</v>
      </c>
      <c r="J378" s="70">
        <v>-39</v>
      </c>
      <c r="K378" s="70">
        <v>-41</v>
      </c>
      <c r="L378" s="70">
        <v>27</v>
      </c>
      <c r="M378" s="70">
        <v>18</v>
      </c>
      <c r="N378" s="76">
        <v>6700</v>
      </c>
      <c r="O378" s="76">
        <v>13</v>
      </c>
      <c r="P378" s="77">
        <v>81</v>
      </c>
      <c r="Q378" s="77">
        <v>280</v>
      </c>
      <c r="R378" s="72">
        <v>0.49</v>
      </c>
      <c r="S378" s="77">
        <v>390</v>
      </c>
      <c r="T378" s="77">
        <v>80</v>
      </c>
      <c r="U378" s="73">
        <v>2.2999999999999998</v>
      </c>
      <c r="V378" s="73">
        <v>0.1</v>
      </c>
      <c r="W378" s="72">
        <v>0.21</v>
      </c>
      <c r="X378" s="72">
        <v>0.28000000000000003</v>
      </c>
      <c r="Y378" s="72">
        <v>0.12</v>
      </c>
      <c r="Z378" s="74">
        <v>5.6000000000000001E-2</v>
      </c>
      <c r="AA378" s="74">
        <v>2.3E-2</v>
      </c>
      <c r="AB378" s="74">
        <v>8.0000000000000002E-3</v>
      </c>
      <c r="AC378" s="74">
        <v>5.8999999999999997E-2</v>
      </c>
    </row>
    <row r="379" spans="2:29" x14ac:dyDescent="0.2">
      <c r="B379" s="66" t="s">
        <v>403</v>
      </c>
      <c r="C379" s="67" t="s">
        <v>264</v>
      </c>
      <c r="D379" s="68">
        <v>23</v>
      </c>
      <c r="F379" s="66" t="s">
        <v>787</v>
      </c>
      <c r="G379" s="67" t="s">
        <v>278</v>
      </c>
      <c r="H379" s="68">
        <v>14</v>
      </c>
      <c r="I379" s="70">
        <v>765</v>
      </c>
      <c r="J379" s="70">
        <v>-31</v>
      </c>
      <c r="K379" s="70">
        <v>-34</v>
      </c>
      <c r="L379" s="70">
        <v>31</v>
      </c>
      <c r="M379" s="70">
        <v>20</v>
      </c>
      <c r="N379" s="70">
        <v>4850</v>
      </c>
      <c r="O379" s="70">
        <v>28</v>
      </c>
      <c r="P379" s="71">
        <v>76</v>
      </c>
      <c r="Q379" s="71">
        <v>275</v>
      </c>
      <c r="R379" s="72">
        <v>0.28000000000000003</v>
      </c>
      <c r="S379" s="71">
        <v>380</v>
      </c>
      <c r="T379" s="71">
        <v>220</v>
      </c>
      <c r="U379" s="73">
        <v>1.2</v>
      </c>
      <c r="V379" s="73">
        <v>0.1</v>
      </c>
      <c r="W379" s="72">
        <v>0.47</v>
      </c>
      <c r="X379" s="72">
        <v>0.63</v>
      </c>
      <c r="Y379" s="72">
        <v>0.12</v>
      </c>
      <c r="Z379" s="74">
        <v>5.6000000000000001E-2</v>
      </c>
      <c r="AA379" s="74">
        <v>2.3E-2</v>
      </c>
      <c r="AB379" s="74">
        <v>6.0000000000000001E-3</v>
      </c>
      <c r="AC379" s="74">
        <v>5.8999999999999997E-2</v>
      </c>
    </row>
    <row r="380" spans="2:29" x14ac:dyDescent="0.2">
      <c r="B380" s="66" t="s">
        <v>405</v>
      </c>
      <c r="C380" s="67" t="s">
        <v>264</v>
      </c>
      <c r="D380" s="68">
        <v>24</v>
      </c>
      <c r="F380" s="66" t="s">
        <v>788</v>
      </c>
      <c r="G380" s="67" t="s">
        <v>264</v>
      </c>
      <c r="H380" s="68">
        <v>110</v>
      </c>
      <c r="I380" s="70">
        <v>425</v>
      </c>
      <c r="J380" s="70">
        <v>-20</v>
      </c>
      <c r="K380" s="70">
        <v>-22</v>
      </c>
      <c r="L380" s="70">
        <v>29</v>
      </c>
      <c r="M380" s="70">
        <v>22</v>
      </c>
      <c r="N380" s="70">
        <v>4600</v>
      </c>
      <c r="O380" s="70">
        <v>28</v>
      </c>
      <c r="P380" s="71">
        <v>103</v>
      </c>
      <c r="Q380" s="71">
        <v>820</v>
      </c>
      <c r="R380" s="72">
        <v>0.94</v>
      </c>
      <c r="S380" s="71">
        <v>1050</v>
      </c>
      <c r="T380" s="71">
        <v>160</v>
      </c>
      <c r="U380" s="73">
        <v>3.4</v>
      </c>
      <c r="V380" s="73">
        <v>0.4</v>
      </c>
      <c r="W380" s="72">
        <v>0.28999999999999998</v>
      </c>
      <c r="X380" s="72">
        <v>0.41</v>
      </c>
      <c r="Y380" s="72">
        <v>0.14000000000000001</v>
      </c>
      <c r="Z380" s="74">
        <v>8.1000000000000003E-2</v>
      </c>
      <c r="AA380" s="74">
        <v>4.2999999999999997E-2</v>
      </c>
      <c r="AB380" s="74">
        <v>1.2E-2</v>
      </c>
      <c r="AC380" s="74">
        <v>6.7000000000000004E-2</v>
      </c>
    </row>
    <row r="381" spans="2:29" x14ac:dyDescent="0.2">
      <c r="B381" s="66" t="s">
        <v>415</v>
      </c>
      <c r="C381" s="67" t="s">
        <v>264</v>
      </c>
      <c r="D381" s="68">
        <v>25</v>
      </c>
      <c r="F381" s="66" t="s">
        <v>789</v>
      </c>
      <c r="G381" s="67" t="s">
        <v>264</v>
      </c>
      <c r="H381" s="68">
        <v>111</v>
      </c>
      <c r="I381" s="70">
        <v>175</v>
      </c>
      <c r="J381" s="70">
        <v>-20</v>
      </c>
      <c r="K381" s="70">
        <v>-22</v>
      </c>
      <c r="L381" s="70">
        <v>31</v>
      </c>
      <c r="M381" s="70">
        <v>24</v>
      </c>
      <c r="N381" s="70">
        <v>4200</v>
      </c>
      <c r="O381" s="70">
        <v>25</v>
      </c>
      <c r="P381" s="71">
        <v>86</v>
      </c>
      <c r="Q381" s="71">
        <v>720</v>
      </c>
      <c r="R381" s="72">
        <v>0.81</v>
      </c>
      <c r="S381" s="71">
        <v>825</v>
      </c>
      <c r="T381" s="71">
        <v>140</v>
      </c>
      <c r="U381" s="73">
        <v>1.3</v>
      </c>
      <c r="V381" s="73">
        <v>0.4</v>
      </c>
      <c r="W381" s="72">
        <v>0.39</v>
      </c>
      <c r="X381" s="72">
        <v>0.53</v>
      </c>
      <c r="Y381" s="72">
        <v>0.22</v>
      </c>
      <c r="Z381" s="74">
        <v>0.11</v>
      </c>
      <c r="AA381" s="74">
        <v>5.5E-2</v>
      </c>
      <c r="AB381" s="74">
        <v>1.4999999999999999E-2</v>
      </c>
      <c r="AC381" s="74">
        <v>0.12</v>
      </c>
    </row>
    <row r="382" spans="2:29" x14ac:dyDescent="0.2">
      <c r="B382" s="66" t="s">
        <v>421</v>
      </c>
      <c r="C382" s="67" t="s">
        <v>264</v>
      </c>
      <c r="D382" s="68">
        <v>26</v>
      </c>
      <c r="F382" s="66" t="s">
        <v>790</v>
      </c>
      <c r="G382" s="67" t="s">
        <v>264</v>
      </c>
      <c r="H382" s="68">
        <v>112</v>
      </c>
      <c r="I382" s="70">
        <v>485</v>
      </c>
      <c r="J382" s="70">
        <v>-36</v>
      </c>
      <c r="K382" s="70">
        <v>-39</v>
      </c>
      <c r="L382" s="70">
        <v>29</v>
      </c>
      <c r="M382" s="70">
        <v>22</v>
      </c>
      <c r="N382" s="70">
        <v>6200</v>
      </c>
      <c r="O382" s="70">
        <v>25</v>
      </c>
      <c r="P382" s="71">
        <v>103</v>
      </c>
      <c r="Q382" s="71">
        <v>560</v>
      </c>
      <c r="R382" s="72">
        <v>0.75</v>
      </c>
      <c r="S382" s="71">
        <v>750</v>
      </c>
      <c r="T382" s="71">
        <v>120</v>
      </c>
      <c r="U382" s="73">
        <v>2.6</v>
      </c>
      <c r="V382" s="73">
        <v>0.3</v>
      </c>
      <c r="W382" s="72">
        <v>0.21</v>
      </c>
      <c r="X382" s="72">
        <v>0.27</v>
      </c>
      <c r="Y382" s="72">
        <v>0.12</v>
      </c>
      <c r="Z382" s="74">
        <v>5.6000000000000001E-2</v>
      </c>
      <c r="AA382" s="74">
        <v>2.3E-2</v>
      </c>
      <c r="AB382" s="74">
        <v>6.0000000000000001E-3</v>
      </c>
      <c r="AC382" s="74">
        <v>5.8999999999999997E-2</v>
      </c>
    </row>
    <row r="383" spans="2:29" x14ac:dyDescent="0.2">
      <c r="B383" s="66" t="s">
        <v>430</v>
      </c>
      <c r="C383" s="67" t="s">
        <v>264</v>
      </c>
      <c r="D383" s="68">
        <v>27</v>
      </c>
      <c r="F383" s="66" t="s">
        <v>573</v>
      </c>
      <c r="G383" s="67" t="s">
        <v>224</v>
      </c>
      <c r="H383" s="68">
        <v>45</v>
      </c>
      <c r="I383" s="70">
        <v>10</v>
      </c>
      <c r="J383" s="70">
        <v>-7</v>
      </c>
      <c r="K383" s="70">
        <v>-9</v>
      </c>
      <c r="L383" s="70">
        <v>17</v>
      </c>
      <c r="M383" s="70">
        <v>15</v>
      </c>
      <c r="N383" s="70">
        <v>3800</v>
      </c>
      <c r="O383" s="70">
        <v>13</v>
      </c>
      <c r="P383" s="71">
        <v>80</v>
      </c>
      <c r="Q383" s="71">
        <v>1350</v>
      </c>
      <c r="R383" s="72">
        <v>1.54</v>
      </c>
      <c r="S383" s="71">
        <v>1400</v>
      </c>
      <c r="T383" s="71">
        <v>400</v>
      </c>
      <c r="U383" s="73">
        <v>1.8</v>
      </c>
      <c r="V383" s="73">
        <v>0.4</v>
      </c>
      <c r="W383" s="72">
        <v>0.49</v>
      </c>
      <c r="X383" s="72">
        <v>0.62</v>
      </c>
      <c r="Y383" s="72">
        <v>0.53</v>
      </c>
      <c r="Z383" s="74">
        <v>0.39</v>
      </c>
      <c r="AA383" s="74">
        <v>0.3</v>
      </c>
      <c r="AB383" s="74">
        <v>0.16</v>
      </c>
      <c r="AC383" s="74">
        <v>0.26</v>
      </c>
    </row>
    <row r="384" spans="2:29" x14ac:dyDescent="0.2">
      <c r="B384" s="66" t="s">
        <v>439</v>
      </c>
      <c r="C384" s="67" t="s">
        <v>264</v>
      </c>
      <c r="D384" s="68">
        <v>28</v>
      </c>
      <c r="F384" s="66" t="s">
        <v>791</v>
      </c>
      <c r="G384" s="67" t="s">
        <v>257</v>
      </c>
      <c r="H384" s="68">
        <v>57</v>
      </c>
      <c r="I384" s="70">
        <v>50</v>
      </c>
      <c r="J384" s="70">
        <v>-26</v>
      </c>
      <c r="K384" s="70">
        <v>-28</v>
      </c>
      <c r="L384" s="70">
        <v>30</v>
      </c>
      <c r="M384" s="70">
        <v>23</v>
      </c>
      <c r="N384" s="70">
        <v>4700</v>
      </c>
      <c r="O384" s="70">
        <v>23</v>
      </c>
      <c r="P384" s="71">
        <v>91</v>
      </c>
      <c r="Q384" s="71">
        <v>790</v>
      </c>
      <c r="R384" s="72">
        <v>0.92</v>
      </c>
      <c r="S384" s="71">
        <v>975</v>
      </c>
      <c r="T384" s="71">
        <v>160</v>
      </c>
      <c r="U384" s="73">
        <v>2.4</v>
      </c>
      <c r="V384" s="73">
        <v>0.4</v>
      </c>
      <c r="W384" s="72">
        <v>0.3</v>
      </c>
      <c r="X384" s="72">
        <v>0.4</v>
      </c>
      <c r="Y384" s="72">
        <v>0.66</v>
      </c>
      <c r="Z384" s="74">
        <v>0.31</v>
      </c>
      <c r="AA384" s="74">
        <v>0.14000000000000001</v>
      </c>
      <c r="AB384" s="74">
        <v>4.3999999999999997E-2</v>
      </c>
      <c r="AC384" s="74">
        <v>0.42</v>
      </c>
    </row>
    <row r="385" spans="2:29" x14ac:dyDescent="0.2">
      <c r="B385" s="66" t="s">
        <v>447</v>
      </c>
      <c r="C385" s="67" t="s">
        <v>264</v>
      </c>
      <c r="D385" s="68">
        <v>29</v>
      </c>
      <c r="F385" s="66" t="s">
        <v>792</v>
      </c>
      <c r="G385" s="67" t="s">
        <v>257</v>
      </c>
      <c r="H385" s="68">
        <v>58</v>
      </c>
      <c r="I385" s="70">
        <v>5</v>
      </c>
      <c r="J385" s="70">
        <v>-24</v>
      </c>
      <c r="K385" s="70">
        <v>-26</v>
      </c>
      <c r="L385" s="70">
        <v>24</v>
      </c>
      <c r="M385" s="70">
        <v>20</v>
      </c>
      <c r="N385" s="70">
        <v>5600</v>
      </c>
      <c r="O385" s="70">
        <v>18</v>
      </c>
      <c r="P385" s="71">
        <v>91</v>
      </c>
      <c r="Q385" s="71">
        <v>640</v>
      </c>
      <c r="R385" s="72">
        <v>0.88</v>
      </c>
      <c r="S385" s="71">
        <v>1050</v>
      </c>
      <c r="T385" s="71">
        <v>220</v>
      </c>
      <c r="U385" s="73">
        <v>3.7</v>
      </c>
      <c r="V385" s="73">
        <v>0.4</v>
      </c>
      <c r="W385" s="72">
        <v>0.45</v>
      </c>
      <c r="X385" s="72">
        <v>0.6</v>
      </c>
      <c r="Y385" s="72">
        <v>0.68</v>
      </c>
      <c r="Z385" s="74">
        <v>0.38</v>
      </c>
      <c r="AA385" s="74">
        <v>0.17</v>
      </c>
      <c r="AB385" s="74">
        <v>5.1999999999999998E-2</v>
      </c>
      <c r="AC385" s="74">
        <v>0.44</v>
      </c>
    </row>
    <row r="386" spans="2:29" x14ac:dyDescent="0.2">
      <c r="B386" s="66" t="s">
        <v>449</v>
      </c>
      <c r="C386" s="67" t="s">
        <v>264</v>
      </c>
      <c r="D386" s="68">
        <v>30</v>
      </c>
      <c r="F386" s="66" t="s">
        <v>793</v>
      </c>
      <c r="G386" s="67" t="s">
        <v>264</v>
      </c>
      <c r="H386" s="68">
        <v>113</v>
      </c>
      <c r="I386" s="70">
        <v>265</v>
      </c>
      <c r="J386" s="70">
        <v>-33</v>
      </c>
      <c r="K386" s="70">
        <v>-36</v>
      </c>
      <c r="L386" s="70">
        <v>29</v>
      </c>
      <c r="M386" s="70">
        <v>21</v>
      </c>
      <c r="N386" s="70">
        <v>6250</v>
      </c>
      <c r="O386" s="70">
        <v>20</v>
      </c>
      <c r="P386" s="71">
        <v>86</v>
      </c>
      <c r="Q386" s="71">
        <v>580</v>
      </c>
      <c r="R386" s="72">
        <v>0.77</v>
      </c>
      <c r="S386" s="71">
        <v>825</v>
      </c>
      <c r="T386" s="71">
        <v>100</v>
      </c>
      <c r="U386" s="73">
        <v>2.8</v>
      </c>
      <c r="V386" s="73">
        <v>0.3</v>
      </c>
      <c r="W386" s="72">
        <v>0.3</v>
      </c>
      <c r="X386" s="72">
        <v>0.41</v>
      </c>
      <c r="Y386" s="72">
        <v>0.22</v>
      </c>
      <c r="Z386" s="74">
        <v>0.11</v>
      </c>
      <c r="AA386" s="74">
        <v>5.1999999999999998E-2</v>
      </c>
      <c r="AB386" s="74">
        <v>1.4999999999999999E-2</v>
      </c>
      <c r="AC386" s="74">
        <v>0.15</v>
      </c>
    </row>
    <row r="387" spans="2:29" x14ac:dyDescent="0.2">
      <c r="B387" s="66" t="s">
        <v>451</v>
      </c>
      <c r="C387" s="67" t="s">
        <v>264</v>
      </c>
      <c r="D387" s="68">
        <v>31</v>
      </c>
      <c r="F387" s="66" t="s">
        <v>794</v>
      </c>
      <c r="G387" s="67" t="s">
        <v>264</v>
      </c>
      <c r="H387" s="68">
        <v>114</v>
      </c>
      <c r="I387" s="70">
        <v>165</v>
      </c>
      <c r="J387" s="70">
        <v>-29</v>
      </c>
      <c r="K387" s="70">
        <v>-31</v>
      </c>
      <c r="L387" s="70">
        <v>30</v>
      </c>
      <c r="M387" s="70">
        <v>22</v>
      </c>
      <c r="N387" s="70">
        <v>5300</v>
      </c>
      <c r="O387" s="70">
        <v>23</v>
      </c>
      <c r="P387" s="71">
        <v>86</v>
      </c>
      <c r="Q387" s="71">
        <v>700</v>
      </c>
      <c r="R387" s="72">
        <v>0.86</v>
      </c>
      <c r="S387" s="71">
        <v>875</v>
      </c>
      <c r="T387" s="71">
        <v>100</v>
      </c>
      <c r="U387" s="73">
        <v>2.1</v>
      </c>
      <c r="V387" s="73">
        <v>0.4</v>
      </c>
      <c r="W387" s="72">
        <v>0.24</v>
      </c>
      <c r="X387" s="72">
        <v>0.32</v>
      </c>
      <c r="Y387" s="72">
        <v>0.51</v>
      </c>
      <c r="Z387" s="74">
        <v>0.24</v>
      </c>
      <c r="AA387" s="74">
        <v>9.9000000000000005E-2</v>
      </c>
      <c r="AB387" s="74">
        <v>3.3000000000000002E-2</v>
      </c>
      <c r="AC387" s="74">
        <v>0.34</v>
      </c>
    </row>
    <row r="388" spans="2:29" x14ac:dyDescent="0.2">
      <c r="B388" s="66" t="s">
        <v>457</v>
      </c>
      <c r="C388" s="67" t="s">
        <v>264</v>
      </c>
      <c r="D388" s="68">
        <v>32</v>
      </c>
      <c r="F388" s="66" t="s">
        <v>404</v>
      </c>
      <c r="G388" s="67" t="s">
        <v>247</v>
      </c>
      <c r="H388" s="68">
        <v>82</v>
      </c>
      <c r="I388" s="76">
        <v>712</v>
      </c>
      <c r="J388" s="70">
        <v>-36</v>
      </c>
      <c r="K388" s="70">
        <v>-40</v>
      </c>
      <c r="L388" s="70">
        <v>27</v>
      </c>
      <c r="M388" s="70">
        <v>19</v>
      </c>
      <c r="N388" s="76">
        <v>5950</v>
      </c>
      <c r="O388" s="76">
        <v>15</v>
      </c>
      <c r="P388" s="77">
        <v>90</v>
      </c>
      <c r="Q388" s="77">
        <v>425</v>
      </c>
      <c r="R388" s="72">
        <v>0.62</v>
      </c>
      <c r="S388" s="77">
        <v>555</v>
      </c>
      <c r="T388" s="77">
        <v>100</v>
      </c>
      <c r="U388" s="73">
        <v>2</v>
      </c>
      <c r="V388" s="73">
        <v>0.1</v>
      </c>
      <c r="W388" s="72">
        <v>0.32</v>
      </c>
      <c r="X388" s="72">
        <v>0.43</v>
      </c>
      <c r="Y388" s="72">
        <v>0.12</v>
      </c>
      <c r="Z388" s="74">
        <v>0.06</v>
      </c>
      <c r="AA388" s="74">
        <v>0.02</v>
      </c>
      <c r="AB388" s="74">
        <v>0.01</v>
      </c>
      <c r="AC388" s="74">
        <v>0.06</v>
      </c>
    </row>
    <row r="389" spans="2:29" x14ac:dyDescent="0.2">
      <c r="B389" s="66" t="s">
        <v>461</v>
      </c>
      <c r="C389" s="67" t="s">
        <v>264</v>
      </c>
      <c r="D389" s="68">
        <v>33</v>
      </c>
      <c r="F389" s="66" t="s">
        <v>574</v>
      </c>
      <c r="G389" s="67" t="s">
        <v>224</v>
      </c>
      <c r="H389" s="68">
        <v>46</v>
      </c>
      <c r="I389" s="70">
        <v>730</v>
      </c>
      <c r="J389" s="70">
        <v>-34</v>
      </c>
      <c r="K389" s="70">
        <v>-37</v>
      </c>
      <c r="L389" s="70">
        <v>30</v>
      </c>
      <c r="M389" s="70">
        <v>18</v>
      </c>
      <c r="N389" s="70">
        <v>5050</v>
      </c>
      <c r="O389" s="70">
        <v>13</v>
      </c>
      <c r="P389" s="71">
        <v>54</v>
      </c>
      <c r="Q389" s="71">
        <v>475</v>
      </c>
      <c r="R389" s="72">
        <v>0.64</v>
      </c>
      <c r="S389" s="71">
        <v>650</v>
      </c>
      <c r="T389" s="71">
        <v>60</v>
      </c>
      <c r="U389" s="73">
        <v>4.3</v>
      </c>
      <c r="V389" s="73">
        <v>0.2</v>
      </c>
      <c r="W389" s="72">
        <v>0.27</v>
      </c>
      <c r="X389" s="72">
        <v>0.35</v>
      </c>
      <c r="Y389" s="72">
        <v>0.27</v>
      </c>
      <c r="Z389" s="74">
        <v>0.16</v>
      </c>
      <c r="AA389" s="74">
        <v>7.5999999999999998E-2</v>
      </c>
      <c r="AB389" s="74">
        <v>4.2000000000000003E-2</v>
      </c>
      <c r="AC389" s="74">
        <v>0.14000000000000001</v>
      </c>
    </row>
    <row r="390" spans="2:29" x14ac:dyDescent="0.2">
      <c r="B390" s="66" t="s">
        <v>464</v>
      </c>
      <c r="C390" s="67" t="s">
        <v>264</v>
      </c>
      <c r="D390" s="68">
        <v>34</v>
      </c>
      <c r="F390" s="66" t="s">
        <v>406</v>
      </c>
      <c r="G390" s="67" t="s">
        <v>247</v>
      </c>
      <c r="H390" s="68">
        <v>83</v>
      </c>
      <c r="I390" s="76">
        <v>625</v>
      </c>
      <c r="J390" s="70">
        <v>-40</v>
      </c>
      <c r="K390" s="70">
        <v>-42</v>
      </c>
      <c r="L390" s="70">
        <v>27</v>
      </c>
      <c r="M390" s="70">
        <v>18</v>
      </c>
      <c r="N390" s="76">
        <v>5900</v>
      </c>
      <c r="O390" s="76">
        <v>15</v>
      </c>
      <c r="P390" s="77">
        <v>65</v>
      </c>
      <c r="Q390" s="77">
        <v>340</v>
      </c>
      <c r="R390" s="72">
        <v>0.53</v>
      </c>
      <c r="S390" s="77">
        <v>425</v>
      </c>
      <c r="T390" s="77">
        <v>90</v>
      </c>
      <c r="U390" s="73">
        <v>2.4</v>
      </c>
      <c r="V390" s="73">
        <v>0.1</v>
      </c>
      <c r="W390" s="72">
        <v>0.26</v>
      </c>
      <c r="X390" s="72">
        <v>0.35</v>
      </c>
      <c r="Y390" s="72">
        <v>0.12</v>
      </c>
      <c r="Z390" s="74">
        <v>0.06</v>
      </c>
      <c r="AA390" s="74">
        <v>0.02</v>
      </c>
      <c r="AB390" s="74">
        <v>0.01</v>
      </c>
      <c r="AC390" s="74">
        <v>0.06</v>
      </c>
    </row>
    <row r="391" spans="2:29" x14ac:dyDescent="0.2">
      <c r="B391" s="66" t="s">
        <v>481</v>
      </c>
      <c r="C391" s="67" t="s">
        <v>264</v>
      </c>
      <c r="D391" s="68">
        <v>35</v>
      </c>
      <c r="F391" s="66" t="s">
        <v>576</v>
      </c>
      <c r="G391" s="67" t="s">
        <v>224</v>
      </c>
      <c r="H391" s="68">
        <v>47</v>
      </c>
      <c r="I391" s="70">
        <v>695</v>
      </c>
      <c r="J391" s="70">
        <v>-35</v>
      </c>
      <c r="K391" s="70">
        <v>-37</v>
      </c>
      <c r="L391" s="70">
        <v>27</v>
      </c>
      <c r="M391" s="70">
        <v>17</v>
      </c>
      <c r="N391" s="70">
        <v>5450</v>
      </c>
      <c r="O391" s="70">
        <v>10</v>
      </c>
      <c r="P391" s="71">
        <v>54</v>
      </c>
      <c r="Q391" s="71">
        <v>350</v>
      </c>
      <c r="R391" s="72">
        <v>0.54</v>
      </c>
      <c r="S391" s="71">
        <v>650</v>
      </c>
      <c r="T391" s="71">
        <v>60</v>
      </c>
      <c r="U391" s="73">
        <v>4.0999999999999996</v>
      </c>
      <c r="V391" s="73">
        <v>0.2</v>
      </c>
      <c r="W391" s="72">
        <v>0.24</v>
      </c>
      <c r="X391" s="72">
        <v>0.32</v>
      </c>
      <c r="Y391" s="72">
        <v>0.18</v>
      </c>
      <c r="Z391" s="74">
        <v>0.1</v>
      </c>
      <c r="AA391" s="74">
        <v>5.0999999999999997E-2</v>
      </c>
      <c r="AB391" s="74">
        <v>2.9000000000000001E-2</v>
      </c>
      <c r="AC391" s="74">
        <v>9.5000000000000001E-2</v>
      </c>
    </row>
    <row r="392" spans="2:29" x14ac:dyDescent="0.2">
      <c r="B392" s="66" t="s">
        <v>490</v>
      </c>
      <c r="C392" s="67" t="s">
        <v>264</v>
      </c>
      <c r="D392" s="68">
        <v>36</v>
      </c>
      <c r="F392" s="66" t="s">
        <v>795</v>
      </c>
      <c r="G392" s="67" t="s">
        <v>278</v>
      </c>
      <c r="H392" s="68">
        <v>15</v>
      </c>
      <c r="I392" s="70">
        <v>480</v>
      </c>
      <c r="J392" s="70">
        <v>-36</v>
      </c>
      <c r="K392" s="70">
        <v>-39</v>
      </c>
      <c r="L392" s="70">
        <v>28</v>
      </c>
      <c r="M392" s="70">
        <v>20</v>
      </c>
      <c r="N392" s="70">
        <v>6200</v>
      </c>
      <c r="O392" s="70">
        <v>15</v>
      </c>
      <c r="P392" s="71">
        <v>76</v>
      </c>
      <c r="Q392" s="71">
        <v>320</v>
      </c>
      <c r="R392" s="72">
        <v>0.53</v>
      </c>
      <c r="S392" s="71">
        <v>450</v>
      </c>
      <c r="T392" s="71">
        <v>120</v>
      </c>
      <c r="U392" s="73">
        <v>1.7</v>
      </c>
      <c r="V392" s="73">
        <v>0.1</v>
      </c>
      <c r="W392" s="72">
        <v>0.36</v>
      </c>
      <c r="X392" s="72">
        <v>0.49</v>
      </c>
      <c r="Y392" s="72">
        <v>0.12</v>
      </c>
      <c r="Z392" s="74">
        <v>5.6000000000000001E-2</v>
      </c>
      <c r="AA392" s="74">
        <v>2.3E-2</v>
      </c>
      <c r="AB392" s="74">
        <v>6.0000000000000001E-3</v>
      </c>
      <c r="AC392" s="74">
        <v>5.8999999999999997E-2</v>
      </c>
    </row>
    <row r="393" spans="2:29" x14ac:dyDescent="0.2">
      <c r="B393" s="66" t="s">
        <v>492</v>
      </c>
      <c r="C393" s="67" t="s">
        <v>264</v>
      </c>
      <c r="D393" s="68">
        <v>37</v>
      </c>
      <c r="F393" s="66" t="s">
        <v>408</v>
      </c>
      <c r="G393" s="67" t="s">
        <v>247</v>
      </c>
      <c r="H393" s="68">
        <v>84</v>
      </c>
      <c r="I393" s="76">
        <v>705</v>
      </c>
      <c r="J393" s="70">
        <v>-31</v>
      </c>
      <c r="K393" s="70">
        <v>-34</v>
      </c>
      <c r="L393" s="70">
        <v>33</v>
      </c>
      <c r="M393" s="70">
        <v>19</v>
      </c>
      <c r="N393" s="76">
        <v>4750</v>
      </c>
      <c r="O393" s="76">
        <v>23</v>
      </c>
      <c r="P393" s="77">
        <v>92</v>
      </c>
      <c r="Q393" s="77">
        <v>250</v>
      </c>
      <c r="R393" s="72">
        <v>0.25</v>
      </c>
      <c r="S393" s="77">
        <v>325</v>
      </c>
      <c r="T393" s="77">
        <v>220</v>
      </c>
      <c r="U393" s="73">
        <v>1.1000000000000001</v>
      </c>
      <c r="V393" s="73">
        <v>0.1</v>
      </c>
      <c r="W393" s="72">
        <v>0.39</v>
      </c>
      <c r="X393" s="72">
        <v>0.54</v>
      </c>
      <c r="Y393" s="72">
        <v>0.12</v>
      </c>
      <c r="Z393" s="74">
        <v>5.6000000000000001E-2</v>
      </c>
      <c r="AA393" s="74">
        <v>2.3E-2</v>
      </c>
      <c r="AB393" s="74">
        <v>8.9999999999999993E-3</v>
      </c>
      <c r="AC393" s="74">
        <v>5.8999999999999997E-2</v>
      </c>
    </row>
    <row r="394" spans="2:29" x14ac:dyDescent="0.2">
      <c r="B394" s="66" t="s">
        <v>312</v>
      </c>
      <c r="C394" s="67" t="s">
        <v>264</v>
      </c>
      <c r="D394" s="68">
        <v>38</v>
      </c>
      <c r="F394" s="66" t="s">
        <v>796</v>
      </c>
      <c r="G394" s="67" t="s">
        <v>278</v>
      </c>
      <c r="H394" s="68">
        <v>16</v>
      </c>
      <c r="I394" s="70">
        <v>455</v>
      </c>
      <c r="J394" s="70">
        <v>-37</v>
      </c>
      <c r="K394" s="70">
        <v>-40</v>
      </c>
      <c r="L394" s="70">
        <v>28</v>
      </c>
      <c r="M394" s="70">
        <v>21</v>
      </c>
      <c r="N394" s="70">
        <v>6350</v>
      </c>
      <c r="O394" s="70">
        <v>18</v>
      </c>
      <c r="P394" s="71">
        <v>81</v>
      </c>
      <c r="Q394" s="71">
        <v>310</v>
      </c>
      <c r="R394" s="72">
        <v>0.5</v>
      </c>
      <c r="S394" s="71">
        <v>410</v>
      </c>
      <c r="T394" s="71">
        <v>120</v>
      </c>
      <c r="U394" s="73">
        <v>2.1</v>
      </c>
      <c r="V394" s="73">
        <v>0.1</v>
      </c>
      <c r="W394" s="72">
        <v>0.26</v>
      </c>
      <c r="X394" s="72">
        <v>0.36</v>
      </c>
      <c r="Y394" s="72">
        <v>0.12</v>
      </c>
      <c r="Z394" s="74">
        <v>5.6000000000000001E-2</v>
      </c>
      <c r="AA394" s="74">
        <v>2.3E-2</v>
      </c>
      <c r="AB394" s="74">
        <v>6.0000000000000001E-3</v>
      </c>
      <c r="AC394" s="74">
        <v>5.8999999999999997E-2</v>
      </c>
    </row>
    <row r="395" spans="2:29" x14ac:dyDescent="0.2">
      <c r="B395" s="66" t="s">
        <v>496</v>
      </c>
      <c r="C395" s="67" t="s">
        <v>264</v>
      </c>
      <c r="D395" s="68">
        <v>39</v>
      </c>
      <c r="F395" s="66" t="s">
        <v>797</v>
      </c>
      <c r="G395" s="67" t="s">
        <v>278</v>
      </c>
      <c r="H395" s="68">
        <v>17</v>
      </c>
      <c r="I395" s="70">
        <v>550</v>
      </c>
      <c r="J395" s="70">
        <v>-34</v>
      </c>
      <c r="K395" s="70">
        <v>-36</v>
      </c>
      <c r="L395" s="70">
        <v>29</v>
      </c>
      <c r="M395" s="70">
        <v>21</v>
      </c>
      <c r="N395" s="70">
        <v>6100</v>
      </c>
      <c r="O395" s="70">
        <v>23</v>
      </c>
      <c r="P395" s="71">
        <v>76</v>
      </c>
      <c r="Q395" s="71">
        <v>340</v>
      </c>
      <c r="R395" s="72">
        <v>0.52</v>
      </c>
      <c r="S395" s="71">
        <v>410</v>
      </c>
      <c r="T395" s="71">
        <v>160</v>
      </c>
      <c r="U395" s="73">
        <v>1.7</v>
      </c>
      <c r="V395" s="73">
        <v>0.1</v>
      </c>
      <c r="W395" s="72">
        <v>0.32</v>
      </c>
      <c r="X395" s="72">
        <v>0.4</v>
      </c>
      <c r="Y395" s="72">
        <v>0.12</v>
      </c>
      <c r="Z395" s="74">
        <v>5.6000000000000001E-2</v>
      </c>
      <c r="AA395" s="74">
        <v>2.3E-2</v>
      </c>
      <c r="AB395" s="74">
        <v>6.0000000000000001E-3</v>
      </c>
      <c r="AC395" s="74">
        <v>5.8999999999999997E-2</v>
      </c>
    </row>
    <row r="396" spans="2:29" x14ac:dyDescent="0.2">
      <c r="B396" s="66" t="s">
        <v>500</v>
      </c>
      <c r="C396" s="67" t="s">
        <v>264</v>
      </c>
      <c r="D396" s="68">
        <v>40</v>
      </c>
      <c r="F396" s="66" t="s">
        <v>578</v>
      </c>
      <c r="G396" s="67" t="s">
        <v>224</v>
      </c>
      <c r="H396" s="68">
        <v>48</v>
      </c>
      <c r="I396" s="70">
        <v>570</v>
      </c>
      <c r="J396" s="70">
        <v>-26</v>
      </c>
      <c r="K396" s="70">
        <v>-29</v>
      </c>
      <c r="L396" s="70">
        <v>34</v>
      </c>
      <c r="M396" s="70">
        <v>20</v>
      </c>
      <c r="N396" s="70">
        <v>4100</v>
      </c>
      <c r="O396" s="70">
        <v>8</v>
      </c>
      <c r="P396" s="71">
        <v>54</v>
      </c>
      <c r="Q396" s="71">
        <v>240</v>
      </c>
      <c r="R396" s="72">
        <v>0.24</v>
      </c>
      <c r="S396" s="71">
        <v>310</v>
      </c>
      <c r="T396" s="71">
        <v>80</v>
      </c>
      <c r="U396" s="73">
        <v>1.8</v>
      </c>
      <c r="V396" s="73">
        <v>0.3</v>
      </c>
      <c r="W396" s="72">
        <v>0.32</v>
      </c>
      <c r="X396" s="72">
        <v>0.44</v>
      </c>
      <c r="Y396" s="72">
        <v>0.32</v>
      </c>
      <c r="Z396" s="74">
        <v>0.25</v>
      </c>
      <c r="AA396" s="74">
        <v>0.16</v>
      </c>
      <c r="AB396" s="74">
        <v>9.0999999999999998E-2</v>
      </c>
      <c r="AC396" s="74">
        <v>0.16</v>
      </c>
    </row>
    <row r="397" spans="2:29" x14ac:dyDescent="0.2">
      <c r="B397" s="66" t="s">
        <v>512</v>
      </c>
      <c r="C397" s="67" t="s">
        <v>264</v>
      </c>
      <c r="D397" s="68">
        <v>41</v>
      </c>
      <c r="F397" s="66" t="s">
        <v>798</v>
      </c>
      <c r="G397" s="67" t="s">
        <v>264</v>
      </c>
      <c r="H397" s="68">
        <v>115</v>
      </c>
      <c r="I397" s="70">
        <v>190</v>
      </c>
      <c r="J397" s="70">
        <v>-23</v>
      </c>
      <c r="K397" s="70">
        <v>-26</v>
      </c>
      <c r="L397" s="70">
        <v>29</v>
      </c>
      <c r="M397" s="70">
        <v>22</v>
      </c>
      <c r="N397" s="70">
        <v>4300</v>
      </c>
      <c r="O397" s="70">
        <v>25</v>
      </c>
      <c r="P397" s="71">
        <v>97</v>
      </c>
      <c r="Q397" s="71">
        <v>740</v>
      </c>
      <c r="R397" s="72">
        <v>0.88</v>
      </c>
      <c r="S397" s="71">
        <v>1060</v>
      </c>
      <c r="T397" s="71">
        <v>160</v>
      </c>
      <c r="U397" s="73">
        <v>2.7</v>
      </c>
      <c r="V397" s="73">
        <v>0.4</v>
      </c>
      <c r="W397" s="72">
        <v>0.25</v>
      </c>
      <c r="X397" s="72">
        <v>0.39</v>
      </c>
      <c r="Y397" s="72">
        <v>0.15</v>
      </c>
      <c r="Z397" s="74">
        <v>9.2999999999999999E-2</v>
      </c>
      <c r="AA397" s="74">
        <v>4.8000000000000001E-2</v>
      </c>
      <c r="AB397" s="74">
        <v>1.4E-2</v>
      </c>
      <c r="AC397" s="74">
        <v>6.8000000000000005E-2</v>
      </c>
    </row>
    <row r="398" spans="2:29" x14ac:dyDescent="0.2">
      <c r="B398" s="66" t="s">
        <v>515</v>
      </c>
      <c r="C398" s="67" t="s">
        <v>264</v>
      </c>
      <c r="D398" s="68">
        <v>42</v>
      </c>
      <c r="F398" s="66" t="s">
        <v>410</v>
      </c>
      <c r="G398" s="67" t="s">
        <v>247</v>
      </c>
      <c r="H398" s="68">
        <v>85</v>
      </c>
      <c r="I398" s="76">
        <v>1059</v>
      </c>
      <c r="J398" s="70">
        <v>-31</v>
      </c>
      <c r="K398" s="70">
        <v>-35</v>
      </c>
      <c r="L398" s="70">
        <v>31</v>
      </c>
      <c r="M398" s="70">
        <v>19</v>
      </c>
      <c r="N398" s="76">
        <v>4800</v>
      </c>
      <c r="O398" s="76">
        <v>16</v>
      </c>
      <c r="P398" s="77">
        <v>70</v>
      </c>
      <c r="Q398" s="77">
        <v>280</v>
      </c>
      <c r="R398" s="72">
        <v>0.28999999999999998</v>
      </c>
      <c r="S398" s="77">
        <v>375</v>
      </c>
      <c r="T398" s="77">
        <v>190</v>
      </c>
      <c r="U398" s="73">
        <v>1.7</v>
      </c>
      <c r="V398" s="73">
        <v>0.1</v>
      </c>
      <c r="W398" s="72">
        <v>0.62</v>
      </c>
      <c r="X398" s="72">
        <v>0.83</v>
      </c>
      <c r="Y398" s="72">
        <v>0.14000000000000001</v>
      </c>
      <c r="Z398" s="74">
        <v>0.08</v>
      </c>
      <c r="AA398" s="74">
        <v>0.04</v>
      </c>
      <c r="AB398" s="74">
        <v>0.02</v>
      </c>
      <c r="AC398" s="74">
        <v>0.08</v>
      </c>
    </row>
    <row r="399" spans="2:29" x14ac:dyDescent="0.2">
      <c r="B399" s="66" t="s">
        <v>529</v>
      </c>
      <c r="C399" s="67" t="s">
        <v>264</v>
      </c>
      <c r="D399" s="68">
        <v>43</v>
      </c>
      <c r="F399" s="66" t="s">
        <v>412</v>
      </c>
      <c r="G399" s="67" t="s">
        <v>247</v>
      </c>
      <c r="H399" s="68">
        <v>86</v>
      </c>
      <c r="I399" s="76">
        <v>755</v>
      </c>
      <c r="J399" s="70">
        <v>-35</v>
      </c>
      <c r="K399" s="70">
        <v>-38</v>
      </c>
      <c r="L399" s="70">
        <v>27</v>
      </c>
      <c r="M399" s="70">
        <v>19</v>
      </c>
      <c r="N399" s="76">
        <v>5600</v>
      </c>
      <c r="O399" s="76">
        <v>21</v>
      </c>
      <c r="P399" s="77">
        <v>95</v>
      </c>
      <c r="Q399" s="77">
        <v>380</v>
      </c>
      <c r="R399" s="72">
        <v>0.55000000000000004</v>
      </c>
      <c r="S399" s="77">
        <v>475</v>
      </c>
      <c r="T399" s="77">
        <v>160</v>
      </c>
      <c r="U399" s="73">
        <v>1.9</v>
      </c>
      <c r="V399" s="73">
        <v>0.1</v>
      </c>
      <c r="W399" s="72">
        <v>0.31</v>
      </c>
      <c r="X399" s="72">
        <v>0.42</v>
      </c>
      <c r="Y399" s="72">
        <v>0.12</v>
      </c>
      <c r="Z399" s="74">
        <v>0.06</v>
      </c>
      <c r="AA399" s="74">
        <v>0.02</v>
      </c>
      <c r="AB399" s="74">
        <v>0.01</v>
      </c>
      <c r="AC399" s="74">
        <v>0.06</v>
      </c>
    </row>
    <row r="400" spans="2:29" x14ac:dyDescent="0.2">
      <c r="B400" s="66" t="s">
        <v>530</v>
      </c>
      <c r="C400" s="67" t="s">
        <v>264</v>
      </c>
      <c r="D400" s="68">
        <v>44</v>
      </c>
      <c r="F400" s="66" t="s">
        <v>799</v>
      </c>
      <c r="G400" s="67" t="s">
        <v>264</v>
      </c>
      <c r="H400" s="68">
        <v>116</v>
      </c>
      <c r="I400" s="70">
        <v>200</v>
      </c>
      <c r="J400" s="70">
        <v>-18</v>
      </c>
      <c r="K400" s="70">
        <v>-20</v>
      </c>
      <c r="L400" s="70">
        <v>30</v>
      </c>
      <c r="M400" s="70">
        <v>23</v>
      </c>
      <c r="N400" s="70">
        <v>4100</v>
      </c>
      <c r="O400" s="70">
        <v>25</v>
      </c>
      <c r="P400" s="71">
        <v>119</v>
      </c>
      <c r="Q400" s="71">
        <v>750</v>
      </c>
      <c r="R400" s="72">
        <v>0.85</v>
      </c>
      <c r="S400" s="71">
        <v>850</v>
      </c>
      <c r="T400" s="71">
        <v>160</v>
      </c>
      <c r="U400" s="73">
        <v>1.3</v>
      </c>
      <c r="V400" s="73">
        <v>0.4</v>
      </c>
      <c r="W400" s="72">
        <v>0.32</v>
      </c>
      <c r="X400" s="72">
        <v>0.43</v>
      </c>
      <c r="Y400" s="72">
        <v>0.3</v>
      </c>
      <c r="Z400" s="74">
        <v>0.15</v>
      </c>
      <c r="AA400" s="74">
        <v>5.3999999999999999E-2</v>
      </c>
      <c r="AB400" s="74">
        <v>1.7000000000000001E-2</v>
      </c>
      <c r="AC400" s="74">
        <v>0.22</v>
      </c>
    </row>
    <row r="401" spans="2:29" x14ac:dyDescent="0.2">
      <c r="B401" s="66" t="s">
        <v>536</v>
      </c>
      <c r="C401" s="67" t="s">
        <v>264</v>
      </c>
      <c r="D401" s="68">
        <v>45</v>
      </c>
      <c r="F401" s="66" t="s">
        <v>800</v>
      </c>
      <c r="G401" s="67" t="s">
        <v>264</v>
      </c>
      <c r="H401" s="68">
        <v>117</v>
      </c>
      <c r="I401" s="70">
        <v>370</v>
      </c>
      <c r="J401" s="70">
        <v>-19</v>
      </c>
      <c r="K401" s="70">
        <v>-21</v>
      </c>
      <c r="L401" s="70">
        <v>29</v>
      </c>
      <c r="M401" s="70">
        <v>23</v>
      </c>
      <c r="N401" s="70">
        <v>4450</v>
      </c>
      <c r="O401" s="70">
        <v>30</v>
      </c>
      <c r="P401" s="71">
        <v>108</v>
      </c>
      <c r="Q401" s="71">
        <v>800</v>
      </c>
      <c r="R401" s="72">
        <v>0.93</v>
      </c>
      <c r="S401" s="71">
        <v>1050</v>
      </c>
      <c r="T401" s="71">
        <v>160</v>
      </c>
      <c r="U401" s="73">
        <v>2.4</v>
      </c>
      <c r="V401" s="73">
        <v>0.4</v>
      </c>
      <c r="W401" s="72">
        <v>0.31</v>
      </c>
      <c r="X401" s="72">
        <v>0.43</v>
      </c>
      <c r="Y401" s="72">
        <v>0.15</v>
      </c>
      <c r="Z401" s="74">
        <v>8.2000000000000003E-2</v>
      </c>
      <c r="AA401" s="74">
        <v>4.4999999999999998E-2</v>
      </c>
      <c r="AB401" s="74">
        <v>1.2E-2</v>
      </c>
      <c r="AC401" s="74">
        <v>0.08</v>
      </c>
    </row>
    <row r="402" spans="2:29" x14ac:dyDescent="0.2">
      <c r="B402" s="66" t="s">
        <v>538</v>
      </c>
      <c r="C402" s="67" t="s">
        <v>264</v>
      </c>
      <c r="D402" s="68">
        <v>46</v>
      </c>
      <c r="F402" s="66" t="s">
        <v>801</v>
      </c>
      <c r="G402" s="67" t="s">
        <v>264</v>
      </c>
      <c r="H402" s="68">
        <v>118</v>
      </c>
      <c r="I402" s="70">
        <v>270</v>
      </c>
      <c r="J402" s="70">
        <v>-26</v>
      </c>
      <c r="K402" s="70">
        <v>-29</v>
      </c>
      <c r="L402" s="70">
        <v>29</v>
      </c>
      <c r="M402" s="70">
        <v>22</v>
      </c>
      <c r="N402" s="70">
        <v>4900</v>
      </c>
      <c r="O402" s="70">
        <v>25</v>
      </c>
      <c r="P402" s="71">
        <v>97</v>
      </c>
      <c r="Q402" s="71">
        <v>780</v>
      </c>
      <c r="R402" s="72">
        <v>0.9</v>
      </c>
      <c r="S402" s="71">
        <v>1010</v>
      </c>
      <c r="T402" s="71">
        <v>100</v>
      </c>
      <c r="U402" s="73">
        <v>2.7</v>
      </c>
      <c r="V402" s="73">
        <v>0.4</v>
      </c>
      <c r="W402" s="72">
        <v>0.26</v>
      </c>
      <c r="X402" s="72">
        <v>0.35</v>
      </c>
      <c r="Y402" s="72">
        <v>0.19</v>
      </c>
      <c r="Z402" s="74">
        <v>0.12</v>
      </c>
      <c r="AA402" s="74">
        <v>5.8000000000000003E-2</v>
      </c>
      <c r="AB402" s="74">
        <v>1.7000000000000001E-2</v>
      </c>
      <c r="AC402" s="74">
        <v>8.8999999999999996E-2</v>
      </c>
    </row>
    <row r="403" spans="2:29" x14ac:dyDescent="0.2">
      <c r="B403" s="66" t="s">
        <v>543</v>
      </c>
      <c r="C403" s="67" t="s">
        <v>264</v>
      </c>
      <c r="D403" s="68">
        <v>47</v>
      </c>
      <c r="F403" s="66" t="s">
        <v>580</v>
      </c>
      <c r="G403" s="67" t="s">
        <v>224</v>
      </c>
      <c r="H403" s="68">
        <v>49</v>
      </c>
      <c r="I403" s="70">
        <v>45</v>
      </c>
      <c r="J403" s="70">
        <v>-9</v>
      </c>
      <c r="K403" s="70">
        <v>-11</v>
      </c>
      <c r="L403" s="70">
        <v>30</v>
      </c>
      <c r="M403" s="70">
        <v>20</v>
      </c>
      <c r="N403" s="70">
        <v>3050</v>
      </c>
      <c r="O403" s="70">
        <v>13</v>
      </c>
      <c r="P403" s="71">
        <v>123</v>
      </c>
      <c r="Q403" s="71">
        <v>1650</v>
      </c>
      <c r="R403" s="72">
        <v>1.71</v>
      </c>
      <c r="S403" s="71">
        <v>1700</v>
      </c>
      <c r="T403" s="71">
        <v>160</v>
      </c>
      <c r="U403" s="73">
        <v>2.4</v>
      </c>
      <c r="V403" s="73">
        <v>0.3</v>
      </c>
      <c r="W403" s="72">
        <v>0.47</v>
      </c>
      <c r="X403" s="72">
        <v>0.67</v>
      </c>
      <c r="Y403" s="72">
        <v>0.93</v>
      </c>
      <c r="Z403" s="74">
        <v>0.62</v>
      </c>
      <c r="AA403" s="74">
        <v>0.31</v>
      </c>
      <c r="AB403" s="74">
        <v>0.17</v>
      </c>
      <c r="AC403" s="74">
        <v>0.46</v>
      </c>
    </row>
    <row r="404" spans="2:29" x14ac:dyDescent="0.2">
      <c r="B404" s="66" t="s">
        <v>548</v>
      </c>
      <c r="C404" s="67" t="s">
        <v>264</v>
      </c>
      <c r="D404" s="68">
        <v>48</v>
      </c>
      <c r="F404" s="66" t="s">
        <v>802</v>
      </c>
      <c r="G404" s="67" t="s">
        <v>264</v>
      </c>
      <c r="H404" s="68">
        <v>119</v>
      </c>
      <c r="I404" s="70">
        <v>160</v>
      </c>
      <c r="J404" s="70">
        <v>-18</v>
      </c>
      <c r="K404" s="70">
        <v>-20</v>
      </c>
      <c r="L404" s="70">
        <v>30</v>
      </c>
      <c r="M404" s="70">
        <v>23</v>
      </c>
      <c r="N404" s="70">
        <v>3950</v>
      </c>
      <c r="O404" s="70">
        <v>25</v>
      </c>
      <c r="P404" s="71">
        <v>113</v>
      </c>
      <c r="Q404" s="71">
        <v>720</v>
      </c>
      <c r="R404" s="72">
        <v>0.85</v>
      </c>
      <c r="S404" s="71">
        <v>800</v>
      </c>
      <c r="T404" s="71">
        <v>160</v>
      </c>
      <c r="U404" s="73">
        <v>1.1000000000000001</v>
      </c>
      <c r="V404" s="73">
        <v>0.4</v>
      </c>
      <c r="W404" s="72">
        <v>0.37</v>
      </c>
      <c r="X404" s="72">
        <v>0.49</v>
      </c>
      <c r="Y404" s="72">
        <v>0.31</v>
      </c>
      <c r="Z404" s="74">
        <v>0.15</v>
      </c>
      <c r="AA404" s="74">
        <v>5.5E-2</v>
      </c>
      <c r="AB404" s="74">
        <v>1.7000000000000001E-2</v>
      </c>
      <c r="AC404" s="74">
        <v>0.22</v>
      </c>
    </row>
    <row r="405" spans="2:29" x14ac:dyDescent="0.2">
      <c r="B405" s="66" t="s">
        <v>553</v>
      </c>
      <c r="C405" s="67" t="s">
        <v>264</v>
      </c>
      <c r="D405" s="68">
        <v>49</v>
      </c>
      <c r="F405" s="66" t="s">
        <v>803</v>
      </c>
      <c r="G405" s="67" t="s">
        <v>264</v>
      </c>
      <c r="H405" s="68">
        <v>120</v>
      </c>
      <c r="I405" s="70">
        <v>75</v>
      </c>
      <c r="J405" s="70">
        <v>-18</v>
      </c>
      <c r="K405" s="70">
        <v>-20</v>
      </c>
      <c r="L405" s="70">
        <v>30</v>
      </c>
      <c r="M405" s="70">
        <v>23</v>
      </c>
      <c r="N405" s="70">
        <v>3800</v>
      </c>
      <c r="O405" s="70">
        <v>25</v>
      </c>
      <c r="P405" s="71">
        <v>108</v>
      </c>
      <c r="Q405" s="71">
        <v>720</v>
      </c>
      <c r="R405" s="72">
        <v>0.87</v>
      </c>
      <c r="S405" s="71">
        <v>800</v>
      </c>
      <c r="T405" s="71">
        <v>160</v>
      </c>
      <c r="U405" s="73">
        <v>0.9</v>
      </c>
      <c r="V405" s="73">
        <v>0.4</v>
      </c>
      <c r="W405" s="72">
        <v>0.37</v>
      </c>
      <c r="X405" s="72">
        <v>0.49</v>
      </c>
      <c r="Y405" s="72">
        <v>0.32</v>
      </c>
      <c r="Z405" s="74">
        <v>0.16</v>
      </c>
      <c r="AA405" s="74">
        <v>5.8000000000000003E-2</v>
      </c>
      <c r="AB405" s="74">
        <v>1.7999999999999999E-2</v>
      </c>
      <c r="AC405" s="74">
        <v>0.24</v>
      </c>
    </row>
    <row r="406" spans="2:29" x14ac:dyDescent="0.2">
      <c r="B406" s="66" t="s">
        <v>555</v>
      </c>
      <c r="C406" s="67" t="s">
        <v>264</v>
      </c>
      <c r="D406" s="68">
        <v>50</v>
      </c>
      <c r="F406" s="66" t="s">
        <v>804</v>
      </c>
      <c r="G406" s="67" t="s">
        <v>264</v>
      </c>
      <c r="H406" s="68">
        <v>121</v>
      </c>
      <c r="I406" s="70">
        <v>335</v>
      </c>
      <c r="J406" s="70">
        <v>-18</v>
      </c>
      <c r="K406" s="70">
        <v>-20</v>
      </c>
      <c r="L406" s="70">
        <v>29</v>
      </c>
      <c r="M406" s="70">
        <v>23</v>
      </c>
      <c r="N406" s="70">
        <v>4400</v>
      </c>
      <c r="O406" s="70">
        <v>28</v>
      </c>
      <c r="P406" s="71">
        <v>113</v>
      </c>
      <c r="Q406" s="71">
        <v>810</v>
      </c>
      <c r="R406" s="72">
        <v>0.94</v>
      </c>
      <c r="S406" s="71">
        <v>1050</v>
      </c>
      <c r="T406" s="71">
        <v>160</v>
      </c>
      <c r="U406" s="73">
        <v>2.4</v>
      </c>
      <c r="V406" s="73">
        <v>0.4</v>
      </c>
      <c r="W406" s="72">
        <v>0.35</v>
      </c>
      <c r="X406" s="72">
        <v>0.5</v>
      </c>
      <c r="Y406" s="72">
        <v>0.14000000000000001</v>
      </c>
      <c r="Z406" s="74">
        <v>0.08</v>
      </c>
      <c r="AA406" s="74">
        <v>4.2999999999999997E-2</v>
      </c>
      <c r="AB406" s="74">
        <v>1.2E-2</v>
      </c>
      <c r="AC406" s="74">
        <v>7.4999999999999997E-2</v>
      </c>
    </row>
    <row r="407" spans="2:29" x14ac:dyDescent="0.2">
      <c r="B407" s="66" t="s">
        <v>557</v>
      </c>
      <c r="C407" s="67" t="s">
        <v>264</v>
      </c>
      <c r="D407" s="68">
        <v>51</v>
      </c>
      <c r="F407" s="66" t="s">
        <v>687</v>
      </c>
      <c r="G407" s="67" t="s">
        <v>254</v>
      </c>
      <c r="H407" s="68">
        <v>9</v>
      </c>
      <c r="I407" s="70">
        <v>20</v>
      </c>
      <c r="J407" s="70">
        <v>-22</v>
      </c>
      <c r="K407" s="70">
        <v>-24</v>
      </c>
      <c r="L407" s="70">
        <v>28</v>
      </c>
      <c r="M407" s="70">
        <v>21</v>
      </c>
      <c r="N407" s="70">
        <v>4750</v>
      </c>
      <c r="O407" s="70">
        <v>20</v>
      </c>
      <c r="P407" s="71">
        <v>112</v>
      </c>
      <c r="Q407" s="71">
        <v>850</v>
      </c>
      <c r="R407" s="72">
        <v>1.02</v>
      </c>
      <c r="S407" s="71">
        <v>1175</v>
      </c>
      <c r="T407" s="71">
        <v>220</v>
      </c>
      <c r="U407" s="73">
        <v>3</v>
      </c>
      <c r="V407" s="73">
        <v>0.6</v>
      </c>
      <c r="W407" s="72">
        <v>0.46</v>
      </c>
      <c r="X407" s="72">
        <v>0.64</v>
      </c>
      <c r="Y407" s="72">
        <v>0.3</v>
      </c>
      <c r="Z407" s="74">
        <v>0.16</v>
      </c>
      <c r="AA407" s="74">
        <v>6.8000000000000005E-2</v>
      </c>
      <c r="AB407" s="74">
        <v>2.1000000000000001E-2</v>
      </c>
      <c r="AC407" s="74">
        <v>0.22</v>
      </c>
    </row>
    <row r="408" spans="2:29" x14ac:dyDescent="0.2">
      <c r="B408" s="66" t="s">
        <v>559</v>
      </c>
      <c r="C408" s="67" t="s">
        <v>264</v>
      </c>
      <c r="D408" s="68">
        <v>52</v>
      </c>
      <c r="F408" s="66" t="s">
        <v>805</v>
      </c>
      <c r="G408" s="67" t="s">
        <v>257</v>
      </c>
      <c r="H408" s="68">
        <v>59</v>
      </c>
      <c r="I408" s="70">
        <v>90</v>
      </c>
      <c r="J408" s="70">
        <v>-24</v>
      </c>
      <c r="K408" s="70">
        <v>-26</v>
      </c>
      <c r="L408" s="70">
        <v>25</v>
      </c>
      <c r="M408" s="70">
        <v>20</v>
      </c>
      <c r="N408" s="70">
        <v>5450</v>
      </c>
      <c r="O408" s="70">
        <v>18</v>
      </c>
      <c r="P408" s="71">
        <v>91</v>
      </c>
      <c r="Q408" s="71">
        <v>610</v>
      </c>
      <c r="R408" s="72">
        <v>0.84</v>
      </c>
      <c r="S408" s="71">
        <v>920</v>
      </c>
      <c r="T408" s="71">
        <v>220</v>
      </c>
      <c r="U408" s="73">
        <v>4</v>
      </c>
      <c r="V408" s="73">
        <v>0.4</v>
      </c>
      <c r="W408" s="72">
        <v>0.45</v>
      </c>
      <c r="X408" s="72">
        <v>0.6</v>
      </c>
      <c r="Y408" s="72">
        <v>0.62</v>
      </c>
      <c r="Z408" s="74">
        <v>0.33</v>
      </c>
      <c r="AA408" s="74">
        <v>0.15</v>
      </c>
      <c r="AB408" s="74">
        <v>4.8000000000000001E-2</v>
      </c>
      <c r="AC408" s="74">
        <v>0.39</v>
      </c>
    </row>
    <row r="409" spans="2:29" x14ac:dyDescent="0.2">
      <c r="B409" s="66" t="s">
        <v>564</v>
      </c>
      <c r="C409" s="67" t="s">
        <v>264</v>
      </c>
      <c r="D409" s="68">
        <v>53</v>
      </c>
      <c r="F409" s="66" t="s">
        <v>806</v>
      </c>
      <c r="G409" s="67" t="s">
        <v>257</v>
      </c>
      <c r="H409" s="68">
        <v>60</v>
      </c>
      <c r="I409" s="70">
        <v>225</v>
      </c>
      <c r="J409" s="70">
        <v>-29</v>
      </c>
      <c r="K409" s="70">
        <v>-32</v>
      </c>
      <c r="L409" s="70">
        <v>29</v>
      </c>
      <c r="M409" s="70">
        <v>22</v>
      </c>
      <c r="N409" s="70">
        <v>5400</v>
      </c>
      <c r="O409" s="70">
        <v>28</v>
      </c>
      <c r="P409" s="71">
        <v>107</v>
      </c>
      <c r="Q409" s="71">
        <v>790</v>
      </c>
      <c r="R409" s="72">
        <v>0.93</v>
      </c>
      <c r="S409" s="71">
        <v>1000</v>
      </c>
      <c r="T409" s="71">
        <v>160</v>
      </c>
      <c r="U409" s="73">
        <v>2.6</v>
      </c>
      <c r="V409" s="73">
        <v>0.4</v>
      </c>
      <c r="W409" s="72">
        <v>0.24</v>
      </c>
      <c r="X409" s="72">
        <v>0.3</v>
      </c>
      <c r="Y409" s="72">
        <v>0.66</v>
      </c>
      <c r="Z409" s="74">
        <v>0.3</v>
      </c>
      <c r="AA409" s="74">
        <v>0.14000000000000001</v>
      </c>
      <c r="AB409" s="74">
        <v>3.9E-2</v>
      </c>
      <c r="AC409" s="74">
        <v>0.43</v>
      </c>
    </row>
    <row r="410" spans="2:29" x14ac:dyDescent="0.2">
      <c r="B410" s="66" t="s">
        <v>572</v>
      </c>
      <c r="C410" s="67" t="s">
        <v>264</v>
      </c>
      <c r="D410" s="68">
        <v>54</v>
      </c>
      <c r="F410" s="66" t="s">
        <v>807</v>
      </c>
      <c r="G410" s="67" t="s">
        <v>257</v>
      </c>
      <c r="H410" s="68">
        <v>61</v>
      </c>
      <c r="I410" s="70">
        <v>10</v>
      </c>
      <c r="J410" s="70">
        <v>-25</v>
      </c>
      <c r="K410" s="70">
        <v>-28</v>
      </c>
      <c r="L410" s="70">
        <v>28</v>
      </c>
      <c r="M410" s="70">
        <v>22</v>
      </c>
      <c r="N410" s="70">
        <v>5100</v>
      </c>
      <c r="O410" s="70">
        <v>20</v>
      </c>
      <c r="P410" s="71">
        <v>96</v>
      </c>
      <c r="Q410" s="71">
        <v>880</v>
      </c>
      <c r="R410" s="72">
        <v>1.01</v>
      </c>
      <c r="S410" s="71">
        <v>1090</v>
      </c>
      <c r="T410" s="71">
        <v>180</v>
      </c>
      <c r="U410" s="73">
        <v>2.9</v>
      </c>
      <c r="V410" s="73">
        <v>0.6</v>
      </c>
      <c r="W410" s="72">
        <v>0.39</v>
      </c>
      <c r="X410" s="72">
        <v>0.55000000000000004</v>
      </c>
      <c r="Y410" s="72">
        <v>0.89</v>
      </c>
      <c r="Z410" s="74">
        <v>0.48</v>
      </c>
      <c r="AA410" s="74">
        <v>0.23</v>
      </c>
      <c r="AB410" s="74">
        <v>7.5999999999999998E-2</v>
      </c>
      <c r="AC410" s="74">
        <v>0.49</v>
      </c>
    </row>
    <row r="411" spans="2:29" x14ac:dyDescent="0.2">
      <c r="B411" s="66" t="s">
        <v>575</v>
      </c>
      <c r="C411" s="67" t="s">
        <v>264</v>
      </c>
      <c r="D411" s="68">
        <v>55</v>
      </c>
      <c r="F411" s="66" t="s">
        <v>808</v>
      </c>
      <c r="G411" s="67" t="s">
        <v>257</v>
      </c>
      <c r="H411" s="68">
        <v>62</v>
      </c>
      <c r="I411" s="70">
        <v>35</v>
      </c>
      <c r="J411" s="70">
        <v>-23</v>
      </c>
      <c r="K411" s="70">
        <v>-26</v>
      </c>
      <c r="L411" s="70">
        <v>30</v>
      </c>
      <c r="M411" s="70">
        <v>23</v>
      </c>
      <c r="N411" s="70">
        <v>4250</v>
      </c>
      <c r="O411" s="70">
        <v>23</v>
      </c>
      <c r="P411" s="71">
        <v>96</v>
      </c>
      <c r="Q411" s="71">
        <v>830</v>
      </c>
      <c r="R411" s="72">
        <v>0.93</v>
      </c>
      <c r="S411" s="71">
        <v>1025</v>
      </c>
      <c r="T411" s="71">
        <v>180</v>
      </c>
      <c r="U411" s="73">
        <v>2.6</v>
      </c>
      <c r="V411" s="73">
        <v>0.4</v>
      </c>
      <c r="W411" s="72">
        <v>0.31</v>
      </c>
      <c r="X411" s="72">
        <v>0.4</v>
      </c>
      <c r="Y411" s="72">
        <v>0.69</v>
      </c>
      <c r="Z411" s="74">
        <v>0.34</v>
      </c>
      <c r="AA411" s="74">
        <v>0.14000000000000001</v>
      </c>
      <c r="AB411" s="74">
        <v>4.8000000000000001E-2</v>
      </c>
      <c r="AC411" s="74">
        <v>0.43</v>
      </c>
    </row>
    <row r="412" spans="2:29" x14ac:dyDescent="0.2">
      <c r="B412" s="66" t="s">
        <v>577</v>
      </c>
      <c r="C412" s="67" t="s">
        <v>264</v>
      </c>
      <c r="D412" s="68">
        <v>56</v>
      </c>
      <c r="F412" s="66" t="s">
        <v>809</v>
      </c>
      <c r="G412" s="67" t="s">
        <v>257</v>
      </c>
      <c r="H412" s="68">
        <v>63</v>
      </c>
      <c r="I412" s="70">
        <v>25</v>
      </c>
      <c r="J412" s="70">
        <v>-23</v>
      </c>
      <c r="K412" s="70">
        <v>-26</v>
      </c>
      <c r="L412" s="70">
        <v>30</v>
      </c>
      <c r="M412" s="70">
        <v>23</v>
      </c>
      <c r="N412" s="70">
        <v>4450</v>
      </c>
      <c r="O412" s="70">
        <v>22</v>
      </c>
      <c r="P412" s="71">
        <v>96</v>
      </c>
      <c r="Q412" s="71">
        <v>830</v>
      </c>
      <c r="R412" s="72">
        <v>0.93</v>
      </c>
      <c r="S412" s="71">
        <v>1025</v>
      </c>
      <c r="T412" s="71">
        <v>180</v>
      </c>
      <c r="U412" s="73">
        <v>2.7</v>
      </c>
      <c r="V412" s="73">
        <v>0.4</v>
      </c>
      <c r="W412" s="72">
        <v>0.31</v>
      </c>
      <c r="X412" s="72">
        <v>0.4</v>
      </c>
      <c r="Y412" s="72">
        <v>0.68</v>
      </c>
      <c r="Z412" s="74">
        <v>0.34</v>
      </c>
      <c r="AA412" s="74">
        <v>0.14000000000000001</v>
      </c>
      <c r="AB412" s="74">
        <v>4.7E-2</v>
      </c>
      <c r="AC412" s="74">
        <v>0.42</v>
      </c>
    </row>
    <row r="413" spans="2:29" x14ac:dyDescent="0.2">
      <c r="B413" s="66" t="s">
        <v>579</v>
      </c>
      <c r="C413" s="67" t="s">
        <v>264</v>
      </c>
      <c r="D413" s="68">
        <v>57</v>
      </c>
      <c r="F413" s="66" t="s">
        <v>810</v>
      </c>
      <c r="G413" s="67" t="s">
        <v>257</v>
      </c>
      <c r="H413" s="68">
        <v>64</v>
      </c>
      <c r="I413" s="70">
        <v>20</v>
      </c>
      <c r="J413" s="70">
        <v>-23</v>
      </c>
      <c r="K413" s="70">
        <v>-26</v>
      </c>
      <c r="L413" s="70">
        <v>30</v>
      </c>
      <c r="M413" s="70">
        <v>23</v>
      </c>
      <c r="N413" s="70">
        <v>4550</v>
      </c>
      <c r="O413" s="70">
        <v>23</v>
      </c>
      <c r="P413" s="71">
        <v>96</v>
      </c>
      <c r="Q413" s="71">
        <v>830</v>
      </c>
      <c r="R413" s="72">
        <v>0.93</v>
      </c>
      <c r="S413" s="71">
        <v>1025</v>
      </c>
      <c r="T413" s="71">
        <v>160</v>
      </c>
      <c r="U413" s="73">
        <v>2.6</v>
      </c>
      <c r="V413" s="73">
        <v>0.4</v>
      </c>
      <c r="W413" s="72">
        <v>0.31</v>
      </c>
      <c r="X413" s="72">
        <v>0.4</v>
      </c>
      <c r="Y413" s="72">
        <v>0.69</v>
      </c>
      <c r="Z413" s="74">
        <v>0.34</v>
      </c>
      <c r="AA413" s="74">
        <v>0.14000000000000001</v>
      </c>
      <c r="AB413" s="74">
        <v>4.8000000000000001E-2</v>
      </c>
      <c r="AC413" s="74">
        <v>0.43</v>
      </c>
    </row>
    <row r="414" spans="2:29" x14ac:dyDescent="0.2">
      <c r="B414" s="66" t="s">
        <v>583</v>
      </c>
      <c r="C414" s="67" t="s">
        <v>264</v>
      </c>
      <c r="D414" s="68">
        <v>58</v>
      </c>
      <c r="F414" s="66" t="s">
        <v>582</v>
      </c>
      <c r="G414" s="67" t="s">
        <v>224</v>
      </c>
      <c r="H414" s="68">
        <v>50</v>
      </c>
      <c r="I414" s="70">
        <v>615</v>
      </c>
      <c r="J414" s="70">
        <v>-17</v>
      </c>
      <c r="K414" s="70">
        <v>-20</v>
      </c>
      <c r="L414" s="70">
        <v>32</v>
      </c>
      <c r="M414" s="70">
        <v>20</v>
      </c>
      <c r="N414" s="70">
        <v>3700</v>
      </c>
      <c r="O414" s="70">
        <v>10</v>
      </c>
      <c r="P414" s="71">
        <v>54</v>
      </c>
      <c r="Q414" s="71">
        <v>480</v>
      </c>
      <c r="R414" s="72">
        <v>0.56000000000000005</v>
      </c>
      <c r="S414" s="71">
        <v>700</v>
      </c>
      <c r="T414" s="71">
        <v>60</v>
      </c>
      <c r="U414" s="73">
        <v>4.0999999999999996</v>
      </c>
      <c r="V414" s="73">
        <v>0.1</v>
      </c>
      <c r="W414" s="72">
        <v>0.22</v>
      </c>
      <c r="X414" s="72">
        <v>0.35</v>
      </c>
      <c r="Y414" s="72">
        <v>0.27</v>
      </c>
      <c r="Z414" s="74">
        <v>0.16</v>
      </c>
      <c r="AA414" s="74">
        <v>8.1000000000000003E-2</v>
      </c>
      <c r="AB414" s="74">
        <v>4.4999999999999998E-2</v>
      </c>
      <c r="AC414" s="74">
        <v>0.14000000000000001</v>
      </c>
    </row>
    <row r="415" spans="2:29" x14ac:dyDescent="0.2">
      <c r="B415" s="66" t="s">
        <v>587</v>
      </c>
      <c r="C415" s="67" t="s">
        <v>264</v>
      </c>
      <c r="D415" s="68">
        <v>59</v>
      </c>
      <c r="F415" s="66" t="s">
        <v>811</v>
      </c>
      <c r="G415" s="67" t="s">
        <v>278</v>
      </c>
      <c r="H415" s="68">
        <v>18</v>
      </c>
      <c r="I415" s="70">
        <v>545</v>
      </c>
      <c r="J415" s="70">
        <v>-32</v>
      </c>
      <c r="K415" s="70">
        <v>-34</v>
      </c>
      <c r="L415" s="70">
        <v>32</v>
      </c>
      <c r="M415" s="70">
        <v>21</v>
      </c>
      <c r="N415" s="70">
        <v>5350</v>
      </c>
      <c r="O415" s="70">
        <v>28</v>
      </c>
      <c r="P415" s="71">
        <v>86</v>
      </c>
      <c r="Q415" s="71">
        <v>270</v>
      </c>
      <c r="R415" s="72">
        <v>0.33</v>
      </c>
      <c r="S415" s="71">
        <v>360</v>
      </c>
      <c r="T415" s="71">
        <v>200</v>
      </c>
      <c r="U415" s="73">
        <v>1.4</v>
      </c>
      <c r="V415" s="73">
        <v>0.1</v>
      </c>
      <c r="W415" s="72">
        <v>0.36</v>
      </c>
      <c r="X415" s="72">
        <v>0.46</v>
      </c>
      <c r="Y415" s="72">
        <v>0.12</v>
      </c>
      <c r="Z415" s="74">
        <v>5.6000000000000001E-2</v>
      </c>
      <c r="AA415" s="74">
        <v>2.3E-2</v>
      </c>
      <c r="AB415" s="74">
        <v>6.0000000000000001E-3</v>
      </c>
      <c r="AC415" s="74">
        <v>5.8999999999999997E-2</v>
      </c>
    </row>
    <row r="416" spans="2:29" x14ac:dyDescent="0.2">
      <c r="B416" s="66" t="s">
        <v>593</v>
      </c>
      <c r="C416" s="67" t="s">
        <v>264</v>
      </c>
      <c r="D416" s="68">
        <v>60</v>
      </c>
      <c r="F416" s="66" t="s">
        <v>812</v>
      </c>
      <c r="G416" s="67" t="s">
        <v>264</v>
      </c>
      <c r="H416" s="68">
        <v>122</v>
      </c>
      <c r="I416" s="70">
        <v>10</v>
      </c>
      <c r="J416" s="70">
        <v>-36</v>
      </c>
      <c r="K416" s="70">
        <v>-38</v>
      </c>
      <c r="L416" s="70">
        <v>28</v>
      </c>
      <c r="M416" s="70">
        <v>21</v>
      </c>
      <c r="N416" s="70">
        <v>7100</v>
      </c>
      <c r="O416" s="70">
        <v>18</v>
      </c>
      <c r="P416" s="71">
        <v>81</v>
      </c>
      <c r="Q416" s="71">
        <v>500</v>
      </c>
      <c r="R416" s="72">
        <v>0.84</v>
      </c>
      <c r="S416" s="71">
        <v>700</v>
      </c>
      <c r="T416" s="71">
        <v>160</v>
      </c>
      <c r="U416" s="73">
        <v>2.2000000000000002</v>
      </c>
      <c r="V416" s="73">
        <v>0.3</v>
      </c>
      <c r="W416" s="72">
        <v>0.26</v>
      </c>
      <c r="X416" s="72">
        <v>0.35</v>
      </c>
      <c r="Y416" s="72">
        <v>0.15</v>
      </c>
      <c r="Z416" s="74">
        <v>7.2999999999999995E-2</v>
      </c>
      <c r="AA416" s="74">
        <v>3.5000000000000003E-2</v>
      </c>
      <c r="AB416" s="74">
        <v>0.01</v>
      </c>
      <c r="AC416" s="74">
        <v>0.1</v>
      </c>
    </row>
    <row r="417" spans="2:29" x14ac:dyDescent="0.2">
      <c r="B417" s="66" t="s">
        <v>595</v>
      </c>
      <c r="C417" s="67" t="s">
        <v>264</v>
      </c>
      <c r="D417" s="68">
        <v>61</v>
      </c>
      <c r="F417" s="66" t="s">
        <v>660</v>
      </c>
      <c r="G417" s="67" t="s">
        <v>252</v>
      </c>
      <c r="H417" s="68">
        <v>11</v>
      </c>
      <c r="I417" s="70">
        <v>300</v>
      </c>
      <c r="J417" s="70">
        <v>-31</v>
      </c>
      <c r="K417" s="70">
        <v>-33</v>
      </c>
      <c r="L417" s="70">
        <v>31</v>
      </c>
      <c r="M417" s="70">
        <v>23</v>
      </c>
      <c r="N417" s="70">
        <v>5550</v>
      </c>
      <c r="O417" s="70">
        <v>28</v>
      </c>
      <c r="P417" s="71">
        <v>119</v>
      </c>
      <c r="Q417" s="71">
        <v>420</v>
      </c>
      <c r="R417" s="72">
        <v>0.55000000000000004</v>
      </c>
      <c r="S417" s="71">
        <v>520</v>
      </c>
      <c r="T417" s="71">
        <v>180</v>
      </c>
      <c r="U417" s="73">
        <v>2.2000000000000002</v>
      </c>
      <c r="V417" s="73">
        <v>0.2</v>
      </c>
      <c r="W417" s="72">
        <v>0.4</v>
      </c>
      <c r="X417" s="72">
        <v>0.52</v>
      </c>
      <c r="Y417" s="72">
        <v>0.12</v>
      </c>
      <c r="Z417" s="74">
        <v>5.6000000000000001E-2</v>
      </c>
      <c r="AA417" s="74">
        <v>2.3E-2</v>
      </c>
      <c r="AB417" s="74">
        <v>6.0000000000000001E-3</v>
      </c>
      <c r="AC417" s="74">
        <v>5.8999999999999997E-2</v>
      </c>
    </row>
    <row r="418" spans="2:29" x14ac:dyDescent="0.2">
      <c r="B418" s="66" t="s">
        <v>601</v>
      </c>
      <c r="C418" s="67" t="s">
        <v>264</v>
      </c>
      <c r="D418" s="68">
        <v>62</v>
      </c>
      <c r="F418" s="66" t="s">
        <v>413</v>
      </c>
      <c r="G418" s="67" t="s">
        <v>247</v>
      </c>
      <c r="H418" s="68">
        <v>87</v>
      </c>
      <c r="I418" s="76">
        <v>700</v>
      </c>
      <c r="J418" s="70">
        <v>-37</v>
      </c>
      <c r="K418" s="70">
        <v>-40</v>
      </c>
      <c r="L418" s="70">
        <v>27</v>
      </c>
      <c r="M418" s="70">
        <v>19</v>
      </c>
      <c r="N418" s="76">
        <v>5700</v>
      </c>
      <c r="O418" s="76">
        <v>19</v>
      </c>
      <c r="P418" s="77">
        <v>90</v>
      </c>
      <c r="Q418" s="77">
        <v>370</v>
      </c>
      <c r="R418" s="72">
        <v>0.5</v>
      </c>
      <c r="S418" s="77">
        <v>480</v>
      </c>
      <c r="T418" s="77">
        <v>140</v>
      </c>
      <c r="U418" s="73">
        <v>1.9</v>
      </c>
      <c r="V418" s="73">
        <v>0.1</v>
      </c>
      <c r="W418" s="72">
        <v>0.32</v>
      </c>
      <c r="X418" s="72">
        <v>0.43</v>
      </c>
      <c r="Y418" s="72">
        <v>0.12</v>
      </c>
      <c r="Z418" s="74">
        <v>0.06</v>
      </c>
      <c r="AA418" s="74">
        <v>0.02</v>
      </c>
      <c r="AB418" s="74">
        <v>0.01</v>
      </c>
      <c r="AC418" s="74">
        <v>0.06</v>
      </c>
    </row>
    <row r="419" spans="2:29" x14ac:dyDescent="0.2">
      <c r="B419" s="66" t="s">
        <v>604</v>
      </c>
      <c r="C419" s="67" t="s">
        <v>264</v>
      </c>
      <c r="D419" s="68">
        <v>63</v>
      </c>
      <c r="F419" s="66" t="s">
        <v>414</v>
      </c>
      <c r="G419" s="67" t="s">
        <v>247</v>
      </c>
      <c r="H419" s="68">
        <v>88</v>
      </c>
      <c r="I419" s="76">
        <v>832</v>
      </c>
      <c r="J419" s="70">
        <v>-34</v>
      </c>
      <c r="K419" s="70">
        <v>-38</v>
      </c>
      <c r="L419" s="70">
        <v>28</v>
      </c>
      <c r="M419" s="70">
        <v>19</v>
      </c>
      <c r="N419" s="76">
        <v>5500</v>
      </c>
      <c r="O419" s="76">
        <v>19</v>
      </c>
      <c r="P419" s="77">
        <v>75</v>
      </c>
      <c r="Q419" s="77">
        <v>310</v>
      </c>
      <c r="R419" s="72">
        <v>0.44</v>
      </c>
      <c r="S419" s="77">
        <v>390</v>
      </c>
      <c r="T419" s="77">
        <v>220</v>
      </c>
      <c r="U419" s="73">
        <v>1.8</v>
      </c>
      <c r="V419" s="73">
        <v>0.1</v>
      </c>
      <c r="W419" s="72">
        <v>0.28999999999999998</v>
      </c>
      <c r="X419" s="72">
        <v>0.42</v>
      </c>
      <c r="Y419" s="72">
        <v>0.12</v>
      </c>
      <c r="Z419" s="74">
        <v>0.06</v>
      </c>
      <c r="AA419" s="74">
        <v>0.02</v>
      </c>
      <c r="AB419" s="74">
        <v>0.01</v>
      </c>
      <c r="AC419" s="74">
        <v>0.06</v>
      </c>
    </row>
    <row r="420" spans="2:29" x14ac:dyDescent="0.2">
      <c r="B420" s="66" t="s">
        <v>606</v>
      </c>
      <c r="C420" s="67" t="s">
        <v>264</v>
      </c>
      <c r="D420" s="68">
        <v>64</v>
      </c>
      <c r="F420" s="66" t="s">
        <v>813</v>
      </c>
      <c r="G420" s="67" t="s">
        <v>264</v>
      </c>
      <c r="H420" s="68">
        <v>123</v>
      </c>
      <c r="I420" s="70">
        <v>75</v>
      </c>
      <c r="J420" s="70">
        <v>-23</v>
      </c>
      <c r="K420" s="70">
        <v>-25</v>
      </c>
      <c r="L420" s="70">
        <v>30</v>
      </c>
      <c r="M420" s="70">
        <v>23</v>
      </c>
      <c r="N420" s="70">
        <v>4550</v>
      </c>
      <c r="O420" s="70">
        <v>25</v>
      </c>
      <c r="P420" s="71">
        <v>108</v>
      </c>
      <c r="Q420" s="71">
        <v>800</v>
      </c>
      <c r="R420" s="72">
        <v>0.91</v>
      </c>
      <c r="S420" s="71">
        <v>950</v>
      </c>
      <c r="T420" s="71">
        <v>180</v>
      </c>
      <c r="U420" s="73">
        <v>2.2999999999999998</v>
      </c>
      <c r="V420" s="73">
        <v>0.4</v>
      </c>
      <c r="W420" s="72">
        <v>0.3</v>
      </c>
      <c r="X420" s="72">
        <v>0.41</v>
      </c>
      <c r="Y420" s="72">
        <v>0.63</v>
      </c>
      <c r="Z420" s="74">
        <v>0.28999999999999998</v>
      </c>
      <c r="AA420" s="74">
        <v>0.13</v>
      </c>
      <c r="AB420" s="74">
        <v>4.2000000000000003E-2</v>
      </c>
      <c r="AC420" s="74">
        <v>0.39</v>
      </c>
    </row>
    <row r="421" spans="2:29" x14ac:dyDescent="0.2">
      <c r="B421" s="66" t="s">
        <v>608</v>
      </c>
      <c r="C421" s="67" t="s">
        <v>264</v>
      </c>
      <c r="D421" s="68">
        <v>65</v>
      </c>
      <c r="F421" s="66" t="s">
        <v>756</v>
      </c>
      <c r="G421" s="67" t="s">
        <v>265</v>
      </c>
      <c r="H421" s="68">
        <v>11</v>
      </c>
      <c r="I421" s="70">
        <v>5</v>
      </c>
      <c r="J421" s="70">
        <v>-45</v>
      </c>
      <c r="K421" s="70">
        <v>-47</v>
      </c>
      <c r="L421" s="70">
        <v>10</v>
      </c>
      <c r="M421" s="70">
        <v>8</v>
      </c>
      <c r="N421" s="70">
        <v>13000</v>
      </c>
      <c r="O421" s="70">
        <v>3</v>
      </c>
      <c r="P421" s="71">
        <v>33</v>
      </c>
      <c r="Q421" s="71">
        <v>25</v>
      </c>
      <c r="R421" s="72">
        <v>0.94</v>
      </c>
      <c r="S421" s="71">
        <v>100</v>
      </c>
      <c r="T421" s="71">
        <v>140</v>
      </c>
      <c r="U421" s="73">
        <v>1.5</v>
      </c>
      <c r="V421" s="73">
        <v>0.1</v>
      </c>
      <c r="W421" s="72">
        <v>0.47</v>
      </c>
      <c r="X421" s="72">
        <v>0.67</v>
      </c>
      <c r="Y421" s="72">
        <v>0.35</v>
      </c>
      <c r="Z421" s="74">
        <v>0.16</v>
      </c>
      <c r="AA421" s="74">
        <v>7.2999999999999995E-2</v>
      </c>
      <c r="AB421" s="74">
        <v>1.9E-2</v>
      </c>
      <c r="AC421" s="74">
        <v>0.24</v>
      </c>
    </row>
    <row r="422" spans="2:29" x14ac:dyDescent="0.2">
      <c r="B422" s="66" t="s">
        <v>634</v>
      </c>
      <c r="C422" s="67" t="s">
        <v>264</v>
      </c>
      <c r="D422" s="68">
        <v>66</v>
      </c>
      <c r="F422" s="66" t="s">
        <v>814</v>
      </c>
      <c r="G422" s="67" t="s">
        <v>264</v>
      </c>
      <c r="H422" s="68">
        <v>124</v>
      </c>
      <c r="I422" s="70">
        <v>420</v>
      </c>
      <c r="J422" s="70">
        <v>-21</v>
      </c>
      <c r="K422" s="70">
        <v>-23</v>
      </c>
      <c r="L422" s="70">
        <v>29</v>
      </c>
      <c r="M422" s="70">
        <v>22</v>
      </c>
      <c r="N422" s="70">
        <v>4750</v>
      </c>
      <c r="O422" s="70">
        <v>30</v>
      </c>
      <c r="P422" s="71">
        <v>103</v>
      </c>
      <c r="Q422" s="71">
        <v>740</v>
      </c>
      <c r="R422" s="72">
        <v>0.87</v>
      </c>
      <c r="S422" s="71">
        <v>940</v>
      </c>
      <c r="T422" s="71">
        <v>140</v>
      </c>
      <c r="U422" s="73">
        <v>2.7</v>
      </c>
      <c r="V422" s="73">
        <v>0.4</v>
      </c>
      <c r="W422" s="72">
        <v>0.28999999999999998</v>
      </c>
      <c r="X422" s="72">
        <v>0.41</v>
      </c>
      <c r="Y422" s="72">
        <v>0.15</v>
      </c>
      <c r="Z422" s="74">
        <v>8.2000000000000003E-2</v>
      </c>
      <c r="AA422" s="74">
        <v>4.2999999999999997E-2</v>
      </c>
      <c r="AB422" s="74">
        <v>1.2E-2</v>
      </c>
      <c r="AC422" s="74">
        <v>7.3999999999999996E-2</v>
      </c>
    </row>
    <row r="423" spans="2:29" x14ac:dyDescent="0.2">
      <c r="B423" s="66" t="s">
        <v>642</v>
      </c>
      <c r="C423" s="67" t="s">
        <v>264</v>
      </c>
      <c r="D423" s="68">
        <v>67</v>
      </c>
      <c r="F423" s="66" t="s">
        <v>416</v>
      </c>
      <c r="G423" s="67" t="s">
        <v>247</v>
      </c>
      <c r="H423" s="68">
        <v>89</v>
      </c>
      <c r="I423" s="76">
        <v>678</v>
      </c>
      <c r="J423" s="70">
        <v>-37</v>
      </c>
      <c r="K423" s="70">
        <v>-40</v>
      </c>
      <c r="L423" s="70">
        <v>27</v>
      </c>
      <c r="M423" s="70">
        <v>19</v>
      </c>
      <c r="N423" s="76">
        <v>6100</v>
      </c>
      <c r="O423" s="76">
        <v>20</v>
      </c>
      <c r="P423" s="77">
        <v>90</v>
      </c>
      <c r="Q423" s="77">
        <v>325</v>
      </c>
      <c r="R423" s="72">
        <v>0.5</v>
      </c>
      <c r="S423" s="77">
        <v>450</v>
      </c>
      <c r="T423" s="77">
        <v>110</v>
      </c>
      <c r="U423" s="73">
        <v>1.9</v>
      </c>
      <c r="V423" s="73">
        <v>0.1</v>
      </c>
      <c r="W423" s="72">
        <v>0.28999999999999998</v>
      </c>
      <c r="X423" s="72">
        <v>0.39</v>
      </c>
      <c r="Y423" s="72">
        <v>0.12</v>
      </c>
      <c r="Z423" s="74">
        <v>0.06</v>
      </c>
      <c r="AA423" s="74">
        <v>0.02</v>
      </c>
      <c r="AB423" s="74">
        <v>0.01</v>
      </c>
      <c r="AC423" s="74">
        <v>0.06</v>
      </c>
    </row>
    <row r="424" spans="2:29" x14ac:dyDescent="0.2">
      <c r="B424" s="66" t="s">
        <v>649</v>
      </c>
      <c r="C424" s="67" t="s">
        <v>264</v>
      </c>
      <c r="D424" s="68">
        <v>68</v>
      </c>
      <c r="F424" s="66" t="s">
        <v>815</v>
      </c>
      <c r="G424" s="67" t="s">
        <v>264</v>
      </c>
      <c r="H424" s="68">
        <v>125</v>
      </c>
      <c r="I424" s="70">
        <v>325</v>
      </c>
      <c r="J424" s="70">
        <v>-35</v>
      </c>
      <c r="K424" s="70">
        <v>-37</v>
      </c>
      <c r="L424" s="70">
        <v>28</v>
      </c>
      <c r="M424" s="70">
        <v>21</v>
      </c>
      <c r="N424" s="70">
        <v>6900</v>
      </c>
      <c r="O424" s="70">
        <v>20</v>
      </c>
      <c r="P424" s="71">
        <v>86</v>
      </c>
      <c r="Q424" s="71">
        <v>540</v>
      </c>
      <c r="R424" s="72">
        <v>0.76</v>
      </c>
      <c r="S424" s="71">
        <v>750</v>
      </c>
      <c r="T424" s="71">
        <v>100</v>
      </c>
      <c r="U424" s="73">
        <v>2.8</v>
      </c>
      <c r="V424" s="73">
        <v>0.4</v>
      </c>
      <c r="W424" s="72">
        <v>0.21</v>
      </c>
      <c r="X424" s="72">
        <v>0.27</v>
      </c>
      <c r="Y424" s="72">
        <v>0.12</v>
      </c>
      <c r="Z424" s="74">
        <v>5.6000000000000001E-2</v>
      </c>
      <c r="AA424" s="74">
        <v>2.3E-2</v>
      </c>
      <c r="AB424" s="74">
        <v>6.0000000000000001E-3</v>
      </c>
      <c r="AC424" s="74">
        <v>5.8999999999999997E-2</v>
      </c>
    </row>
    <row r="425" spans="2:29" x14ac:dyDescent="0.2">
      <c r="B425" s="66" t="s">
        <v>650</v>
      </c>
      <c r="C425" s="67" t="s">
        <v>264</v>
      </c>
      <c r="D425" s="68">
        <v>69</v>
      </c>
      <c r="F425" s="66" t="s">
        <v>584</v>
      </c>
      <c r="G425" s="67" t="s">
        <v>224</v>
      </c>
      <c r="H425" s="68">
        <v>51</v>
      </c>
      <c r="I425" s="70">
        <v>445</v>
      </c>
      <c r="J425" s="70">
        <v>-24</v>
      </c>
      <c r="K425" s="70">
        <v>-27</v>
      </c>
      <c r="L425" s="70">
        <v>31</v>
      </c>
      <c r="M425" s="70">
        <v>19</v>
      </c>
      <c r="N425" s="70">
        <v>4000</v>
      </c>
      <c r="O425" s="70">
        <v>10</v>
      </c>
      <c r="P425" s="71">
        <v>64</v>
      </c>
      <c r="Q425" s="71">
        <v>650</v>
      </c>
      <c r="R425" s="72">
        <v>0.78</v>
      </c>
      <c r="S425" s="71">
        <v>850</v>
      </c>
      <c r="T425" s="71">
        <v>60</v>
      </c>
      <c r="U425" s="73">
        <v>4.4000000000000004</v>
      </c>
      <c r="V425" s="73">
        <v>0.1</v>
      </c>
      <c r="W425" s="72">
        <v>0.24</v>
      </c>
      <c r="X425" s="72">
        <v>0.33</v>
      </c>
      <c r="Y425" s="72">
        <v>0.27</v>
      </c>
      <c r="Z425" s="74">
        <v>0.16</v>
      </c>
      <c r="AA425" s="74">
        <v>0.08</v>
      </c>
      <c r="AB425" s="74">
        <v>4.4999999999999998E-2</v>
      </c>
      <c r="AC425" s="74">
        <v>0.14000000000000001</v>
      </c>
    </row>
    <row r="426" spans="2:29" x14ac:dyDescent="0.2">
      <c r="B426" s="66" t="s">
        <v>651</v>
      </c>
      <c r="C426" s="67" t="s">
        <v>264</v>
      </c>
      <c r="D426" s="68">
        <v>70</v>
      </c>
      <c r="F426" s="66" t="s">
        <v>586</v>
      </c>
      <c r="G426" s="67" t="s">
        <v>224</v>
      </c>
      <c r="H426" s="68">
        <v>52</v>
      </c>
      <c r="I426" s="70">
        <v>15</v>
      </c>
      <c r="J426" s="70">
        <v>-7</v>
      </c>
      <c r="K426" s="70">
        <v>-9</v>
      </c>
      <c r="L426" s="70">
        <v>26</v>
      </c>
      <c r="M426" s="70">
        <v>18</v>
      </c>
      <c r="N426" s="70">
        <v>3150</v>
      </c>
      <c r="O426" s="70">
        <v>8</v>
      </c>
      <c r="P426" s="71">
        <v>91</v>
      </c>
      <c r="Q426" s="71">
        <v>1000</v>
      </c>
      <c r="R426" s="72">
        <v>1.1299999999999999</v>
      </c>
      <c r="S426" s="71">
        <v>1050</v>
      </c>
      <c r="T426" s="71">
        <v>200</v>
      </c>
      <c r="U426" s="73">
        <v>2.2999999999999998</v>
      </c>
      <c r="V426" s="73">
        <v>0.4</v>
      </c>
      <c r="W426" s="72">
        <v>0.47</v>
      </c>
      <c r="X426" s="72">
        <v>0.63</v>
      </c>
      <c r="Y426" s="72">
        <v>1</v>
      </c>
      <c r="Z426" s="74">
        <v>0.69</v>
      </c>
      <c r="AA426" s="74">
        <v>0.35</v>
      </c>
      <c r="AB426" s="74">
        <v>0.18</v>
      </c>
      <c r="AC426" s="74">
        <v>0.5</v>
      </c>
    </row>
    <row r="427" spans="2:29" x14ac:dyDescent="0.2">
      <c r="B427" s="66" t="s">
        <v>653</v>
      </c>
      <c r="C427" s="67" t="s">
        <v>264</v>
      </c>
      <c r="D427" s="68">
        <v>71</v>
      </c>
      <c r="F427" s="66" t="s">
        <v>816</v>
      </c>
      <c r="G427" s="67" t="s">
        <v>264</v>
      </c>
      <c r="H427" s="68">
        <v>126</v>
      </c>
      <c r="I427" s="70">
        <v>205</v>
      </c>
      <c r="J427" s="70">
        <v>-16</v>
      </c>
      <c r="K427" s="70">
        <v>-18</v>
      </c>
      <c r="L427" s="70">
        <v>30</v>
      </c>
      <c r="M427" s="70">
        <v>23</v>
      </c>
      <c r="N427" s="70">
        <v>4000</v>
      </c>
      <c r="O427" s="70">
        <v>28</v>
      </c>
      <c r="P427" s="71">
        <v>108</v>
      </c>
      <c r="Q427" s="71">
        <v>840</v>
      </c>
      <c r="R427" s="72">
        <v>0.95</v>
      </c>
      <c r="S427" s="71">
        <v>900</v>
      </c>
      <c r="T427" s="71">
        <v>160</v>
      </c>
      <c r="U427" s="73">
        <v>1.4</v>
      </c>
      <c r="V427" s="73">
        <v>0.4</v>
      </c>
      <c r="W427" s="72">
        <v>0.33</v>
      </c>
      <c r="X427" s="72">
        <v>0.43</v>
      </c>
      <c r="Y427" s="72">
        <v>0.26</v>
      </c>
      <c r="Z427" s="74">
        <v>0.13</v>
      </c>
      <c r="AA427" s="74">
        <v>5.2999999999999999E-2</v>
      </c>
      <c r="AB427" s="74">
        <v>1.4999999999999999E-2</v>
      </c>
      <c r="AC427" s="74">
        <v>0.18</v>
      </c>
    </row>
    <row r="428" spans="2:29" x14ac:dyDescent="0.2">
      <c r="B428" s="66" t="s">
        <v>665</v>
      </c>
      <c r="C428" s="67" t="s">
        <v>264</v>
      </c>
      <c r="D428" s="68">
        <v>72</v>
      </c>
      <c r="F428" s="66" t="s">
        <v>817</v>
      </c>
      <c r="G428" s="67" t="s">
        <v>264</v>
      </c>
      <c r="H428" s="68">
        <v>127</v>
      </c>
      <c r="I428" s="70">
        <v>180</v>
      </c>
      <c r="J428" s="70">
        <v>-15</v>
      </c>
      <c r="K428" s="70">
        <v>-17</v>
      </c>
      <c r="L428" s="70">
        <v>30</v>
      </c>
      <c r="M428" s="70">
        <v>24</v>
      </c>
      <c r="N428" s="70">
        <v>3900</v>
      </c>
      <c r="O428" s="70">
        <v>25</v>
      </c>
      <c r="P428" s="71">
        <v>108</v>
      </c>
      <c r="Q428" s="71">
        <v>860</v>
      </c>
      <c r="R428" s="72">
        <v>0.98</v>
      </c>
      <c r="S428" s="71">
        <v>950</v>
      </c>
      <c r="T428" s="71">
        <v>140</v>
      </c>
      <c r="U428" s="73">
        <v>1.2</v>
      </c>
      <c r="V428" s="73">
        <v>0.4</v>
      </c>
      <c r="W428" s="72">
        <v>0.36</v>
      </c>
      <c r="X428" s="72">
        <v>0.46</v>
      </c>
      <c r="Y428" s="72">
        <v>0.23</v>
      </c>
      <c r="Z428" s="74">
        <v>0.11</v>
      </c>
      <c r="AA428" s="74">
        <v>5.1999999999999998E-2</v>
      </c>
      <c r="AB428" s="74">
        <v>1.4E-2</v>
      </c>
      <c r="AC428" s="74">
        <v>0.15</v>
      </c>
    </row>
    <row r="429" spans="2:29" x14ac:dyDescent="0.2">
      <c r="B429" s="66" t="s">
        <v>670</v>
      </c>
      <c r="C429" s="67" t="s">
        <v>264</v>
      </c>
      <c r="D429" s="68">
        <v>73</v>
      </c>
      <c r="F429" s="66" t="s">
        <v>418</v>
      </c>
      <c r="G429" s="67" t="s">
        <v>247</v>
      </c>
      <c r="H429" s="68">
        <v>90</v>
      </c>
      <c r="I429" s="76">
        <v>1024</v>
      </c>
      <c r="J429" s="70">
        <v>-32</v>
      </c>
      <c r="K429" s="70">
        <v>-34</v>
      </c>
      <c r="L429" s="70">
        <v>28</v>
      </c>
      <c r="M429" s="70">
        <v>18</v>
      </c>
      <c r="N429" s="76">
        <v>5000</v>
      </c>
      <c r="O429" s="76">
        <v>17</v>
      </c>
      <c r="P429" s="77">
        <v>95</v>
      </c>
      <c r="Q429" s="77">
        <v>300</v>
      </c>
      <c r="R429" s="72">
        <v>0.35</v>
      </c>
      <c r="S429" s="77">
        <v>440</v>
      </c>
      <c r="T429" s="77">
        <v>200</v>
      </c>
      <c r="U429" s="73">
        <v>1.3</v>
      </c>
      <c r="V429" s="73">
        <v>0.1</v>
      </c>
      <c r="W429" s="72">
        <v>0.53</v>
      </c>
      <c r="X429" s="72">
        <v>0.7</v>
      </c>
      <c r="Y429" s="72">
        <v>0.15</v>
      </c>
      <c r="Z429" s="74">
        <v>0.09</v>
      </c>
      <c r="AA429" s="74">
        <v>0.04</v>
      </c>
      <c r="AB429" s="74">
        <v>0.03</v>
      </c>
      <c r="AC429" s="74">
        <v>0.09</v>
      </c>
    </row>
    <row r="430" spans="2:29" x14ac:dyDescent="0.2">
      <c r="B430" s="66" t="s">
        <v>673</v>
      </c>
      <c r="C430" s="67" t="s">
        <v>264</v>
      </c>
      <c r="D430" s="68">
        <v>74</v>
      </c>
      <c r="F430" s="66" t="s">
        <v>818</v>
      </c>
      <c r="G430" s="67" t="s">
        <v>264</v>
      </c>
      <c r="H430" s="68">
        <v>128</v>
      </c>
      <c r="I430" s="70">
        <v>90</v>
      </c>
      <c r="J430" s="70">
        <v>-22</v>
      </c>
      <c r="K430" s="70">
        <v>-24</v>
      </c>
      <c r="L430" s="70">
        <v>28</v>
      </c>
      <c r="M430" s="70">
        <v>23</v>
      </c>
      <c r="N430" s="70">
        <v>4250</v>
      </c>
      <c r="O430" s="70">
        <v>23</v>
      </c>
      <c r="P430" s="71">
        <v>92</v>
      </c>
      <c r="Q430" s="71">
        <v>770</v>
      </c>
      <c r="R430" s="72">
        <v>0.9</v>
      </c>
      <c r="S430" s="71">
        <v>900</v>
      </c>
      <c r="T430" s="71">
        <v>160</v>
      </c>
      <c r="U430" s="73">
        <v>1.9</v>
      </c>
      <c r="V430" s="73">
        <v>0.4</v>
      </c>
      <c r="W430" s="72">
        <v>0.32</v>
      </c>
      <c r="X430" s="72">
        <v>0.43</v>
      </c>
      <c r="Y430" s="72">
        <v>0.28000000000000003</v>
      </c>
      <c r="Z430" s="74">
        <v>0.15</v>
      </c>
      <c r="AA430" s="74">
        <v>7.8E-2</v>
      </c>
      <c r="AB430" s="74">
        <v>2.1999999999999999E-2</v>
      </c>
      <c r="AC430" s="74">
        <v>0.15</v>
      </c>
    </row>
    <row r="431" spans="2:29" x14ac:dyDescent="0.2">
      <c r="B431" s="66" t="s">
        <v>675</v>
      </c>
      <c r="C431" s="67" t="s">
        <v>264</v>
      </c>
      <c r="D431" s="68">
        <v>75</v>
      </c>
      <c r="F431" s="66" t="s">
        <v>661</v>
      </c>
      <c r="G431" s="67" t="s">
        <v>252</v>
      </c>
      <c r="H431" s="68">
        <v>12</v>
      </c>
      <c r="I431" s="70">
        <v>365</v>
      </c>
      <c r="J431" s="70">
        <v>-32</v>
      </c>
      <c r="K431" s="70">
        <v>-34</v>
      </c>
      <c r="L431" s="70">
        <v>30</v>
      </c>
      <c r="M431" s="70">
        <v>22</v>
      </c>
      <c r="N431" s="70">
        <v>5900</v>
      </c>
      <c r="O431" s="70">
        <v>33</v>
      </c>
      <c r="P431" s="71">
        <v>108</v>
      </c>
      <c r="Q431" s="71">
        <v>410</v>
      </c>
      <c r="R431" s="72">
        <v>0.57999999999999996</v>
      </c>
      <c r="S431" s="71">
        <v>470</v>
      </c>
      <c r="T431" s="71">
        <v>180</v>
      </c>
      <c r="U431" s="73">
        <v>2.2000000000000002</v>
      </c>
      <c r="V431" s="73">
        <v>0.2</v>
      </c>
      <c r="W431" s="72">
        <v>0.33</v>
      </c>
      <c r="X431" s="72">
        <v>0.44</v>
      </c>
      <c r="Y431" s="72">
        <v>0.12</v>
      </c>
      <c r="Z431" s="74">
        <v>5.6000000000000001E-2</v>
      </c>
      <c r="AA431" s="74">
        <v>2.3E-2</v>
      </c>
      <c r="AB431" s="74">
        <v>6.0000000000000001E-3</v>
      </c>
      <c r="AC431" s="74">
        <v>5.8999999999999997E-2</v>
      </c>
    </row>
    <row r="432" spans="2:29" x14ac:dyDescent="0.2">
      <c r="B432" s="66" t="s">
        <v>678</v>
      </c>
      <c r="C432" s="67" t="s">
        <v>264</v>
      </c>
      <c r="D432" s="68">
        <v>76</v>
      </c>
      <c r="F432" s="66" t="s">
        <v>588</v>
      </c>
      <c r="G432" s="67" t="s">
        <v>224</v>
      </c>
      <c r="H432" s="68">
        <v>53</v>
      </c>
      <c r="I432" s="70">
        <v>600</v>
      </c>
      <c r="J432" s="70">
        <v>-20</v>
      </c>
      <c r="K432" s="70">
        <v>-24</v>
      </c>
      <c r="L432" s="70">
        <v>31</v>
      </c>
      <c r="M432" s="70">
        <v>19</v>
      </c>
      <c r="N432" s="70">
        <v>3900</v>
      </c>
      <c r="O432" s="70">
        <v>10</v>
      </c>
      <c r="P432" s="71">
        <v>59</v>
      </c>
      <c r="Q432" s="71">
        <v>460</v>
      </c>
      <c r="R432" s="72">
        <v>0.56999999999999995</v>
      </c>
      <c r="S432" s="71">
        <v>700</v>
      </c>
      <c r="T432" s="71">
        <v>60</v>
      </c>
      <c r="U432" s="73">
        <v>4.2</v>
      </c>
      <c r="V432" s="73">
        <v>0.1</v>
      </c>
      <c r="W432" s="72">
        <v>0.22</v>
      </c>
      <c r="X432" s="72">
        <v>0.33</v>
      </c>
      <c r="Y432" s="72">
        <v>0.27</v>
      </c>
      <c r="Z432" s="74">
        <v>0.16</v>
      </c>
      <c r="AA432" s="74">
        <v>0.08</v>
      </c>
      <c r="AB432" s="74">
        <v>4.4999999999999998E-2</v>
      </c>
      <c r="AC432" s="74">
        <v>0.14000000000000001</v>
      </c>
    </row>
    <row r="433" spans="2:29" x14ac:dyDescent="0.2">
      <c r="B433" s="66" t="s">
        <v>680</v>
      </c>
      <c r="C433" s="67" t="s">
        <v>264</v>
      </c>
      <c r="D433" s="68">
        <v>77</v>
      </c>
      <c r="F433" s="66" t="s">
        <v>734</v>
      </c>
      <c r="G433" s="67" t="s">
        <v>261</v>
      </c>
      <c r="H433" s="68">
        <v>15</v>
      </c>
      <c r="I433" s="70">
        <v>30</v>
      </c>
      <c r="J433" s="70">
        <v>-21</v>
      </c>
      <c r="K433" s="70">
        <v>-23</v>
      </c>
      <c r="L433" s="70">
        <v>27</v>
      </c>
      <c r="M433" s="70">
        <v>21</v>
      </c>
      <c r="N433" s="70">
        <v>4450</v>
      </c>
      <c r="O433" s="70">
        <v>15</v>
      </c>
      <c r="P433" s="71">
        <v>107</v>
      </c>
      <c r="Q433" s="71">
        <v>975</v>
      </c>
      <c r="R433" s="72">
        <v>1.1299999999999999</v>
      </c>
      <c r="S433" s="71">
        <v>1200</v>
      </c>
      <c r="T433" s="71">
        <v>260</v>
      </c>
      <c r="U433" s="73">
        <v>2.2000000000000002</v>
      </c>
      <c r="V433" s="73">
        <v>0.6</v>
      </c>
      <c r="W433" s="72">
        <v>0.4</v>
      </c>
      <c r="X433" s="72">
        <v>0.55000000000000004</v>
      </c>
      <c r="Y433" s="72">
        <v>0.18</v>
      </c>
      <c r="Z433" s="74">
        <v>0.11</v>
      </c>
      <c r="AA433" s="74">
        <v>5.8000000000000003E-2</v>
      </c>
      <c r="AB433" s="74">
        <v>1.6E-2</v>
      </c>
      <c r="AC433" s="74">
        <v>8.5999999999999993E-2</v>
      </c>
    </row>
    <row r="434" spans="2:29" x14ac:dyDescent="0.2">
      <c r="B434" s="66" t="s">
        <v>681</v>
      </c>
      <c r="C434" s="67" t="s">
        <v>264</v>
      </c>
      <c r="D434" s="68">
        <v>78</v>
      </c>
      <c r="F434" s="66" t="s">
        <v>819</v>
      </c>
      <c r="G434" s="67" t="s">
        <v>264</v>
      </c>
      <c r="H434" s="68">
        <v>129</v>
      </c>
      <c r="I434" s="70">
        <v>180</v>
      </c>
      <c r="J434" s="70">
        <v>-32</v>
      </c>
      <c r="K434" s="70">
        <v>-35</v>
      </c>
      <c r="L434" s="70">
        <v>30</v>
      </c>
      <c r="M434" s="70">
        <v>21</v>
      </c>
      <c r="N434" s="70">
        <v>5700</v>
      </c>
      <c r="O434" s="70">
        <v>23</v>
      </c>
      <c r="P434" s="71">
        <v>92</v>
      </c>
      <c r="Q434" s="71">
        <v>570</v>
      </c>
      <c r="R434" s="72">
        <v>0.75</v>
      </c>
      <c r="S434" s="71">
        <v>810</v>
      </c>
      <c r="T434" s="71">
        <v>100</v>
      </c>
      <c r="U434" s="73">
        <v>2.2999999999999998</v>
      </c>
      <c r="V434" s="73">
        <v>0.4</v>
      </c>
      <c r="W434" s="72">
        <v>0.31</v>
      </c>
      <c r="X434" s="72">
        <v>0.43</v>
      </c>
      <c r="Y434" s="72">
        <v>0.28999999999999998</v>
      </c>
      <c r="Z434" s="74">
        <v>0.14000000000000001</v>
      </c>
      <c r="AA434" s="74">
        <v>6.8000000000000005E-2</v>
      </c>
      <c r="AB434" s="74">
        <v>0.02</v>
      </c>
      <c r="AC434" s="74">
        <v>0.18</v>
      </c>
    </row>
    <row r="435" spans="2:29" x14ac:dyDescent="0.2">
      <c r="B435" s="66" t="s">
        <v>682</v>
      </c>
      <c r="C435" s="67" t="s">
        <v>264</v>
      </c>
      <c r="D435" s="68">
        <v>79</v>
      </c>
      <c r="F435" s="66" t="s">
        <v>589</v>
      </c>
      <c r="G435" s="67" t="s">
        <v>224</v>
      </c>
      <c r="H435" s="68">
        <v>54</v>
      </c>
      <c r="I435" s="70">
        <v>10</v>
      </c>
      <c r="J435" s="70">
        <v>-8</v>
      </c>
      <c r="K435" s="70">
        <v>-10</v>
      </c>
      <c r="L435" s="70">
        <v>29</v>
      </c>
      <c r="M435" s="70">
        <v>19</v>
      </c>
      <c r="N435" s="70">
        <v>2950</v>
      </c>
      <c r="O435" s="70">
        <v>10</v>
      </c>
      <c r="P435" s="71">
        <v>134</v>
      </c>
      <c r="Q435" s="71">
        <v>1500</v>
      </c>
      <c r="R435" s="72">
        <v>1.59</v>
      </c>
      <c r="S435" s="71">
        <v>1575</v>
      </c>
      <c r="T435" s="71">
        <v>160</v>
      </c>
      <c r="U435" s="73">
        <v>2.2999999999999998</v>
      </c>
      <c r="V435" s="73">
        <v>0.2</v>
      </c>
      <c r="W435" s="72">
        <v>0.36</v>
      </c>
      <c r="X435" s="72">
        <v>0.47</v>
      </c>
      <c r="Y435" s="72">
        <v>0.99</v>
      </c>
      <c r="Z435" s="74">
        <v>0.66</v>
      </c>
      <c r="AA435" s="74">
        <v>0.33</v>
      </c>
      <c r="AB435" s="74">
        <v>0.17</v>
      </c>
      <c r="AC435" s="74">
        <v>0.49</v>
      </c>
    </row>
    <row r="436" spans="2:29" x14ac:dyDescent="0.2">
      <c r="B436" s="66" t="s">
        <v>684</v>
      </c>
      <c r="C436" s="67" t="s">
        <v>264</v>
      </c>
      <c r="D436" s="68">
        <v>80</v>
      </c>
      <c r="F436" s="66" t="s">
        <v>820</v>
      </c>
      <c r="G436" s="67" t="s">
        <v>264</v>
      </c>
      <c r="H436" s="68">
        <v>130</v>
      </c>
      <c r="I436" s="70">
        <v>115</v>
      </c>
      <c r="J436" s="70">
        <v>-20</v>
      </c>
      <c r="K436" s="70">
        <v>-22</v>
      </c>
      <c r="L436" s="70">
        <v>30</v>
      </c>
      <c r="M436" s="70">
        <v>23</v>
      </c>
      <c r="N436" s="70">
        <v>4200</v>
      </c>
      <c r="O436" s="70">
        <v>23</v>
      </c>
      <c r="P436" s="71">
        <v>86</v>
      </c>
      <c r="Q436" s="71">
        <v>760</v>
      </c>
      <c r="R436" s="72">
        <v>0.9</v>
      </c>
      <c r="S436" s="71">
        <v>830</v>
      </c>
      <c r="T436" s="71">
        <v>160</v>
      </c>
      <c r="U436" s="73">
        <v>1.5</v>
      </c>
      <c r="V436" s="73">
        <v>0.4</v>
      </c>
      <c r="W436" s="72">
        <v>0.46</v>
      </c>
      <c r="X436" s="72">
        <v>0.59</v>
      </c>
      <c r="Y436" s="72">
        <v>0.22</v>
      </c>
      <c r="Z436" s="74">
        <v>0.12</v>
      </c>
      <c r="AA436" s="74">
        <v>6.0999999999999999E-2</v>
      </c>
      <c r="AB436" s="74">
        <v>1.6E-2</v>
      </c>
      <c r="AC436" s="74">
        <v>0.12</v>
      </c>
    </row>
    <row r="437" spans="2:29" x14ac:dyDescent="0.2">
      <c r="B437" s="66" t="s">
        <v>685</v>
      </c>
      <c r="C437" s="67" t="s">
        <v>264</v>
      </c>
      <c r="D437" s="68">
        <v>81</v>
      </c>
      <c r="F437" s="66" t="s">
        <v>821</v>
      </c>
      <c r="G437" s="67" t="s">
        <v>264</v>
      </c>
      <c r="H437" s="68">
        <v>131</v>
      </c>
      <c r="I437" s="70">
        <v>245</v>
      </c>
      <c r="J437" s="70">
        <v>-20</v>
      </c>
      <c r="K437" s="70">
        <v>-22</v>
      </c>
      <c r="L437" s="70">
        <v>30</v>
      </c>
      <c r="M437" s="70">
        <v>23</v>
      </c>
      <c r="N437" s="70">
        <v>4200</v>
      </c>
      <c r="O437" s="70">
        <v>23</v>
      </c>
      <c r="P437" s="71">
        <v>86</v>
      </c>
      <c r="Q437" s="71">
        <v>760</v>
      </c>
      <c r="R437" s="72">
        <v>0.9</v>
      </c>
      <c r="S437" s="71">
        <v>830</v>
      </c>
      <c r="T437" s="71">
        <v>160</v>
      </c>
      <c r="U437" s="73">
        <v>1.4</v>
      </c>
      <c r="V437" s="73">
        <v>0.4</v>
      </c>
      <c r="W437" s="72">
        <v>0.46</v>
      </c>
      <c r="X437" s="72">
        <v>0.6</v>
      </c>
      <c r="Y437" s="72">
        <v>0.21</v>
      </c>
      <c r="Z437" s="74">
        <v>0.12</v>
      </c>
      <c r="AA437" s="74">
        <v>0.06</v>
      </c>
      <c r="AB437" s="74">
        <v>1.6E-2</v>
      </c>
      <c r="AC437" s="74">
        <v>0.12</v>
      </c>
    </row>
    <row r="438" spans="2:29" x14ac:dyDescent="0.2">
      <c r="B438" s="66" t="s">
        <v>686</v>
      </c>
      <c r="C438" s="67" t="s">
        <v>264</v>
      </c>
      <c r="D438" s="68">
        <v>82</v>
      </c>
      <c r="F438" s="66" t="s">
        <v>822</v>
      </c>
      <c r="G438" s="67" t="s">
        <v>264</v>
      </c>
      <c r="H438" s="68">
        <v>132</v>
      </c>
      <c r="I438" s="70">
        <v>185</v>
      </c>
      <c r="J438" s="70">
        <v>-22</v>
      </c>
      <c r="K438" s="70">
        <v>-24</v>
      </c>
      <c r="L438" s="70">
        <v>30</v>
      </c>
      <c r="M438" s="70">
        <v>23</v>
      </c>
      <c r="N438" s="70">
        <v>4400</v>
      </c>
      <c r="O438" s="70">
        <v>28</v>
      </c>
      <c r="P438" s="71">
        <v>108</v>
      </c>
      <c r="Q438" s="71">
        <v>700</v>
      </c>
      <c r="R438" s="72">
        <v>0.81</v>
      </c>
      <c r="S438" s="71">
        <v>800</v>
      </c>
      <c r="T438" s="71">
        <v>140</v>
      </c>
      <c r="U438" s="73">
        <v>2</v>
      </c>
      <c r="V438" s="73">
        <v>0.4</v>
      </c>
      <c r="W438" s="72">
        <v>0.26</v>
      </c>
      <c r="X438" s="72">
        <v>0.38</v>
      </c>
      <c r="Y438" s="72">
        <v>0.19</v>
      </c>
      <c r="Z438" s="74">
        <v>0.1</v>
      </c>
      <c r="AA438" s="74">
        <v>5.0999999999999997E-2</v>
      </c>
      <c r="AB438" s="74">
        <v>1.4E-2</v>
      </c>
      <c r="AC438" s="74">
        <v>0.1</v>
      </c>
    </row>
    <row r="439" spans="2:29" x14ac:dyDescent="0.2">
      <c r="B439" s="66" t="s">
        <v>693</v>
      </c>
      <c r="C439" s="67" t="s">
        <v>264</v>
      </c>
      <c r="D439" s="68">
        <v>83</v>
      </c>
      <c r="F439" s="66" t="s">
        <v>823</v>
      </c>
      <c r="G439" s="67" t="s">
        <v>264</v>
      </c>
      <c r="H439" s="68">
        <v>133</v>
      </c>
      <c r="I439" s="70">
        <v>210</v>
      </c>
      <c r="J439" s="70">
        <v>-16</v>
      </c>
      <c r="K439" s="70">
        <v>-18</v>
      </c>
      <c r="L439" s="70">
        <v>30</v>
      </c>
      <c r="M439" s="70">
        <v>23</v>
      </c>
      <c r="N439" s="70">
        <v>3700</v>
      </c>
      <c r="O439" s="70">
        <v>23</v>
      </c>
      <c r="P439" s="71">
        <v>103</v>
      </c>
      <c r="Q439" s="71">
        <v>810</v>
      </c>
      <c r="R439" s="72">
        <v>0.94</v>
      </c>
      <c r="S439" s="71">
        <v>950</v>
      </c>
      <c r="T439" s="71">
        <v>160</v>
      </c>
      <c r="U439" s="73">
        <v>2</v>
      </c>
      <c r="V439" s="73">
        <v>0.4</v>
      </c>
      <c r="W439" s="72">
        <v>0.33</v>
      </c>
      <c r="X439" s="72">
        <v>0.43</v>
      </c>
      <c r="Y439" s="72">
        <v>0.41</v>
      </c>
      <c r="Z439" s="74">
        <v>0.2</v>
      </c>
      <c r="AA439" s="74">
        <v>7.2999999999999995E-2</v>
      </c>
      <c r="AB439" s="74">
        <v>2.1000000000000001E-2</v>
      </c>
      <c r="AC439" s="74">
        <v>0.3</v>
      </c>
    </row>
    <row r="440" spans="2:29" x14ac:dyDescent="0.2">
      <c r="B440" s="66" t="s">
        <v>697</v>
      </c>
      <c r="C440" s="67" t="s">
        <v>264</v>
      </c>
      <c r="D440" s="68">
        <v>84</v>
      </c>
      <c r="F440" s="66" t="s">
        <v>824</v>
      </c>
      <c r="G440" s="67" t="s">
        <v>257</v>
      </c>
      <c r="H440" s="68">
        <v>65</v>
      </c>
      <c r="I440" s="70">
        <v>15</v>
      </c>
      <c r="J440" s="70">
        <v>-25</v>
      </c>
      <c r="K440" s="70">
        <v>-28</v>
      </c>
      <c r="L440" s="70">
        <v>30</v>
      </c>
      <c r="M440" s="70">
        <v>23</v>
      </c>
      <c r="N440" s="70">
        <v>5000</v>
      </c>
      <c r="O440" s="70">
        <v>20</v>
      </c>
      <c r="P440" s="71">
        <v>112</v>
      </c>
      <c r="Q440" s="71">
        <v>860</v>
      </c>
      <c r="R440" s="72">
        <v>0.98</v>
      </c>
      <c r="S440" s="71">
        <v>1025</v>
      </c>
      <c r="T440" s="71">
        <v>160</v>
      </c>
      <c r="U440" s="73">
        <v>2.8</v>
      </c>
      <c r="V440" s="73">
        <v>0.4</v>
      </c>
      <c r="W440" s="72">
        <v>0.32</v>
      </c>
      <c r="X440" s="72">
        <v>0.42</v>
      </c>
      <c r="Y440" s="72">
        <v>0.64</v>
      </c>
      <c r="Z440" s="74">
        <v>0.31</v>
      </c>
      <c r="AA440" s="74">
        <v>0.12</v>
      </c>
      <c r="AB440" s="74">
        <v>4.2999999999999997E-2</v>
      </c>
      <c r="AC440" s="74">
        <v>0.4</v>
      </c>
    </row>
    <row r="441" spans="2:29" x14ac:dyDescent="0.2">
      <c r="B441" s="66" t="s">
        <v>700</v>
      </c>
      <c r="C441" s="67" t="s">
        <v>264</v>
      </c>
      <c r="D441" s="68">
        <v>85</v>
      </c>
      <c r="F441" s="66" t="s">
        <v>825</v>
      </c>
      <c r="G441" s="67" t="s">
        <v>278</v>
      </c>
      <c r="H441" s="68">
        <v>19</v>
      </c>
      <c r="I441" s="70">
        <v>365</v>
      </c>
      <c r="J441" s="70">
        <v>-38</v>
      </c>
      <c r="K441" s="70">
        <v>-41</v>
      </c>
      <c r="L441" s="70">
        <v>28</v>
      </c>
      <c r="M441" s="70">
        <v>21</v>
      </c>
      <c r="N441" s="70">
        <v>6450</v>
      </c>
      <c r="O441" s="70">
        <v>18</v>
      </c>
      <c r="P441" s="71">
        <v>76</v>
      </c>
      <c r="Q441" s="71">
        <v>340</v>
      </c>
      <c r="R441" s="72">
        <v>0.56000000000000005</v>
      </c>
      <c r="S441" s="71">
        <v>450</v>
      </c>
      <c r="T441" s="71">
        <v>100</v>
      </c>
      <c r="U441" s="73">
        <v>2</v>
      </c>
      <c r="V441" s="73">
        <v>0.1</v>
      </c>
      <c r="W441" s="72">
        <v>0.27</v>
      </c>
      <c r="X441" s="72">
        <v>0.38</v>
      </c>
      <c r="Y441" s="72">
        <v>0.12</v>
      </c>
      <c r="Z441" s="74">
        <v>5.6000000000000001E-2</v>
      </c>
      <c r="AA441" s="74">
        <v>2.3E-2</v>
      </c>
      <c r="AB441" s="74">
        <v>6.0000000000000001E-3</v>
      </c>
      <c r="AC441" s="74">
        <v>5.8999999999999997E-2</v>
      </c>
    </row>
    <row r="442" spans="2:29" x14ac:dyDescent="0.2">
      <c r="B442" s="66" t="s">
        <v>703</v>
      </c>
      <c r="C442" s="67" t="s">
        <v>264</v>
      </c>
      <c r="D442" s="68">
        <v>86</v>
      </c>
      <c r="F442" s="66" t="s">
        <v>826</v>
      </c>
      <c r="G442" s="67" t="s">
        <v>257</v>
      </c>
      <c r="H442" s="68">
        <v>66</v>
      </c>
      <c r="I442" s="70">
        <v>545</v>
      </c>
      <c r="J442" s="70">
        <v>-38</v>
      </c>
      <c r="K442" s="70">
        <v>-40</v>
      </c>
      <c r="L442" s="70">
        <v>23</v>
      </c>
      <c r="M442" s="70">
        <v>19</v>
      </c>
      <c r="N442" s="70">
        <v>8100</v>
      </c>
      <c r="O442" s="70">
        <v>15</v>
      </c>
      <c r="P442" s="71">
        <v>70</v>
      </c>
      <c r="Q442" s="71">
        <v>500</v>
      </c>
      <c r="R442" s="72">
        <v>0.89</v>
      </c>
      <c r="S442" s="71">
        <v>825</v>
      </c>
      <c r="T442" s="71">
        <v>140</v>
      </c>
      <c r="U442" s="73">
        <v>3.5</v>
      </c>
      <c r="V442" s="73">
        <v>0.3</v>
      </c>
      <c r="W442" s="72">
        <v>0.28999999999999998</v>
      </c>
      <c r="X442" s="72">
        <v>0.37</v>
      </c>
      <c r="Y442" s="72">
        <v>0.12</v>
      </c>
      <c r="Z442" s="74">
        <v>6.0999999999999999E-2</v>
      </c>
      <c r="AA442" s="74">
        <v>3.1E-2</v>
      </c>
      <c r="AB442" s="74">
        <v>0.01</v>
      </c>
      <c r="AC442" s="74">
        <v>5.8999999999999997E-2</v>
      </c>
    </row>
    <row r="443" spans="2:29" x14ac:dyDescent="0.2">
      <c r="B443" s="66" t="s">
        <v>704</v>
      </c>
      <c r="C443" s="67" t="s">
        <v>264</v>
      </c>
      <c r="D443" s="68">
        <v>87</v>
      </c>
      <c r="F443" s="66" t="s">
        <v>827</v>
      </c>
      <c r="G443" s="67" t="s">
        <v>257</v>
      </c>
      <c r="H443" s="68">
        <v>67</v>
      </c>
      <c r="I443" s="70">
        <v>305</v>
      </c>
      <c r="J443" s="70">
        <v>-33</v>
      </c>
      <c r="K443" s="70">
        <v>-36</v>
      </c>
      <c r="L443" s="70">
        <v>29</v>
      </c>
      <c r="M443" s="70">
        <v>21</v>
      </c>
      <c r="N443" s="70">
        <v>6150</v>
      </c>
      <c r="O443" s="70">
        <v>20</v>
      </c>
      <c r="P443" s="71">
        <v>91</v>
      </c>
      <c r="Q443" s="71">
        <v>650</v>
      </c>
      <c r="R443" s="72">
        <v>0.82</v>
      </c>
      <c r="S443" s="71">
        <v>875</v>
      </c>
      <c r="T443" s="71">
        <v>100</v>
      </c>
      <c r="U443" s="73">
        <v>3.2</v>
      </c>
      <c r="V443" s="73">
        <v>0.3</v>
      </c>
      <c r="W443" s="72">
        <v>0.26</v>
      </c>
      <c r="X443" s="72">
        <v>0.35</v>
      </c>
      <c r="Y443" s="72">
        <v>0.2</v>
      </c>
      <c r="Z443" s="74">
        <v>0.11</v>
      </c>
      <c r="AA443" s="74">
        <v>5.6000000000000001E-2</v>
      </c>
      <c r="AB443" s="74">
        <v>1.6E-2</v>
      </c>
      <c r="AC443" s="74">
        <v>0.11</v>
      </c>
    </row>
    <row r="444" spans="2:29" x14ac:dyDescent="0.2">
      <c r="B444" s="66" t="s">
        <v>711</v>
      </c>
      <c r="C444" s="67" t="s">
        <v>264</v>
      </c>
      <c r="D444" s="68">
        <v>88</v>
      </c>
      <c r="F444" s="66" t="s">
        <v>757</v>
      </c>
      <c r="G444" s="67" t="s">
        <v>265</v>
      </c>
      <c r="H444" s="68">
        <v>12</v>
      </c>
      <c r="I444" s="70">
        <v>65</v>
      </c>
      <c r="J444" s="70">
        <v>-46</v>
      </c>
      <c r="K444" s="70">
        <v>-47</v>
      </c>
      <c r="L444" s="70">
        <v>27</v>
      </c>
      <c r="M444" s="70">
        <v>17</v>
      </c>
      <c r="N444" s="70">
        <v>8800</v>
      </c>
      <c r="O444" s="70">
        <v>5</v>
      </c>
      <c r="P444" s="71">
        <v>60</v>
      </c>
      <c r="Q444" s="71">
        <v>165</v>
      </c>
      <c r="R444" s="72">
        <v>0.56999999999999995</v>
      </c>
      <c r="S444" s="71">
        <v>320</v>
      </c>
      <c r="T444" s="71">
        <v>80</v>
      </c>
      <c r="U444" s="73">
        <v>2.7</v>
      </c>
      <c r="V444" s="73">
        <v>0.1</v>
      </c>
      <c r="W444" s="72">
        <v>0.41</v>
      </c>
      <c r="X444" s="72">
        <v>0.67</v>
      </c>
      <c r="Y444" s="72">
        <v>0.51</v>
      </c>
      <c r="Z444" s="74">
        <v>0.31</v>
      </c>
      <c r="AA444" s="74">
        <v>0.15</v>
      </c>
      <c r="AB444" s="74">
        <v>8.5000000000000006E-2</v>
      </c>
      <c r="AC444" s="74">
        <v>0.24</v>
      </c>
    </row>
    <row r="445" spans="2:29" x14ac:dyDescent="0.2">
      <c r="B445" s="66" t="s">
        <v>715</v>
      </c>
      <c r="C445" s="67" t="s">
        <v>264</v>
      </c>
      <c r="D445" s="68">
        <v>89</v>
      </c>
      <c r="F445" s="66" t="s">
        <v>828</v>
      </c>
      <c r="G445" s="67" t="s">
        <v>278</v>
      </c>
      <c r="H445" s="68">
        <v>20</v>
      </c>
      <c r="I445" s="70">
        <v>545</v>
      </c>
      <c r="J445" s="70">
        <v>-34</v>
      </c>
      <c r="K445" s="70">
        <v>-36</v>
      </c>
      <c r="L445" s="70">
        <v>30</v>
      </c>
      <c r="M445" s="70">
        <v>20</v>
      </c>
      <c r="N445" s="70">
        <v>6000</v>
      </c>
      <c r="O445" s="70">
        <v>20</v>
      </c>
      <c r="P445" s="71">
        <v>81</v>
      </c>
      <c r="Q445" s="71">
        <v>280</v>
      </c>
      <c r="R445" s="72">
        <v>0.46</v>
      </c>
      <c r="S445" s="71">
        <v>370</v>
      </c>
      <c r="T445" s="71">
        <v>120</v>
      </c>
      <c r="U445" s="73">
        <v>1.7</v>
      </c>
      <c r="V445" s="73">
        <v>0.1</v>
      </c>
      <c r="W445" s="72">
        <v>0.45</v>
      </c>
      <c r="X445" s="72">
        <v>0.71</v>
      </c>
      <c r="Y445" s="72">
        <v>0.12</v>
      </c>
      <c r="Z445" s="74">
        <v>5.6000000000000001E-2</v>
      </c>
      <c r="AA445" s="74">
        <v>2.3E-2</v>
      </c>
      <c r="AB445" s="74">
        <v>6.0000000000000001E-3</v>
      </c>
      <c r="AC445" s="74">
        <v>5.8999999999999997E-2</v>
      </c>
    </row>
    <row r="446" spans="2:29" x14ac:dyDescent="0.2">
      <c r="B446" s="66" t="s">
        <v>721</v>
      </c>
      <c r="C446" s="67" t="s">
        <v>264</v>
      </c>
      <c r="D446" s="68">
        <v>90</v>
      </c>
      <c r="F446" s="66" t="s">
        <v>829</v>
      </c>
      <c r="G446" s="67" t="s">
        <v>264</v>
      </c>
      <c r="H446" s="68">
        <v>134</v>
      </c>
      <c r="I446" s="70">
        <v>210</v>
      </c>
      <c r="J446" s="70">
        <v>-28</v>
      </c>
      <c r="K446" s="70">
        <v>-30</v>
      </c>
      <c r="L446" s="70">
        <v>28</v>
      </c>
      <c r="M446" s="70">
        <v>21</v>
      </c>
      <c r="N446" s="70">
        <v>5300</v>
      </c>
      <c r="O446" s="70">
        <v>28</v>
      </c>
      <c r="P446" s="71">
        <v>97</v>
      </c>
      <c r="Q446" s="71">
        <v>775</v>
      </c>
      <c r="R446" s="72">
        <v>0.93</v>
      </c>
      <c r="S446" s="71">
        <v>975</v>
      </c>
      <c r="T446" s="71">
        <v>120</v>
      </c>
      <c r="U446" s="73">
        <v>2.2000000000000002</v>
      </c>
      <c r="V446" s="73">
        <v>0.4</v>
      </c>
      <c r="W446" s="72">
        <v>0.26</v>
      </c>
      <c r="X446" s="72">
        <v>0.34</v>
      </c>
      <c r="Y446" s="72">
        <v>0.28999999999999998</v>
      </c>
      <c r="Z446" s="74">
        <v>0.15</v>
      </c>
      <c r="AA446" s="74">
        <v>6.8000000000000005E-2</v>
      </c>
      <c r="AB446" s="74">
        <v>2.1999999999999999E-2</v>
      </c>
      <c r="AC446" s="74">
        <v>0.18</v>
      </c>
    </row>
    <row r="447" spans="2:29" x14ac:dyDescent="0.2">
      <c r="B447" s="66" t="s">
        <v>724</v>
      </c>
      <c r="C447" s="67" t="s">
        <v>264</v>
      </c>
      <c r="D447" s="68">
        <v>91</v>
      </c>
      <c r="F447" s="66" t="s">
        <v>735</v>
      </c>
      <c r="G447" s="67" t="s">
        <v>261</v>
      </c>
      <c r="H447" s="68">
        <v>16</v>
      </c>
      <c r="I447" s="70">
        <v>20</v>
      </c>
      <c r="J447" s="70">
        <v>-16</v>
      </c>
      <c r="K447" s="70">
        <v>-18</v>
      </c>
      <c r="L447" s="70">
        <v>27</v>
      </c>
      <c r="M447" s="70">
        <v>21</v>
      </c>
      <c r="N447" s="70">
        <v>4600</v>
      </c>
      <c r="O447" s="70">
        <v>13</v>
      </c>
      <c r="P447" s="71">
        <v>123</v>
      </c>
      <c r="Q447" s="71">
        <v>1200</v>
      </c>
      <c r="R447" s="72">
        <v>1.36</v>
      </c>
      <c r="S447" s="71">
        <v>1475</v>
      </c>
      <c r="T447" s="71">
        <v>300</v>
      </c>
      <c r="U447" s="73">
        <v>2.4</v>
      </c>
      <c r="V447" s="73">
        <v>0.6</v>
      </c>
      <c r="W447" s="72">
        <v>0.47</v>
      </c>
      <c r="X447" s="72">
        <v>0.59</v>
      </c>
      <c r="Y447" s="72">
        <v>0.19</v>
      </c>
      <c r="Z447" s="74">
        <v>0.11</v>
      </c>
      <c r="AA447" s="74">
        <v>6.0999999999999999E-2</v>
      </c>
      <c r="AB447" s="74">
        <v>1.6E-2</v>
      </c>
      <c r="AC447" s="74">
        <v>9.8000000000000004E-2</v>
      </c>
    </row>
    <row r="448" spans="2:29" x14ac:dyDescent="0.2">
      <c r="B448" s="66" t="s">
        <v>733</v>
      </c>
      <c r="C448" s="67" t="s">
        <v>264</v>
      </c>
      <c r="D448" s="68">
        <v>92</v>
      </c>
      <c r="F448" s="66" t="s">
        <v>590</v>
      </c>
      <c r="G448" s="67" t="s">
        <v>224</v>
      </c>
      <c r="H448" s="68">
        <v>55</v>
      </c>
      <c r="I448" s="70">
        <v>135</v>
      </c>
      <c r="J448" s="70">
        <v>-7</v>
      </c>
      <c r="K448" s="70">
        <v>-9</v>
      </c>
      <c r="L448" s="70">
        <v>26</v>
      </c>
      <c r="M448" s="70">
        <v>19</v>
      </c>
      <c r="N448" s="70">
        <v>3000</v>
      </c>
      <c r="O448" s="70">
        <v>10</v>
      </c>
      <c r="P448" s="71">
        <v>150</v>
      </c>
      <c r="Q448" s="71">
        <v>2000</v>
      </c>
      <c r="R448" s="72">
        <v>2.0699999999999998</v>
      </c>
      <c r="S448" s="71">
        <v>2100</v>
      </c>
      <c r="T448" s="71">
        <v>160</v>
      </c>
      <c r="U448" s="73">
        <v>3</v>
      </c>
      <c r="V448" s="73">
        <v>0.3</v>
      </c>
      <c r="W448" s="72">
        <v>0.36</v>
      </c>
      <c r="X448" s="72">
        <v>0.48</v>
      </c>
      <c r="Y448" s="72">
        <v>0.88</v>
      </c>
      <c r="Z448" s="74">
        <v>0.61</v>
      </c>
      <c r="AA448" s="74">
        <v>0.33</v>
      </c>
      <c r="AB448" s="74">
        <v>0.17</v>
      </c>
      <c r="AC448" s="74">
        <v>0.44</v>
      </c>
    </row>
    <row r="449" spans="2:29" x14ac:dyDescent="0.2">
      <c r="B449" s="66" t="s">
        <v>738</v>
      </c>
      <c r="C449" s="67" t="s">
        <v>264</v>
      </c>
      <c r="D449" s="68">
        <v>93</v>
      </c>
      <c r="F449" s="66" t="s">
        <v>830</v>
      </c>
      <c r="G449" s="67" t="s">
        <v>264</v>
      </c>
      <c r="H449" s="68">
        <v>135</v>
      </c>
      <c r="I449" s="70">
        <v>175</v>
      </c>
      <c r="J449" s="70">
        <v>-20</v>
      </c>
      <c r="K449" s="70">
        <v>-22</v>
      </c>
      <c r="L449" s="70">
        <v>31</v>
      </c>
      <c r="M449" s="70">
        <v>24</v>
      </c>
      <c r="N449" s="70">
        <v>4000</v>
      </c>
      <c r="O449" s="70">
        <v>25</v>
      </c>
      <c r="P449" s="71">
        <v>103</v>
      </c>
      <c r="Q449" s="71">
        <v>730</v>
      </c>
      <c r="R449" s="72">
        <v>0.82</v>
      </c>
      <c r="S449" s="71">
        <v>850</v>
      </c>
      <c r="T449" s="71">
        <v>150</v>
      </c>
      <c r="U449" s="73">
        <v>1.2</v>
      </c>
      <c r="V449" s="73">
        <v>0.4</v>
      </c>
      <c r="W449" s="72">
        <v>0.39</v>
      </c>
      <c r="X449" s="72">
        <v>0.53</v>
      </c>
      <c r="Y449" s="72">
        <v>0.24</v>
      </c>
      <c r="Z449" s="74">
        <v>0.12</v>
      </c>
      <c r="AA449" s="74">
        <v>5.3999999999999999E-2</v>
      </c>
      <c r="AB449" s="74">
        <v>1.4999999999999999E-2</v>
      </c>
      <c r="AC449" s="74">
        <v>0.15</v>
      </c>
    </row>
    <row r="450" spans="2:29" x14ac:dyDescent="0.2">
      <c r="B450" s="66" t="s">
        <v>740</v>
      </c>
      <c r="C450" s="67" t="s">
        <v>264</v>
      </c>
      <c r="D450" s="68">
        <v>94</v>
      </c>
      <c r="F450" s="66" t="s">
        <v>831</v>
      </c>
      <c r="G450" s="67" t="s">
        <v>264</v>
      </c>
      <c r="H450" s="68">
        <v>136</v>
      </c>
      <c r="I450" s="70">
        <v>225</v>
      </c>
      <c r="J450" s="70">
        <v>-24</v>
      </c>
      <c r="K450" s="70">
        <v>-26</v>
      </c>
      <c r="L450" s="70">
        <v>30</v>
      </c>
      <c r="M450" s="70">
        <v>23</v>
      </c>
      <c r="N450" s="70">
        <v>4500</v>
      </c>
      <c r="O450" s="70">
        <v>28</v>
      </c>
      <c r="P450" s="71">
        <v>92</v>
      </c>
      <c r="Q450" s="71">
        <v>720</v>
      </c>
      <c r="R450" s="72">
        <v>0.84</v>
      </c>
      <c r="S450" s="71">
        <v>850</v>
      </c>
      <c r="T450" s="71">
        <v>120</v>
      </c>
      <c r="U450" s="73">
        <v>2.1</v>
      </c>
      <c r="V450" s="73">
        <v>0.4</v>
      </c>
      <c r="W450" s="72">
        <v>0.28999999999999998</v>
      </c>
      <c r="X450" s="72">
        <v>0.41</v>
      </c>
      <c r="Y450" s="72">
        <v>0.22</v>
      </c>
      <c r="Z450" s="74">
        <v>0.12</v>
      </c>
      <c r="AA450" s="74">
        <v>6.5000000000000002E-2</v>
      </c>
      <c r="AB450" s="74">
        <v>1.7999999999999999E-2</v>
      </c>
      <c r="AC450" s="74">
        <v>0.11</v>
      </c>
    </row>
    <row r="451" spans="2:29" x14ac:dyDescent="0.2">
      <c r="B451" s="66" t="s">
        <v>743</v>
      </c>
      <c r="C451" s="67" t="s">
        <v>264</v>
      </c>
      <c r="D451" s="68">
        <v>95</v>
      </c>
      <c r="F451" s="66" t="s">
        <v>770</v>
      </c>
      <c r="G451" s="67" t="s">
        <v>267</v>
      </c>
      <c r="H451" s="68">
        <v>13</v>
      </c>
      <c r="I451" s="70">
        <v>30</v>
      </c>
      <c r="J451" s="70">
        <v>-38</v>
      </c>
      <c r="K451" s="70">
        <v>-40</v>
      </c>
      <c r="L451" s="70">
        <v>14</v>
      </c>
      <c r="M451" s="70">
        <v>13</v>
      </c>
      <c r="N451" s="70">
        <v>10000</v>
      </c>
      <c r="O451" s="70">
        <v>5</v>
      </c>
      <c r="P451" s="71">
        <v>60</v>
      </c>
      <c r="Q451" s="71">
        <v>175</v>
      </c>
      <c r="R451" s="72">
        <v>0.88</v>
      </c>
      <c r="S451" s="71">
        <v>325</v>
      </c>
      <c r="T451" s="71">
        <v>200</v>
      </c>
      <c r="U451" s="73">
        <v>4.5</v>
      </c>
      <c r="V451" s="73">
        <v>0.2</v>
      </c>
      <c r="W451" s="72">
        <v>0.75</v>
      </c>
      <c r="X451" s="72">
        <v>0.99</v>
      </c>
      <c r="Y451" s="72">
        <v>0.24</v>
      </c>
      <c r="Z451" s="74">
        <v>0.1</v>
      </c>
      <c r="AA451" s="74">
        <v>0.05</v>
      </c>
      <c r="AB451" s="74">
        <v>1.2E-2</v>
      </c>
      <c r="AC451" s="74">
        <v>0.16</v>
      </c>
    </row>
    <row r="452" spans="2:29" x14ac:dyDescent="0.2">
      <c r="B452" s="66" t="s">
        <v>747</v>
      </c>
      <c r="C452" s="67" t="s">
        <v>264</v>
      </c>
      <c r="D452" s="68">
        <v>96</v>
      </c>
      <c r="F452" s="66" t="s">
        <v>832</v>
      </c>
      <c r="G452" s="67" t="s">
        <v>264</v>
      </c>
      <c r="H452" s="68">
        <v>137</v>
      </c>
      <c r="I452" s="70">
        <v>90</v>
      </c>
      <c r="J452" s="70">
        <v>-18</v>
      </c>
      <c r="K452" s="70">
        <v>-20</v>
      </c>
      <c r="L452" s="70">
        <v>30</v>
      </c>
      <c r="M452" s="70">
        <v>23</v>
      </c>
      <c r="N452" s="70">
        <v>3800</v>
      </c>
      <c r="O452" s="70">
        <v>23</v>
      </c>
      <c r="P452" s="71">
        <v>97</v>
      </c>
      <c r="Q452" s="71">
        <v>750</v>
      </c>
      <c r="R452" s="72">
        <v>0.9</v>
      </c>
      <c r="S452" s="71">
        <v>850</v>
      </c>
      <c r="T452" s="71">
        <v>160</v>
      </c>
      <c r="U452" s="73">
        <v>0.9</v>
      </c>
      <c r="V452" s="73">
        <v>0.4</v>
      </c>
      <c r="W452" s="72">
        <v>0.37</v>
      </c>
      <c r="X452" s="72">
        <v>0.49</v>
      </c>
      <c r="Y452" s="72">
        <v>0.35</v>
      </c>
      <c r="Z452" s="74">
        <v>0.17</v>
      </c>
      <c r="AA452" s="74">
        <v>6.2E-2</v>
      </c>
      <c r="AB452" s="74">
        <v>0.02</v>
      </c>
      <c r="AC452" s="74">
        <v>0.26</v>
      </c>
    </row>
    <row r="453" spans="2:29" x14ac:dyDescent="0.2">
      <c r="B453" s="66" t="s">
        <v>750</v>
      </c>
      <c r="C453" s="67" t="s">
        <v>264</v>
      </c>
      <c r="D453" s="68">
        <v>97</v>
      </c>
      <c r="F453" s="66" t="s">
        <v>592</v>
      </c>
      <c r="G453" s="67" t="s">
        <v>224</v>
      </c>
      <c r="H453" s="68">
        <v>56</v>
      </c>
      <c r="I453" s="70">
        <v>10</v>
      </c>
      <c r="J453" s="70">
        <v>-12</v>
      </c>
      <c r="K453" s="70">
        <v>-14</v>
      </c>
      <c r="L453" s="70">
        <v>23</v>
      </c>
      <c r="M453" s="70">
        <v>16</v>
      </c>
      <c r="N453" s="70">
        <v>3600</v>
      </c>
      <c r="O453" s="70">
        <v>13</v>
      </c>
      <c r="P453" s="71">
        <v>278</v>
      </c>
      <c r="Q453" s="71">
        <v>4150</v>
      </c>
      <c r="R453" s="72">
        <v>4.21</v>
      </c>
      <c r="S453" s="71">
        <v>4300</v>
      </c>
      <c r="T453" s="71">
        <v>350</v>
      </c>
      <c r="U453" s="73">
        <v>3.9</v>
      </c>
      <c r="V453" s="73">
        <v>0.8</v>
      </c>
      <c r="W453" s="72">
        <v>0.47</v>
      </c>
      <c r="X453" s="72">
        <v>0.59</v>
      </c>
      <c r="Y453" s="72">
        <v>0.38</v>
      </c>
      <c r="Z453" s="74">
        <v>0.25</v>
      </c>
      <c r="AA453" s="74">
        <v>0.14000000000000001</v>
      </c>
      <c r="AB453" s="74">
        <v>7.8E-2</v>
      </c>
      <c r="AC453" s="74">
        <v>0.18</v>
      </c>
    </row>
    <row r="454" spans="2:29" x14ac:dyDescent="0.2">
      <c r="B454" s="66" t="s">
        <v>751</v>
      </c>
      <c r="C454" s="67" t="s">
        <v>264</v>
      </c>
      <c r="D454" s="68">
        <v>98</v>
      </c>
      <c r="F454" s="66" t="s">
        <v>420</v>
      </c>
      <c r="G454" s="67" t="s">
        <v>247</v>
      </c>
      <c r="H454" s="68">
        <v>91</v>
      </c>
      <c r="I454" s="76">
        <v>1051</v>
      </c>
      <c r="J454" s="70">
        <v>-32</v>
      </c>
      <c r="K454" s="70">
        <v>-34</v>
      </c>
      <c r="L454" s="70">
        <v>28</v>
      </c>
      <c r="M454" s="70">
        <v>18</v>
      </c>
      <c r="N454" s="76">
        <v>5300</v>
      </c>
      <c r="O454" s="76">
        <v>17</v>
      </c>
      <c r="P454" s="77">
        <v>95</v>
      </c>
      <c r="Q454" s="77">
        <v>350</v>
      </c>
      <c r="R454" s="72">
        <v>0.41</v>
      </c>
      <c r="S454" s="77">
        <v>470</v>
      </c>
      <c r="T454" s="77">
        <v>200</v>
      </c>
      <c r="U454" s="73">
        <v>1.4</v>
      </c>
      <c r="V454" s="73">
        <v>0.1</v>
      </c>
      <c r="W454" s="72">
        <v>0.51</v>
      </c>
      <c r="X454" s="72">
        <v>0.66</v>
      </c>
      <c r="Y454" s="72">
        <v>0.15</v>
      </c>
      <c r="Z454" s="74">
        <v>0.09</v>
      </c>
      <c r="AA454" s="74">
        <v>0.04</v>
      </c>
      <c r="AB454" s="74">
        <v>0.02</v>
      </c>
      <c r="AC454" s="74">
        <v>0.09</v>
      </c>
    </row>
    <row r="455" spans="2:29" x14ac:dyDescent="0.2">
      <c r="B455" s="66" t="s">
        <v>752</v>
      </c>
      <c r="C455" s="67" t="s">
        <v>264</v>
      </c>
      <c r="D455" s="68">
        <v>99</v>
      </c>
      <c r="F455" s="66" t="s">
        <v>422</v>
      </c>
      <c r="G455" s="67" t="s">
        <v>247</v>
      </c>
      <c r="H455" s="68">
        <v>92</v>
      </c>
      <c r="I455" s="76">
        <v>1041</v>
      </c>
      <c r="J455" s="70">
        <v>-33</v>
      </c>
      <c r="K455" s="70">
        <v>-36</v>
      </c>
      <c r="L455" s="70">
        <v>28</v>
      </c>
      <c r="M455" s="70">
        <v>18</v>
      </c>
      <c r="N455" s="76">
        <v>5600</v>
      </c>
      <c r="O455" s="76">
        <v>17</v>
      </c>
      <c r="P455" s="77">
        <v>95</v>
      </c>
      <c r="Q455" s="77">
        <v>365</v>
      </c>
      <c r="R455" s="72">
        <v>0.51</v>
      </c>
      <c r="S455" s="77">
        <v>485</v>
      </c>
      <c r="T455" s="77">
        <v>180</v>
      </c>
      <c r="U455" s="73">
        <v>1.8</v>
      </c>
      <c r="V455" s="73">
        <v>0.1</v>
      </c>
      <c r="W455" s="72">
        <v>0.32</v>
      </c>
      <c r="X455" s="72">
        <v>0.42</v>
      </c>
      <c r="Y455" s="72">
        <v>0.15</v>
      </c>
      <c r="Z455" s="74">
        <v>0.08</v>
      </c>
      <c r="AA455" s="74">
        <v>0.04</v>
      </c>
      <c r="AB455" s="74">
        <v>0.02</v>
      </c>
      <c r="AC455" s="74">
        <v>0.08</v>
      </c>
    </row>
    <row r="456" spans="2:29" x14ac:dyDescent="0.2">
      <c r="B456" s="66" t="s">
        <v>753</v>
      </c>
      <c r="C456" s="67" t="s">
        <v>264</v>
      </c>
      <c r="D456" s="68">
        <v>100</v>
      </c>
      <c r="F456" s="66" t="s">
        <v>833</v>
      </c>
      <c r="G456" s="67" t="s">
        <v>264</v>
      </c>
      <c r="H456" s="68">
        <v>138</v>
      </c>
      <c r="I456" s="70">
        <v>430</v>
      </c>
      <c r="J456" s="70">
        <v>-21</v>
      </c>
      <c r="K456" s="70">
        <v>-23</v>
      </c>
      <c r="L456" s="70">
        <v>29</v>
      </c>
      <c r="M456" s="70">
        <v>23</v>
      </c>
      <c r="N456" s="70">
        <v>4600</v>
      </c>
      <c r="O456" s="70">
        <v>30</v>
      </c>
      <c r="P456" s="71">
        <v>108</v>
      </c>
      <c r="Q456" s="71">
        <v>730</v>
      </c>
      <c r="R456" s="72">
        <v>0.84</v>
      </c>
      <c r="S456" s="71">
        <v>875</v>
      </c>
      <c r="T456" s="71">
        <v>140</v>
      </c>
      <c r="U456" s="73">
        <v>2.2999999999999998</v>
      </c>
      <c r="V456" s="73">
        <v>0.4</v>
      </c>
      <c r="W456" s="72">
        <v>0.25</v>
      </c>
      <c r="X456" s="72">
        <v>0.36</v>
      </c>
      <c r="Y456" s="72">
        <v>0.18</v>
      </c>
      <c r="Z456" s="74">
        <v>9.5000000000000001E-2</v>
      </c>
      <c r="AA456" s="74">
        <v>4.8000000000000001E-2</v>
      </c>
      <c r="AB456" s="74">
        <v>1.2999999999999999E-2</v>
      </c>
      <c r="AC456" s="74">
        <v>9.9000000000000005E-2</v>
      </c>
    </row>
    <row r="457" spans="2:29" x14ac:dyDescent="0.2">
      <c r="B457" s="66" t="s">
        <v>763</v>
      </c>
      <c r="C457" s="67" t="s">
        <v>264</v>
      </c>
      <c r="D457" s="68">
        <v>101</v>
      </c>
      <c r="F457" s="66" t="s">
        <v>834</v>
      </c>
      <c r="G457" s="67" t="s">
        <v>264</v>
      </c>
      <c r="H457" s="68">
        <v>139</v>
      </c>
      <c r="I457" s="70">
        <v>230</v>
      </c>
      <c r="J457" s="70">
        <v>-25</v>
      </c>
      <c r="K457" s="70">
        <v>-27</v>
      </c>
      <c r="L457" s="70">
        <v>29</v>
      </c>
      <c r="M457" s="70">
        <v>22</v>
      </c>
      <c r="N457" s="70">
        <v>4600</v>
      </c>
      <c r="O457" s="70">
        <v>25</v>
      </c>
      <c r="P457" s="71">
        <v>103</v>
      </c>
      <c r="Q457" s="71">
        <v>740</v>
      </c>
      <c r="R457" s="72">
        <v>0.88</v>
      </c>
      <c r="S457" s="71">
        <v>1000</v>
      </c>
      <c r="T457" s="71">
        <v>120</v>
      </c>
      <c r="U457" s="73">
        <v>2.4</v>
      </c>
      <c r="V457" s="73">
        <v>0.4</v>
      </c>
      <c r="W457" s="72">
        <v>0.26</v>
      </c>
      <c r="X457" s="72">
        <v>0.35</v>
      </c>
      <c r="Y457" s="72">
        <v>0.16</v>
      </c>
      <c r="Z457" s="74">
        <v>9.9000000000000005E-2</v>
      </c>
      <c r="AA457" s="74">
        <v>0.05</v>
      </c>
      <c r="AB457" s="74">
        <v>1.4999999999999999E-2</v>
      </c>
      <c r="AC457" s="74">
        <v>7.2999999999999995E-2</v>
      </c>
    </row>
    <row r="458" spans="2:29" x14ac:dyDescent="0.2">
      <c r="B458" s="66" t="s">
        <v>765</v>
      </c>
      <c r="C458" s="67" t="s">
        <v>264</v>
      </c>
      <c r="D458" s="68">
        <v>102</v>
      </c>
      <c r="F458" s="66" t="s">
        <v>689</v>
      </c>
      <c r="G458" s="67" t="s">
        <v>254</v>
      </c>
      <c r="H458" s="68">
        <v>10</v>
      </c>
      <c r="I458" s="70">
        <v>20</v>
      </c>
      <c r="J458" s="70">
        <v>-23</v>
      </c>
      <c r="K458" s="70">
        <v>-26</v>
      </c>
      <c r="L458" s="70">
        <v>29</v>
      </c>
      <c r="M458" s="70">
        <v>21</v>
      </c>
      <c r="N458" s="70">
        <v>4700</v>
      </c>
      <c r="O458" s="70">
        <v>23</v>
      </c>
      <c r="P458" s="71">
        <v>112</v>
      </c>
      <c r="Q458" s="71">
        <v>900</v>
      </c>
      <c r="R458" s="72">
        <v>1.02</v>
      </c>
      <c r="S458" s="71">
        <v>1110</v>
      </c>
      <c r="T458" s="71">
        <v>160</v>
      </c>
      <c r="U458" s="73">
        <v>3</v>
      </c>
      <c r="V458" s="73">
        <v>0.6</v>
      </c>
      <c r="W458" s="72">
        <v>0.35</v>
      </c>
      <c r="X458" s="72">
        <v>0.5</v>
      </c>
      <c r="Y458" s="72">
        <v>0.36</v>
      </c>
      <c r="Z458" s="74">
        <v>0.19</v>
      </c>
      <c r="AA458" s="74">
        <v>8.5000000000000006E-2</v>
      </c>
      <c r="AB458" s="74">
        <v>2.5999999999999999E-2</v>
      </c>
      <c r="AC458" s="74">
        <v>0.24</v>
      </c>
    </row>
    <row r="459" spans="2:29" x14ac:dyDescent="0.2">
      <c r="B459" s="66" t="s">
        <v>768</v>
      </c>
      <c r="C459" s="67" t="s">
        <v>264</v>
      </c>
      <c r="D459" s="68">
        <v>103</v>
      </c>
      <c r="F459" s="66" t="s">
        <v>835</v>
      </c>
      <c r="G459" s="67" t="s">
        <v>264</v>
      </c>
      <c r="H459" s="68">
        <v>140</v>
      </c>
      <c r="I459" s="70">
        <v>110</v>
      </c>
      <c r="J459" s="70">
        <v>-19</v>
      </c>
      <c r="K459" s="70">
        <v>-21</v>
      </c>
      <c r="L459" s="70">
        <v>30</v>
      </c>
      <c r="M459" s="70">
        <v>23</v>
      </c>
      <c r="N459" s="70">
        <v>4000</v>
      </c>
      <c r="O459" s="70">
        <v>23</v>
      </c>
      <c r="P459" s="71">
        <v>86</v>
      </c>
      <c r="Q459" s="71">
        <v>760</v>
      </c>
      <c r="R459" s="72">
        <v>0.9</v>
      </c>
      <c r="S459" s="71">
        <v>875</v>
      </c>
      <c r="T459" s="71">
        <v>160</v>
      </c>
      <c r="U459" s="73">
        <v>1.4</v>
      </c>
      <c r="V459" s="73">
        <v>0.4</v>
      </c>
      <c r="W459" s="72">
        <v>0.43</v>
      </c>
      <c r="X459" s="72">
        <v>0.56999999999999995</v>
      </c>
      <c r="Y459" s="72">
        <v>0.21</v>
      </c>
      <c r="Z459" s="74">
        <v>0.11</v>
      </c>
      <c r="AA459" s="74">
        <v>5.8999999999999997E-2</v>
      </c>
      <c r="AB459" s="74">
        <v>1.6E-2</v>
      </c>
      <c r="AC459" s="74">
        <v>0.12</v>
      </c>
    </row>
    <row r="460" spans="2:29" x14ac:dyDescent="0.2">
      <c r="B460" s="66" t="s">
        <v>776</v>
      </c>
      <c r="C460" s="67" t="s">
        <v>264</v>
      </c>
      <c r="D460" s="68">
        <v>104</v>
      </c>
      <c r="F460" s="66" t="s">
        <v>594</v>
      </c>
      <c r="G460" s="67" t="s">
        <v>224</v>
      </c>
      <c r="H460" s="68">
        <v>57</v>
      </c>
      <c r="I460" s="70">
        <v>285</v>
      </c>
      <c r="J460" s="70">
        <v>-16</v>
      </c>
      <c r="K460" s="70">
        <v>-18</v>
      </c>
      <c r="L460" s="70">
        <v>33</v>
      </c>
      <c r="M460" s="70">
        <v>20</v>
      </c>
      <c r="N460" s="70">
        <v>3250</v>
      </c>
      <c r="O460" s="70">
        <v>10</v>
      </c>
      <c r="P460" s="71">
        <v>48</v>
      </c>
      <c r="Q460" s="71">
        <v>275</v>
      </c>
      <c r="R460" s="72">
        <v>0.28000000000000003</v>
      </c>
      <c r="S460" s="71">
        <v>310</v>
      </c>
      <c r="T460" s="71">
        <v>60</v>
      </c>
      <c r="U460" s="73">
        <v>1.1000000000000001</v>
      </c>
      <c r="V460" s="73">
        <v>0.1</v>
      </c>
      <c r="W460" s="72">
        <v>0.3</v>
      </c>
      <c r="X460" s="72">
        <v>0.5</v>
      </c>
      <c r="Y460" s="72">
        <v>0.28000000000000003</v>
      </c>
      <c r="Z460" s="74">
        <v>0.19</v>
      </c>
      <c r="AA460" s="74">
        <v>0.12</v>
      </c>
      <c r="AB460" s="74">
        <v>7.0999999999999994E-2</v>
      </c>
      <c r="AC460" s="74">
        <v>0.14000000000000001</v>
      </c>
    </row>
    <row r="461" spans="2:29" x14ac:dyDescent="0.2">
      <c r="B461" s="66" t="s">
        <v>777</v>
      </c>
      <c r="C461" s="67" t="s">
        <v>264</v>
      </c>
      <c r="D461" s="68">
        <v>105</v>
      </c>
      <c r="F461" s="66" t="s">
        <v>836</v>
      </c>
      <c r="G461" s="67" t="s">
        <v>264</v>
      </c>
      <c r="H461" s="68">
        <v>141</v>
      </c>
      <c r="I461" s="70">
        <v>60</v>
      </c>
      <c r="J461" s="70">
        <v>-25</v>
      </c>
      <c r="K461" s="70">
        <v>-27</v>
      </c>
      <c r="L461" s="70">
        <v>30</v>
      </c>
      <c r="M461" s="70">
        <v>23</v>
      </c>
      <c r="N461" s="70">
        <v>4600</v>
      </c>
      <c r="O461" s="70">
        <v>23</v>
      </c>
      <c r="P461" s="71">
        <v>86</v>
      </c>
      <c r="Q461" s="71">
        <v>750</v>
      </c>
      <c r="R461" s="72">
        <v>0.84</v>
      </c>
      <c r="S461" s="71">
        <v>900</v>
      </c>
      <c r="T461" s="71">
        <v>160</v>
      </c>
      <c r="U461" s="73">
        <v>2.4</v>
      </c>
      <c r="V461" s="73">
        <v>0.4</v>
      </c>
      <c r="W461" s="72">
        <v>0.3</v>
      </c>
      <c r="X461" s="72">
        <v>0.41</v>
      </c>
      <c r="Y461" s="72">
        <v>0.66</v>
      </c>
      <c r="Z461" s="74">
        <v>0.32</v>
      </c>
      <c r="AA461" s="74">
        <v>0.13</v>
      </c>
      <c r="AB461" s="74">
        <v>4.3999999999999997E-2</v>
      </c>
      <c r="AC461" s="74">
        <v>0.42</v>
      </c>
    </row>
    <row r="462" spans="2:29" x14ac:dyDescent="0.2">
      <c r="B462" s="66" t="s">
        <v>778</v>
      </c>
      <c r="C462" s="67" t="s">
        <v>264</v>
      </c>
      <c r="D462" s="68">
        <v>106</v>
      </c>
      <c r="F462" s="66" t="s">
        <v>837</v>
      </c>
      <c r="G462" s="67" t="s">
        <v>257</v>
      </c>
      <c r="H462" s="68">
        <v>68</v>
      </c>
      <c r="I462" s="70">
        <v>105</v>
      </c>
      <c r="J462" s="70">
        <v>-23</v>
      </c>
      <c r="K462" s="70">
        <v>-26</v>
      </c>
      <c r="L462" s="70">
        <v>30</v>
      </c>
      <c r="M462" s="70">
        <v>23</v>
      </c>
      <c r="N462" s="70">
        <v>4450</v>
      </c>
      <c r="O462" s="70">
        <v>23</v>
      </c>
      <c r="P462" s="71">
        <v>96</v>
      </c>
      <c r="Q462" s="71">
        <v>820</v>
      </c>
      <c r="R462" s="72">
        <v>0.91</v>
      </c>
      <c r="S462" s="71">
        <v>1025</v>
      </c>
      <c r="T462" s="71">
        <v>180</v>
      </c>
      <c r="U462" s="73">
        <v>2.8</v>
      </c>
      <c r="V462" s="73">
        <v>0.4</v>
      </c>
      <c r="W462" s="72">
        <v>0.31</v>
      </c>
      <c r="X462" s="72">
        <v>0.4</v>
      </c>
      <c r="Y462" s="72">
        <v>0.69</v>
      </c>
      <c r="Z462" s="74">
        <v>0.34</v>
      </c>
      <c r="AA462" s="74">
        <v>0.14000000000000001</v>
      </c>
      <c r="AB462" s="74">
        <v>4.8000000000000001E-2</v>
      </c>
      <c r="AC462" s="74">
        <v>0.43</v>
      </c>
    </row>
    <row r="463" spans="2:29" x14ac:dyDescent="0.2">
      <c r="B463" s="66" t="s">
        <v>779</v>
      </c>
      <c r="C463" s="67" t="s">
        <v>264</v>
      </c>
      <c r="D463" s="68">
        <v>107</v>
      </c>
      <c r="F463" s="66" t="s">
        <v>838</v>
      </c>
      <c r="G463" s="67" t="s">
        <v>264</v>
      </c>
      <c r="H463" s="68">
        <v>142</v>
      </c>
      <c r="I463" s="70">
        <v>215</v>
      </c>
      <c r="J463" s="70">
        <v>-19</v>
      </c>
      <c r="K463" s="70">
        <v>-21</v>
      </c>
      <c r="L463" s="70">
        <v>29</v>
      </c>
      <c r="M463" s="70">
        <v>22</v>
      </c>
      <c r="N463" s="70">
        <v>4250</v>
      </c>
      <c r="O463" s="70">
        <v>28</v>
      </c>
      <c r="P463" s="71">
        <v>119</v>
      </c>
      <c r="Q463" s="71">
        <v>760</v>
      </c>
      <c r="R463" s="72">
        <v>0.9</v>
      </c>
      <c r="S463" s="71">
        <v>1075</v>
      </c>
      <c r="T463" s="71">
        <v>160</v>
      </c>
      <c r="U463" s="73">
        <v>2.8</v>
      </c>
      <c r="V463" s="73">
        <v>0.4</v>
      </c>
      <c r="W463" s="72">
        <v>0.33</v>
      </c>
      <c r="X463" s="72">
        <v>0.48</v>
      </c>
      <c r="Y463" s="72">
        <v>0.13</v>
      </c>
      <c r="Z463" s="74">
        <v>7.9000000000000001E-2</v>
      </c>
      <c r="AA463" s="74">
        <v>4.1000000000000002E-2</v>
      </c>
      <c r="AB463" s="74">
        <v>1.2E-2</v>
      </c>
      <c r="AC463" s="74">
        <v>6.0999999999999999E-2</v>
      </c>
    </row>
    <row r="464" spans="2:29" x14ac:dyDescent="0.2">
      <c r="B464" s="66" t="s">
        <v>782</v>
      </c>
      <c r="C464" s="67" t="s">
        <v>264</v>
      </c>
      <c r="D464" s="68">
        <v>108</v>
      </c>
      <c r="F464" s="66" t="s">
        <v>424</v>
      </c>
      <c r="G464" s="67" t="s">
        <v>247</v>
      </c>
      <c r="H464" s="68">
        <v>93</v>
      </c>
      <c r="I464" s="76">
        <v>770</v>
      </c>
      <c r="J464" s="70">
        <v>-33</v>
      </c>
      <c r="K464" s="70">
        <v>-36</v>
      </c>
      <c r="L464" s="70">
        <v>29</v>
      </c>
      <c r="M464" s="70">
        <v>20</v>
      </c>
      <c r="N464" s="76">
        <v>5600</v>
      </c>
      <c r="O464" s="76">
        <v>19</v>
      </c>
      <c r="P464" s="77">
        <v>75</v>
      </c>
      <c r="Q464" s="77">
        <v>260</v>
      </c>
      <c r="R464" s="72">
        <v>0.34</v>
      </c>
      <c r="S464" s="77">
        <v>330</v>
      </c>
      <c r="T464" s="77">
        <v>220</v>
      </c>
      <c r="U464" s="73">
        <v>1.7</v>
      </c>
      <c r="V464" s="73">
        <v>0.1</v>
      </c>
      <c r="W464" s="72">
        <v>0.37</v>
      </c>
      <c r="X464" s="72">
        <v>0.5</v>
      </c>
      <c r="Y464" s="72">
        <v>0.12</v>
      </c>
      <c r="Z464" s="74">
        <v>0.06</v>
      </c>
      <c r="AA464" s="74">
        <v>0.02</v>
      </c>
      <c r="AB464" s="74">
        <v>0.01</v>
      </c>
      <c r="AC464" s="74">
        <v>0.06</v>
      </c>
    </row>
    <row r="465" spans="2:29" x14ac:dyDescent="0.2">
      <c r="B465" s="66" t="s">
        <v>784</v>
      </c>
      <c r="C465" s="67" t="s">
        <v>264</v>
      </c>
      <c r="D465" s="68">
        <v>109</v>
      </c>
      <c r="F465" s="66" t="s">
        <v>839</v>
      </c>
      <c r="G465" s="67" t="s">
        <v>264</v>
      </c>
      <c r="H465" s="68">
        <v>143</v>
      </c>
      <c r="I465" s="70">
        <v>185</v>
      </c>
      <c r="J465" s="70">
        <v>-34</v>
      </c>
      <c r="K465" s="70">
        <v>-36</v>
      </c>
      <c r="L465" s="70">
        <v>28</v>
      </c>
      <c r="M465" s="70">
        <v>21</v>
      </c>
      <c r="N465" s="70">
        <v>6600</v>
      </c>
      <c r="O465" s="70">
        <v>20</v>
      </c>
      <c r="P465" s="71">
        <v>97</v>
      </c>
      <c r="Q465" s="71">
        <v>540</v>
      </c>
      <c r="R465" s="72">
        <v>0.76</v>
      </c>
      <c r="S465" s="71">
        <v>825</v>
      </c>
      <c r="T465" s="71">
        <v>80</v>
      </c>
      <c r="U465" s="73">
        <v>2.4</v>
      </c>
      <c r="V465" s="73">
        <v>0.4</v>
      </c>
      <c r="W465" s="72">
        <v>0.19</v>
      </c>
      <c r="X465" s="72">
        <v>0.28000000000000003</v>
      </c>
      <c r="Y465" s="72">
        <v>0.12</v>
      </c>
      <c r="Z465" s="74">
        <v>5.6000000000000001E-2</v>
      </c>
      <c r="AA465" s="74">
        <v>2.3E-2</v>
      </c>
      <c r="AB465" s="74">
        <v>6.0000000000000001E-3</v>
      </c>
      <c r="AC465" s="74">
        <v>5.8999999999999997E-2</v>
      </c>
    </row>
    <row r="466" spans="2:29" x14ac:dyDescent="0.2">
      <c r="B466" s="66" t="s">
        <v>788</v>
      </c>
      <c r="C466" s="67" t="s">
        <v>264</v>
      </c>
      <c r="D466" s="68">
        <v>110</v>
      </c>
      <c r="F466" s="66" t="s">
        <v>840</v>
      </c>
      <c r="G466" s="67" t="s">
        <v>264</v>
      </c>
      <c r="H466" s="68">
        <v>144</v>
      </c>
      <c r="I466" s="70">
        <v>245</v>
      </c>
      <c r="J466" s="70">
        <v>-17</v>
      </c>
      <c r="K466" s="70">
        <v>-19</v>
      </c>
      <c r="L466" s="70">
        <v>30</v>
      </c>
      <c r="M466" s="70">
        <v>23</v>
      </c>
      <c r="N466" s="70">
        <v>4100</v>
      </c>
      <c r="O466" s="70">
        <v>23</v>
      </c>
      <c r="P466" s="71">
        <v>92</v>
      </c>
      <c r="Q466" s="71">
        <v>790</v>
      </c>
      <c r="R466" s="72">
        <v>0.9</v>
      </c>
      <c r="S466" s="71">
        <v>925</v>
      </c>
      <c r="T466" s="71">
        <v>160</v>
      </c>
      <c r="U466" s="73">
        <v>1.4</v>
      </c>
      <c r="V466" s="73">
        <v>0.4</v>
      </c>
      <c r="W466" s="72">
        <v>0.31</v>
      </c>
      <c r="X466" s="72">
        <v>0.41</v>
      </c>
      <c r="Y466" s="72">
        <v>0.22</v>
      </c>
      <c r="Z466" s="74">
        <v>0.11</v>
      </c>
      <c r="AA466" s="74">
        <v>0.05</v>
      </c>
      <c r="AB466" s="74">
        <v>1.2999999999999999E-2</v>
      </c>
      <c r="AC466" s="74">
        <v>0.14000000000000001</v>
      </c>
    </row>
    <row r="467" spans="2:29" x14ac:dyDescent="0.2">
      <c r="B467" s="66" t="s">
        <v>789</v>
      </c>
      <c r="C467" s="67" t="s">
        <v>264</v>
      </c>
      <c r="D467" s="68">
        <v>111</v>
      </c>
      <c r="F467" s="66" t="s">
        <v>841</v>
      </c>
      <c r="G467" s="67" t="s">
        <v>264</v>
      </c>
      <c r="H467" s="68">
        <v>145</v>
      </c>
      <c r="I467" s="70">
        <v>205</v>
      </c>
      <c r="J467" s="70">
        <v>-16</v>
      </c>
      <c r="K467" s="70">
        <v>-18</v>
      </c>
      <c r="L467" s="70">
        <v>31</v>
      </c>
      <c r="M467" s="70">
        <v>23</v>
      </c>
      <c r="N467" s="70">
        <v>4000</v>
      </c>
      <c r="O467" s="70">
        <v>23</v>
      </c>
      <c r="P467" s="71">
        <v>103</v>
      </c>
      <c r="Q467" s="71">
        <v>800</v>
      </c>
      <c r="R467" s="72">
        <v>0.93</v>
      </c>
      <c r="S467" s="71">
        <v>925</v>
      </c>
      <c r="T467" s="71">
        <v>180</v>
      </c>
      <c r="U467" s="73">
        <v>2.1</v>
      </c>
      <c r="V467" s="73">
        <v>0.4</v>
      </c>
      <c r="W467" s="72">
        <v>0.4</v>
      </c>
      <c r="X467" s="72">
        <v>0.55000000000000004</v>
      </c>
      <c r="Y467" s="72">
        <v>0.15</v>
      </c>
      <c r="Z467" s="74">
        <v>0.08</v>
      </c>
      <c r="AA467" s="74">
        <v>4.2999999999999997E-2</v>
      </c>
      <c r="AB467" s="74">
        <v>1.0999999999999999E-2</v>
      </c>
      <c r="AC467" s="74">
        <v>8.5000000000000006E-2</v>
      </c>
    </row>
    <row r="468" spans="2:29" x14ac:dyDescent="0.2">
      <c r="B468" s="66" t="s">
        <v>790</v>
      </c>
      <c r="C468" s="67" t="s">
        <v>264</v>
      </c>
      <c r="D468" s="68">
        <v>112</v>
      </c>
      <c r="F468" s="66" t="s">
        <v>842</v>
      </c>
      <c r="G468" s="67" t="s">
        <v>264</v>
      </c>
      <c r="H468" s="68">
        <v>146</v>
      </c>
      <c r="I468" s="70">
        <v>215</v>
      </c>
      <c r="J468" s="70">
        <v>-24</v>
      </c>
      <c r="K468" s="70">
        <v>-26</v>
      </c>
      <c r="L468" s="70">
        <v>28</v>
      </c>
      <c r="M468" s="70">
        <v>21</v>
      </c>
      <c r="N468" s="70">
        <v>4700</v>
      </c>
      <c r="O468" s="70">
        <v>23</v>
      </c>
      <c r="P468" s="71">
        <v>103</v>
      </c>
      <c r="Q468" s="71">
        <v>820</v>
      </c>
      <c r="R468" s="72">
        <v>0.95</v>
      </c>
      <c r="S468" s="71">
        <v>1050</v>
      </c>
      <c r="T468" s="71">
        <v>160</v>
      </c>
      <c r="U468" s="73">
        <v>2.8</v>
      </c>
      <c r="V468" s="73">
        <v>0.4</v>
      </c>
      <c r="W468" s="72">
        <v>0.24</v>
      </c>
      <c r="X468" s="72">
        <v>0.39</v>
      </c>
      <c r="Y468" s="72">
        <v>0.16</v>
      </c>
      <c r="Z468" s="74">
        <v>9.8000000000000004E-2</v>
      </c>
      <c r="AA468" s="74">
        <v>4.9000000000000002E-2</v>
      </c>
      <c r="AB468" s="74">
        <v>1.4999999999999999E-2</v>
      </c>
      <c r="AC468" s="74">
        <v>7.1999999999999995E-2</v>
      </c>
    </row>
    <row r="469" spans="2:29" x14ac:dyDescent="0.2">
      <c r="B469" s="66" t="s">
        <v>793</v>
      </c>
      <c r="C469" s="67" t="s">
        <v>264</v>
      </c>
      <c r="D469" s="68">
        <v>113</v>
      </c>
      <c r="F469" s="66" t="s">
        <v>426</v>
      </c>
      <c r="G469" s="67" t="s">
        <v>247</v>
      </c>
      <c r="H469" s="68">
        <v>94</v>
      </c>
      <c r="I469" s="76">
        <v>330</v>
      </c>
      <c r="J469" s="70">
        <v>-37</v>
      </c>
      <c r="K469" s="70">
        <v>-40</v>
      </c>
      <c r="L469" s="70">
        <v>27</v>
      </c>
      <c r="M469" s="70">
        <v>18</v>
      </c>
      <c r="N469" s="76">
        <v>6350</v>
      </c>
      <c r="O469" s="76">
        <v>15</v>
      </c>
      <c r="P469" s="77">
        <v>65</v>
      </c>
      <c r="Q469" s="77">
        <v>300</v>
      </c>
      <c r="R469" s="72">
        <v>0.5</v>
      </c>
      <c r="S469" s="77">
        <v>390</v>
      </c>
      <c r="T469" s="77">
        <v>100</v>
      </c>
      <c r="U469" s="73">
        <v>2.2000000000000002</v>
      </c>
      <c r="V469" s="73">
        <v>0.1</v>
      </c>
      <c r="W469" s="72">
        <v>0.24</v>
      </c>
      <c r="X469" s="72">
        <v>0.32</v>
      </c>
      <c r="Y469" s="72">
        <v>0.12</v>
      </c>
      <c r="Z469" s="74">
        <v>5.6000000000000001E-2</v>
      </c>
      <c r="AA469" s="74">
        <v>2.3E-2</v>
      </c>
      <c r="AB469" s="74">
        <v>8.0000000000000002E-3</v>
      </c>
      <c r="AC469" s="74">
        <v>5.8999999999999997E-2</v>
      </c>
    </row>
    <row r="470" spans="2:29" x14ac:dyDescent="0.2">
      <c r="B470" s="66" t="s">
        <v>794</v>
      </c>
      <c r="C470" s="67" t="s">
        <v>264</v>
      </c>
      <c r="D470" s="68">
        <v>114</v>
      </c>
      <c r="F470" s="66" t="s">
        <v>843</v>
      </c>
      <c r="G470" s="67" t="s">
        <v>264</v>
      </c>
      <c r="H470" s="68">
        <v>147</v>
      </c>
      <c r="I470" s="70">
        <v>230</v>
      </c>
      <c r="J470" s="70">
        <v>-15</v>
      </c>
      <c r="K470" s="70">
        <v>-17</v>
      </c>
      <c r="L470" s="70">
        <v>30</v>
      </c>
      <c r="M470" s="70">
        <v>23</v>
      </c>
      <c r="N470" s="70">
        <v>3800</v>
      </c>
      <c r="O470" s="70">
        <v>23</v>
      </c>
      <c r="P470" s="71">
        <v>103</v>
      </c>
      <c r="Q470" s="71">
        <v>820</v>
      </c>
      <c r="R470" s="72">
        <v>0.94</v>
      </c>
      <c r="S470" s="71">
        <v>950</v>
      </c>
      <c r="T470" s="71">
        <v>160</v>
      </c>
      <c r="U470" s="73">
        <v>2.2999999999999998</v>
      </c>
      <c r="V470" s="73">
        <v>0.4</v>
      </c>
      <c r="W470" s="72">
        <v>0.33</v>
      </c>
      <c r="X470" s="72">
        <v>0.42</v>
      </c>
      <c r="Y470" s="72">
        <v>0.4</v>
      </c>
      <c r="Z470" s="74">
        <v>0.2</v>
      </c>
      <c r="AA470" s="74">
        <v>7.0999999999999994E-2</v>
      </c>
      <c r="AB470" s="74">
        <v>2.1000000000000001E-2</v>
      </c>
      <c r="AC470" s="74">
        <v>0.3</v>
      </c>
    </row>
    <row r="471" spans="2:29" x14ac:dyDescent="0.2">
      <c r="B471" s="66" t="s">
        <v>798</v>
      </c>
      <c r="C471" s="67" t="s">
        <v>264</v>
      </c>
      <c r="D471" s="68">
        <v>115</v>
      </c>
      <c r="F471" s="66" t="s">
        <v>844</v>
      </c>
      <c r="G471" s="67" t="s">
        <v>264</v>
      </c>
      <c r="H471" s="68">
        <v>148</v>
      </c>
      <c r="I471" s="70">
        <v>125</v>
      </c>
      <c r="J471" s="70">
        <v>-28</v>
      </c>
      <c r="K471" s="70">
        <v>-31</v>
      </c>
      <c r="L471" s="70">
        <v>30</v>
      </c>
      <c r="M471" s="70">
        <v>22</v>
      </c>
      <c r="N471" s="70">
        <v>5000</v>
      </c>
      <c r="O471" s="70">
        <v>23</v>
      </c>
      <c r="P471" s="71">
        <v>108</v>
      </c>
      <c r="Q471" s="71">
        <v>640</v>
      </c>
      <c r="R471" s="72">
        <v>0.8</v>
      </c>
      <c r="S471" s="71">
        <v>825</v>
      </c>
      <c r="T471" s="71">
        <v>100</v>
      </c>
      <c r="U471" s="73">
        <v>2.5</v>
      </c>
      <c r="V471" s="73">
        <v>0.4</v>
      </c>
      <c r="W471" s="72">
        <v>0.26</v>
      </c>
      <c r="X471" s="72">
        <v>0.35</v>
      </c>
      <c r="Y471" s="72">
        <v>0.66</v>
      </c>
      <c r="Z471" s="74">
        <v>0.32</v>
      </c>
      <c r="AA471" s="74">
        <v>0.13</v>
      </c>
      <c r="AB471" s="74">
        <v>4.3999999999999997E-2</v>
      </c>
      <c r="AC471" s="74">
        <v>0.42</v>
      </c>
    </row>
    <row r="472" spans="2:29" x14ac:dyDescent="0.2">
      <c r="B472" s="66" t="s">
        <v>799</v>
      </c>
      <c r="C472" s="67" t="s">
        <v>264</v>
      </c>
      <c r="D472" s="68">
        <v>116</v>
      </c>
      <c r="F472" s="66" t="s">
        <v>845</v>
      </c>
      <c r="G472" s="67" t="s">
        <v>264</v>
      </c>
      <c r="H472" s="68">
        <v>149</v>
      </c>
      <c r="I472" s="70">
        <v>220</v>
      </c>
      <c r="J472" s="70">
        <v>-23</v>
      </c>
      <c r="K472" s="70">
        <v>-26</v>
      </c>
      <c r="L472" s="70">
        <v>29</v>
      </c>
      <c r="M472" s="70">
        <v>22</v>
      </c>
      <c r="N472" s="70">
        <v>4300</v>
      </c>
      <c r="O472" s="70">
        <v>25</v>
      </c>
      <c r="P472" s="71">
        <v>97</v>
      </c>
      <c r="Q472" s="71">
        <v>720</v>
      </c>
      <c r="R472" s="72">
        <v>0.87</v>
      </c>
      <c r="S472" s="71">
        <v>1050</v>
      </c>
      <c r="T472" s="71">
        <v>160</v>
      </c>
      <c r="U472" s="73">
        <v>2.8</v>
      </c>
      <c r="V472" s="73">
        <v>0.4</v>
      </c>
      <c r="W472" s="72">
        <v>0.25</v>
      </c>
      <c r="X472" s="72">
        <v>0.39</v>
      </c>
      <c r="Y472" s="72">
        <v>0.15</v>
      </c>
      <c r="Z472" s="74">
        <v>9.2999999999999999E-2</v>
      </c>
      <c r="AA472" s="74">
        <v>4.7E-2</v>
      </c>
      <c r="AB472" s="74">
        <v>1.4E-2</v>
      </c>
      <c r="AC472" s="74">
        <v>6.7000000000000004E-2</v>
      </c>
    </row>
    <row r="473" spans="2:29" x14ac:dyDescent="0.2">
      <c r="B473" s="66" t="s">
        <v>800</v>
      </c>
      <c r="C473" s="67" t="s">
        <v>264</v>
      </c>
      <c r="D473" s="68">
        <v>117</v>
      </c>
      <c r="F473" s="66" t="s">
        <v>427</v>
      </c>
      <c r="G473" s="67" t="s">
        <v>247</v>
      </c>
      <c r="H473" s="68">
        <v>95</v>
      </c>
      <c r="I473" s="76">
        <v>871</v>
      </c>
      <c r="J473" s="70">
        <v>-34</v>
      </c>
      <c r="K473" s="70">
        <v>-38</v>
      </c>
      <c r="L473" s="70">
        <v>28</v>
      </c>
      <c r="M473" s="70">
        <v>19</v>
      </c>
      <c r="N473" s="76">
        <v>5750</v>
      </c>
      <c r="O473" s="76">
        <v>18</v>
      </c>
      <c r="P473" s="77">
        <v>95</v>
      </c>
      <c r="Q473" s="77">
        <v>365</v>
      </c>
      <c r="R473" s="72">
        <v>0.53</v>
      </c>
      <c r="S473" s="77">
        <v>470</v>
      </c>
      <c r="T473" s="77">
        <v>200</v>
      </c>
      <c r="U473" s="73">
        <v>1.9</v>
      </c>
      <c r="V473" s="73">
        <v>0.1</v>
      </c>
      <c r="W473" s="72">
        <v>0.3</v>
      </c>
      <c r="X473" s="72">
        <v>0.4</v>
      </c>
      <c r="Y473" s="72">
        <v>0.12</v>
      </c>
      <c r="Z473" s="74">
        <v>0.06</v>
      </c>
      <c r="AA473" s="74">
        <v>0.03</v>
      </c>
      <c r="AB473" s="74">
        <v>0.02</v>
      </c>
      <c r="AC473" s="74">
        <v>0.06</v>
      </c>
    </row>
    <row r="474" spans="2:29" x14ac:dyDescent="0.2">
      <c r="B474" s="66" t="s">
        <v>801</v>
      </c>
      <c r="C474" s="67" t="s">
        <v>264</v>
      </c>
      <c r="D474" s="68">
        <v>118</v>
      </c>
      <c r="F474" s="66" t="s">
        <v>596</v>
      </c>
      <c r="G474" s="67" t="s">
        <v>224</v>
      </c>
      <c r="H474" s="68">
        <v>58</v>
      </c>
      <c r="I474" s="70">
        <v>350</v>
      </c>
      <c r="J474" s="70">
        <v>-16</v>
      </c>
      <c r="K474" s="70">
        <v>-18</v>
      </c>
      <c r="L474" s="70">
        <v>33</v>
      </c>
      <c r="M474" s="70">
        <v>20</v>
      </c>
      <c r="N474" s="70">
        <v>3500</v>
      </c>
      <c r="O474" s="70">
        <v>10</v>
      </c>
      <c r="P474" s="71">
        <v>48</v>
      </c>
      <c r="Q474" s="71">
        <v>275</v>
      </c>
      <c r="R474" s="72">
        <v>0.28000000000000003</v>
      </c>
      <c r="S474" s="71">
        <v>300</v>
      </c>
      <c r="T474" s="71">
        <v>60</v>
      </c>
      <c r="U474" s="73">
        <v>1.3</v>
      </c>
      <c r="V474" s="73">
        <v>0.1</v>
      </c>
      <c r="W474" s="72">
        <v>0.4</v>
      </c>
      <c r="X474" s="72">
        <v>0.59</v>
      </c>
      <c r="Y474" s="72">
        <v>0.28000000000000003</v>
      </c>
      <c r="Z474" s="74">
        <v>0.18</v>
      </c>
      <c r="AA474" s="74">
        <v>0.11</v>
      </c>
      <c r="AB474" s="74">
        <v>6.5000000000000002E-2</v>
      </c>
      <c r="AC474" s="74">
        <v>0.14000000000000001</v>
      </c>
    </row>
    <row r="475" spans="2:29" x14ac:dyDescent="0.2">
      <c r="B475" s="66" t="s">
        <v>802</v>
      </c>
      <c r="C475" s="67" t="s">
        <v>264</v>
      </c>
      <c r="D475" s="68">
        <v>119</v>
      </c>
      <c r="F475" s="66" t="s">
        <v>846</v>
      </c>
      <c r="G475" s="67" t="s">
        <v>257</v>
      </c>
      <c r="H475" s="68">
        <v>69</v>
      </c>
      <c r="I475" s="70">
        <v>5</v>
      </c>
      <c r="J475" s="70">
        <v>-22</v>
      </c>
      <c r="K475" s="70">
        <v>-25</v>
      </c>
      <c r="L475" s="70">
        <v>25</v>
      </c>
      <c r="M475" s="70">
        <v>19</v>
      </c>
      <c r="N475" s="70">
        <v>5600</v>
      </c>
      <c r="O475" s="70">
        <v>15</v>
      </c>
      <c r="P475" s="71">
        <v>107</v>
      </c>
      <c r="Q475" s="71">
        <v>1000</v>
      </c>
      <c r="R475" s="72">
        <v>1.18</v>
      </c>
      <c r="S475" s="71">
        <v>1300</v>
      </c>
      <c r="T475" s="71">
        <v>300</v>
      </c>
      <c r="U475" s="73">
        <v>3.8</v>
      </c>
      <c r="V475" s="73">
        <v>0.6</v>
      </c>
      <c r="W475" s="72">
        <v>0.64</v>
      </c>
      <c r="X475" s="72">
        <v>0.85</v>
      </c>
      <c r="Y475" s="72">
        <v>0.2</v>
      </c>
      <c r="Z475" s="74">
        <v>0.13</v>
      </c>
      <c r="AA475" s="74">
        <v>6.0999999999999999E-2</v>
      </c>
      <c r="AB475" s="74">
        <v>0.02</v>
      </c>
      <c r="AC475" s="74">
        <v>9.1999999999999998E-2</v>
      </c>
    </row>
    <row r="476" spans="2:29" x14ac:dyDescent="0.2">
      <c r="B476" s="66" t="s">
        <v>803</v>
      </c>
      <c r="C476" s="67" t="s">
        <v>264</v>
      </c>
      <c r="D476" s="68">
        <v>120</v>
      </c>
      <c r="F476" s="66" t="s">
        <v>847</v>
      </c>
      <c r="G476" s="67" t="s">
        <v>264</v>
      </c>
      <c r="H476" s="68">
        <v>150</v>
      </c>
      <c r="I476" s="70">
        <v>130</v>
      </c>
      <c r="J476" s="70">
        <v>-25</v>
      </c>
      <c r="K476" s="70">
        <v>-27</v>
      </c>
      <c r="L476" s="70">
        <v>30</v>
      </c>
      <c r="M476" s="70">
        <v>23</v>
      </c>
      <c r="N476" s="70">
        <v>4650</v>
      </c>
      <c r="O476" s="70">
        <v>25</v>
      </c>
      <c r="P476" s="71">
        <v>92</v>
      </c>
      <c r="Q476" s="71">
        <v>730</v>
      </c>
      <c r="R476" s="72">
        <v>0.84</v>
      </c>
      <c r="S476" s="71">
        <v>900</v>
      </c>
      <c r="T476" s="71">
        <v>140</v>
      </c>
      <c r="U476" s="73">
        <v>2.2999999999999998</v>
      </c>
      <c r="V476" s="73">
        <v>0.4</v>
      </c>
      <c r="W476" s="72">
        <v>0.28999999999999998</v>
      </c>
      <c r="X476" s="72">
        <v>0.41</v>
      </c>
      <c r="Y476" s="72">
        <v>0.39</v>
      </c>
      <c r="Z476" s="74">
        <v>0.2</v>
      </c>
      <c r="AA476" s="74">
        <v>9.8000000000000004E-2</v>
      </c>
      <c r="AB476" s="74">
        <v>0.03</v>
      </c>
      <c r="AC476" s="74">
        <v>0.23</v>
      </c>
    </row>
    <row r="477" spans="2:29" x14ac:dyDescent="0.2">
      <c r="B477" s="66" t="s">
        <v>804</v>
      </c>
      <c r="C477" s="67" t="s">
        <v>264</v>
      </c>
      <c r="D477" s="68">
        <v>121</v>
      </c>
      <c r="F477" s="66" t="s">
        <v>848</v>
      </c>
      <c r="G477" s="67" t="s">
        <v>264</v>
      </c>
      <c r="H477" s="68">
        <v>151</v>
      </c>
      <c r="I477" s="70">
        <v>135</v>
      </c>
      <c r="J477" s="70">
        <v>-29</v>
      </c>
      <c r="K477" s="70">
        <v>-31</v>
      </c>
      <c r="L477" s="70">
        <v>30</v>
      </c>
      <c r="M477" s="70">
        <v>22</v>
      </c>
      <c r="N477" s="70">
        <v>5150</v>
      </c>
      <c r="O477" s="70">
        <v>23</v>
      </c>
      <c r="P477" s="71">
        <v>92</v>
      </c>
      <c r="Q477" s="71">
        <v>640</v>
      </c>
      <c r="R477" s="72">
        <v>0.8</v>
      </c>
      <c r="S477" s="71">
        <v>825</v>
      </c>
      <c r="T477" s="71">
        <v>100</v>
      </c>
      <c r="U477" s="73">
        <v>2.6</v>
      </c>
      <c r="V477" s="73">
        <v>0.4</v>
      </c>
      <c r="W477" s="72">
        <v>0.26</v>
      </c>
      <c r="X477" s="72">
        <v>0.35</v>
      </c>
      <c r="Y477" s="72">
        <v>0.66</v>
      </c>
      <c r="Z477" s="74">
        <v>0.32</v>
      </c>
      <c r="AA477" s="74">
        <v>0.13</v>
      </c>
      <c r="AB477" s="74">
        <v>4.2999999999999997E-2</v>
      </c>
      <c r="AC477" s="74">
        <v>0.42</v>
      </c>
    </row>
    <row r="478" spans="2:29" x14ac:dyDescent="0.2">
      <c r="B478" s="66" t="s">
        <v>812</v>
      </c>
      <c r="C478" s="67" t="s">
        <v>264</v>
      </c>
      <c r="D478" s="68">
        <v>122</v>
      </c>
      <c r="F478" s="66" t="s">
        <v>849</v>
      </c>
      <c r="G478" s="67" t="s">
        <v>264</v>
      </c>
      <c r="H478" s="68">
        <v>152</v>
      </c>
      <c r="I478" s="70">
        <v>200</v>
      </c>
      <c r="J478" s="70">
        <v>-23</v>
      </c>
      <c r="K478" s="70">
        <v>-25</v>
      </c>
      <c r="L478" s="70">
        <v>30</v>
      </c>
      <c r="M478" s="70">
        <v>23</v>
      </c>
      <c r="N478" s="70">
        <v>4400</v>
      </c>
      <c r="O478" s="70">
        <v>28</v>
      </c>
      <c r="P478" s="71">
        <v>92</v>
      </c>
      <c r="Q478" s="71">
        <v>710</v>
      </c>
      <c r="R478" s="72">
        <v>0.83</v>
      </c>
      <c r="S478" s="71">
        <v>840</v>
      </c>
      <c r="T478" s="71">
        <v>140</v>
      </c>
      <c r="U478" s="73">
        <v>2</v>
      </c>
      <c r="V478" s="73">
        <v>0.4</v>
      </c>
      <c r="W478" s="72">
        <v>0.28999999999999998</v>
      </c>
      <c r="X478" s="72">
        <v>0.41</v>
      </c>
      <c r="Y478" s="72">
        <v>0.2</v>
      </c>
      <c r="Z478" s="74">
        <v>0.12</v>
      </c>
      <c r="AA478" s="74">
        <v>6.0999999999999999E-2</v>
      </c>
      <c r="AB478" s="74">
        <v>1.7000000000000001E-2</v>
      </c>
      <c r="AC478" s="74">
        <v>9.9000000000000005E-2</v>
      </c>
    </row>
    <row r="479" spans="2:29" x14ac:dyDescent="0.2">
      <c r="B479" s="66" t="s">
        <v>813</v>
      </c>
      <c r="C479" s="67" t="s">
        <v>264</v>
      </c>
      <c r="D479" s="68">
        <v>123</v>
      </c>
      <c r="F479" s="66" t="s">
        <v>850</v>
      </c>
      <c r="G479" s="67" t="s">
        <v>264</v>
      </c>
      <c r="H479" s="68">
        <v>153</v>
      </c>
      <c r="I479" s="70">
        <v>195</v>
      </c>
      <c r="J479" s="70">
        <v>-16</v>
      </c>
      <c r="K479" s="70">
        <v>-18</v>
      </c>
      <c r="L479" s="70">
        <v>31</v>
      </c>
      <c r="M479" s="70">
        <v>24</v>
      </c>
      <c r="N479" s="70">
        <v>3850</v>
      </c>
      <c r="O479" s="70">
        <v>25</v>
      </c>
      <c r="P479" s="71">
        <v>108</v>
      </c>
      <c r="Q479" s="71">
        <v>810</v>
      </c>
      <c r="R479" s="72">
        <v>0.89</v>
      </c>
      <c r="S479" s="71">
        <v>920</v>
      </c>
      <c r="T479" s="71">
        <v>180</v>
      </c>
      <c r="U479" s="73">
        <v>1.3</v>
      </c>
      <c r="V479" s="73">
        <v>0.4</v>
      </c>
      <c r="W479" s="72">
        <v>0.35</v>
      </c>
      <c r="X479" s="72">
        <v>0.47</v>
      </c>
      <c r="Y479" s="72">
        <v>0.16</v>
      </c>
      <c r="Z479" s="74">
        <v>8.1000000000000003E-2</v>
      </c>
      <c r="AA479" s="74">
        <v>4.2000000000000003E-2</v>
      </c>
      <c r="AB479" s="74">
        <v>1.0999999999999999E-2</v>
      </c>
      <c r="AC479" s="74">
        <v>9.4E-2</v>
      </c>
    </row>
    <row r="480" spans="2:29" x14ac:dyDescent="0.2">
      <c r="B480" s="66" t="s">
        <v>814</v>
      </c>
      <c r="C480" s="67" t="s">
        <v>264</v>
      </c>
      <c r="D480" s="68">
        <v>124</v>
      </c>
      <c r="F480" s="66" t="s">
        <v>851</v>
      </c>
      <c r="G480" s="67" t="s">
        <v>264</v>
      </c>
      <c r="H480" s="68">
        <v>154</v>
      </c>
      <c r="I480" s="70">
        <v>85</v>
      </c>
      <c r="J480" s="70">
        <v>-19</v>
      </c>
      <c r="K480" s="70">
        <v>-21</v>
      </c>
      <c r="L480" s="70">
        <v>30</v>
      </c>
      <c r="M480" s="70">
        <v>23</v>
      </c>
      <c r="N480" s="70">
        <v>4000</v>
      </c>
      <c r="O480" s="70">
        <v>23</v>
      </c>
      <c r="P480" s="71">
        <v>92</v>
      </c>
      <c r="Q480" s="71">
        <v>730</v>
      </c>
      <c r="R480" s="72">
        <v>0.88</v>
      </c>
      <c r="S480" s="71">
        <v>825</v>
      </c>
      <c r="T480" s="71">
        <v>140</v>
      </c>
      <c r="U480" s="73">
        <v>1</v>
      </c>
      <c r="V480" s="73">
        <v>0.4</v>
      </c>
      <c r="W480" s="72">
        <v>0.43</v>
      </c>
      <c r="X480" s="72">
        <v>0.56999999999999995</v>
      </c>
      <c r="Y480" s="72">
        <v>0.23</v>
      </c>
      <c r="Z480" s="74">
        <v>0.11</v>
      </c>
      <c r="AA480" s="74">
        <v>5.7000000000000002E-2</v>
      </c>
      <c r="AB480" s="74">
        <v>1.4999999999999999E-2</v>
      </c>
      <c r="AC480" s="74">
        <v>0.13</v>
      </c>
    </row>
    <row r="481" spans="2:29" x14ac:dyDescent="0.2">
      <c r="B481" s="66" t="s">
        <v>815</v>
      </c>
      <c r="C481" s="67" t="s">
        <v>264</v>
      </c>
      <c r="D481" s="68">
        <v>125</v>
      </c>
      <c r="F481" s="66" t="s">
        <v>852</v>
      </c>
      <c r="G481" s="67" t="s">
        <v>264</v>
      </c>
      <c r="H481" s="68">
        <v>155</v>
      </c>
      <c r="I481" s="70">
        <v>95</v>
      </c>
      <c r="J481" s="70">
        <v>-21</v>
      </c>
      <c r="K481" s="70">
        <v>-23</v>
      </c>
      <c r="L481" s="70">
        <v>29</v>
      </c>
      <c r="M481" s="70">
        <v>23</v>
      </c>
      <c r="N481" s="70">
        <v>4050</v>
      </c>
      <c r="O481" s="70">
        <v>23</v>
      </c>
      <c r="P481" s="71">
        <v>92</v>
      </c>
      <c r="Q481" s="71">
        <v>770</v>
      </c>
      <c r="R481" s="72">
        <v>0.91</v>
      </c>
      <c r="S481" s="71">
        <v>940</v>
      </c>
      <c r="T481" s="71">
        <v>160</v>
      </c>
      <c r="U481" s="73">
        <v>2</v>
      </c>
      <c r="V481" s="73">
        <v>0.4</v>
      </c>
      <c r="W481" s="72">
        <v>0.37</v>
      </c>
      <c r="X481" s="72">
        <v>0.49</v>
      </c>
      <c r="Y481" s="72">
        <v>0.26</v>
      </c>
      <c r="Z481" s="74">
        <v>0.14000000000000001</v>
      </c>
      <c r="AA481" s="74">
        <v>7.2999999999999995E-2</v>
      </c>
      <c r="AB481" s="74">
        <v>0.02</v>
      </c>
      <c r="AC481" s="74">
        <v>0.14000000000000001</v>
      </c>
    </row>
    <row r="482" spans="2:29" x14ac:dyDescent="0.2">
      <c r="B482" s="66" t="s">
        <v>816</v>
      </c>
      <c r="C482" s="67" t="s">
        <v>264</v>
      </c>
      <c r="D482" s="68">
        <v>126</v>
      </c>
      <c r="F482" s="66" t="s">
        <v>736</v>
      </c>
      <c r="G482" s="67" t="s">
        <v>261</v>
      </c>
      <c r="H482" s="68">
        <v>17</v>
      </c>
      <c r="I482" s="70">
        <v>25</v>
      </c>
      <c r="J482" s="70">
        <v>-21</v>
      </c>
      <c r="K482" s="70">
        <v>-24</v>
      </c>
      <c r="L482" s="70">
        <v>27</v>
      </c>
      <c r="M482" s="70">
        <v>21</v>
      </c>
      <c r="N482" s="70">
        <v>4400</v>
      </c>
      <c r="O482" s="70">
        <v>15</v>
      </c>
      <c r="P482" s="71">
        <v>107</v>
      </c>
      <c r="Q482" s="71">
        <v>950</v>
      </c>
      <c r="R482" s="72">
        <v>1.1100000000000001</v>
      </c>
      <c r="S482" s="71">
        <v>1175</v>
      </c>
      <c r="T482" s="71">
        <v>260</v>
      </c>
      <c r="U482" s="73">
        <v>2.2000000000000002</v>
      </c>
      <c r="V482" s="73">
        <v>0.6</v>
      </c>
      <c r="W482" s="72">
        <v>0.4</v>
      </c>
      <c r="X482" s="72">
        <v>0.55000000000000004</v>
      </c>
      <c r="Y482" s="72">
        <v>0.18</v>
      </c>
      <c r="Z482" s="74">
        <v>0.11</v>
      </c>
      <c r="AA482" s="74">
        <v>5.7000000000000002E-2</v>
      </c>
      <c r="AB482" s="74">
        <v>1.6E-2</v>
      </c>
      <c r="AC482" s="74">
        <v>8.4000000000000005E-2</v>
      </c>
    </row>
    <row r="483" spans="2:29" x14ac:dyDescent="0.2">
      <c r="B483" s="66" t="s">
        <v>817</v>
      </c>
      <c r="C483" s="67" t="s">
        <v>264</v>
      </c>
      <c r="D483" s="68">
        <v>127</v>
      </c>
      <c r="F483" s="66" t="s">
        <v>428</v>
      </c>
      <c r="G483" s="67" t="s">
        <v>247</v>
      </c>
      <c r="H483" s="68">
        <v>96</v>
      </c>
      <c r="I483" s="76">
        <v>905</v>
      </c>
      <c r="J483" s="70">
        <v>-31</v>
      </c>
      <c r="K483" s="70">
        <v>-35</v>
      </c>
      <c r="L483" s="70">
        <v>31</v>
      </c>
      <c r="M483" s="70">
        <v>19</v>
      </c>
      <c r="N483" s="76">
        <v>4700</v>
      </c>
      <c r="O483" s="76">
        <v>17</v>
      </c>
      <c r="P483" s="77">
        <v>85</v>
      </c>
      <c r="Q483" s="77">
        <v>295</v>
      </c>
      <c r="R483" s="72">
        <v>0.31</v>
      </c>
      <c r="S483" s="77">
        <v>400</v>
      </c>
      <c r="T483" s="77">
        <v>210</v>
      </c>
      <c r="U483" s="73">
        <v>1.2</v>
      </c>
      <c r="V483" s="73">
        <v>0.1</v>
      </c>
      <c r="W483" s="72">
        <v>0.62</v>
      </c>
      <c r="X483" s="72">
        <v>0.83</v>
      </c>
      <c r="Y483" s="72">
        <v>0.14000000000000001</v>
      </c>
      <c r="Z483" s="74">
        <v>0.08</v>
      </c>
      <c r="AA483" s="74">
        <v>0.04</v>
      </c>
      <c r="AB483" s="74">
        <v>0.02</v>
      </c>
      <c r="AC483" s="74">
        <v>0.08</v>
      </c>
    </row>
    <row r="484" spans="2:29" x14ac:dyDescent="0.2">
      <c r="B484" s="66" t="s">
        <v>818</v>
      </c>
      <c r="C484" s="67" t="s">
        <v>264</v>
      </c>
      <c r="D484" s="68">
        <v>128</v>
      </c>
      <c r="F484" s="66" t="s">
        <v>853</v>
      </c>
      <c r="G484" s="67" t="s">
        <v>257</v>
      </c>
      <c r="H484" s="68">
        <v>70</v>
      </c>
      <c r="I484" s="70">
        <v>25</v>
      </c>
      <c r="J484" s="70">
        <v>-23</v>
      </c>
      <c r="K484" s="70">
        <v>-26</v>
      </c>
      <c r="L484" s="70">
        <v>30</v>
      </c>
      <c r="M484" s="70">
        <v>23</v>
      </c>
      <c r="N484" s="70">
        <v>4550</v>
      </c>
      <c r="O484" s="70">
        <v>23</v>
      </c>
      <c r="P484" s="71">
        <v>96</v>
      </c>
      <c r="Q484" s="71">
        <v>800</v>
      </c>
      <c r="R484" s="72">
        <v>0.9</v>
      </c>
      <c r="S484" s="71">
        <v>960</v>
      </c>
      <c r="T484" s="71">
        <v>180</v>
      </c>
      <c r="U484" s="73">
        <v>2.4</v>
      </c>
      <c r="V484" s="73">
        <v>0.4</v>
      </c>
      <c r="W484" s="72">
        <v>0.31</v>
      </c>
      <c r="X484" s="72">
        <v>0.4</v>
      </c>
      <c r="Y484" s="72">
        <v>0.69</v>
      </c>
      <c r="Z484" s="74">
        <v>0.34</v>
      </c>
      <c r="AA484" s="74">
        <v>0.14000000000000001</v>
      </c>
      <c r="AB484" s="74">
        <v>4.8000000000000001E-2</v>
      </c>
      <c r="AC484" s="74">
        <v>0.43</v>
      </c>
    </row>
    <row r="485" spans="2:29" x14ac:dyDescent="0.2">
      <c r="B485" s="66" t="s">
        <v>819</v>
      </c>
      <c r="C485" s="67" t="s">
        <v>264</v>
      </c>
      <c r="D485" s="68">
        <v>129</v>
      </c>
      <c r="F485" s="66" t="s">
        <v>429</v>
      </c>
      <c r="G485" s="67" t="s">
        <v>247</v>
      </c>
      <c r="H485" s="68">
        <v>97</v>
      </c>
      <c r="I485" s="76">
        <v>1130</v>
      </c>
      <c r="J485" s="70">
        <v>-32</v>
      </c>
      <c r="K485" s="70">
        <v>-34</v>
      </c>
      <c r="L485" s="70">
        <v>29</v>
      </c>
      <c r="M485" s="70">
        <v>18</v>
      </c>
      <c r="N485" s="76">
        <v>5000</v>
      </c>
      <c r="O485" s="76">
        <v>18</v>
      </c>
      <c r="P485" s="77">
        <v>108</v>
      </c>
      <c r="Q485" s="77">
        <v>325</v>
      </c>
      <c r="R485" s="72">
        <v>0.37</v>
      </c>
      <c r="S485" s="77">
        <v>575</v>
      </c>
      <c r="T485" s="77">
        <v>140</v>
      </c>
      <c r="U485" s="73">
        <v>1.5</v>
      </c>
      <c r="V485" s="73">
        <v>0.1</v>
      </c>
      <c r="W485" s="72">
        <v>0.7</v>
      </c>
      <c r="X485" s="72">
        <v>0.97</v>
      </c>
      <c r="Y485" s="72">
        <v>0.19</v>
      </c>
      <c r="Z485" s="74">
        <v>0.11</v>
      </c>
      <c r="AA485" s="74">
        <v>5.8000000000000003E-2</v>
      </c>
      <c r="AB485" s="74">
        <v>3.3000000000000002E-2</v>
      </c>
      <c r="AC485" s="74">
        <v>0.1</v>
      </c>
    </row>
    <row r="486" spans="2:29" x14ac:dyDescent="0.2">
      <c r="B486" s="66" t="s">
        <v>820</v>
      </c>
      <c r="C486" s="67" t="s">
        <v>264</v>
      </c>
      <c r="D486" s="68">
        <v>130</v>
      </c>
      <c r="F486" s="66" t="s">
        <v>854</v>
      </c>
      <c r="G486" s="67" t="s">
        <v>257</v>
      </c>
      <c r="H486" s="68">
        <v>71</v>
      </c>
      <c r="I486" s="70">
        <v>25</v>
      </c>
      <c r="J486" s="70">
        <v>-23</v>
      </c>
      <c r="K486" s="70">
        <v>-26</v>
      </c>
      <c r="L486" s="70">
        <v>29</v>
      </c>
      <c r="M486" s="70">
        <v>23</v>
      </c>
      <c r="N486" s="70">
        <v>4550</v>
      </c>
      <c r="O486" s="70">
        <v>23</v>
      </c>
      <c r="P486" s="71">
        <v>96</v>
      </c>
      <c r="Q486" s="71">
        <v>780</v>
      </c>
      <c r="R486" s="72">
        <v>0.88</v>
      </c>
      <c r="S486" s="71">
        <v>950</v>
      </c>
      <c r="T486" s="71">
        <v>180</v>
      </c>
      <c r="U486" s="73">
        <v>2.2999999999999998</v>
      </c>
      <c r="V486" s="73">
        <v>0.4</v>
      </c>
      <c r="W486" s="72">
        <v>0.31</v>
      </c>
      <c r="X486" s="72">
        <v>0.4</v>
      </c>
      <c r="Y486" s="72">
        <v>0.69</v>
      </c>
      <c r="Z486" s="74">
        <v>0.34</v>
      </c>
      <c r="AA486" s="74">
        <v>0.14000000000000001</v>
      </c>
      <c r="AB486" s="74">
        <v>4.8000000000000001E-2</v>
      </c>
      <c r="AC486" s="74">
        <v>0.43</v>
      </c>
    </row>
    <row r="487" spans="2:29" x14ac:dyDescent="0.2">
      <c r="B487" s="66" t="s">
        <v>821</v>
      </c>
      <c r="C487" s="67" t="s">
        <v>264</v>
      </c>
      <c r="D487" s="68">
        <v>131</v>
      </c>
      <c r="F487" s="66" t="s">
        <v>662</v>
      </c>
      <c r="G487" s="67" t="s">
        <v>252</v>
      </c>
      <c r="H487" s="68">
        <v>13</v>
      </c>
      <c r="I487" s="70">
        <v>220</v>
      </c>
      <c r="J487" s="70">
        <v>-34</v>
      </c>
      <c r="K487" s="70">
        <v>-36</v>
      </c>
      <c r="L487" s="70">
        <v>28</v>
      </c>
      <c r="M487" s="70">
        <v>23</v>
      </c>
      <c r="N487" s="70">
        <v>6100</v>
      </c>
      <c r="O487" s="70">
        <v>25</v>
      </c>
      <c r="P487" s="71">
        <v>86</v>
      </c>
      <c r="Q487" s="71">
        <v>440</v>
      </c>
      <c r="R487" s="72">
        <v>0.66</v>
      </c>
      <c r="S487" s="71">
        <v>420</v>
      </c>
      <c r="T487" s="71">
        <v>180</v>
      </c>
      <c r="U487" s="73">
        <v>1.9</v>
      </c>
      <c r="V487" s="73">
        <v>0.2</v>
      </c>
      <c r="W487" s="72">
        <v>0.28999999999999998</v>
      </c>
      <c r="X487" s="72">
        <v>0.39</v>
      </c>
      <c r="Y487" s="72">
        <v>0.12</v>
      </c>
      <c r="Z487" s="74">
        <v>5.6000000000000001E-2</v>
      </c>
      <c r="AA487" s="74">
        <v>2.3E-2</v>
      </c>
      <c r="AB487" s="74">
        <v>6.0000000000000001E-3</v>
      </c>
      <c r="AC487" s="74">
        <v>5.8999999999999997E-2</v>
      </c>
    </row>
    <row r="488" spans="2:29" x14ac:dyDescent="0.2">
      <c r="B488" s="66" t="s">
        <v>822</v>
      </c>
      <c r="C488" s="67" t="s">
        <v>264</v>
      </c>
      <c r="D488" s="68">
        <v>132</v>
      </c>
      <c r="F488" s="66" t="s">
        <v>855</v>
      </c>
      <c r="G488" s="67" t="s">
        <v>264</v>
      </c>
      <c r="H488" s="68">
        <v>156</v>
      </c>
      <c r="I488" s="70">
        <v>300</v>
      </c>
      <c r="J488" s="70">
        <v>-18</v>
      </c>
      <c r="K488" s="70">
        <v>-20</v>
      </c>
      <c r="L488" s="70">
        <v>29</v>
      </c>
      <c r="M488" s="70">
        <v>23</v>
      </c>
      <c r="N488" s="70">
        <v>4200</v>
      </c>
      <c r="O488" s="70">
        <v>28</v>
      </c>
      <c r="P488" s="71">
        <v>103</v>
      </c>
      <c r="Q488" s="71">
        <v>820</v>
      </c>
      <c r="R488" s="72">
        <v>0.93</v>
      </c>
      <c r="S488" s="71">
        <v>950</v>
      </c>
      <c r="T488" s="71">
        <v>140</v>
      </c>
      <c r="U488" s="73">
        <v>1.9</v>
      </c>
      <c r="V488" s="73">
        <v>0.4</v>
      </c>
      <c r="W488" s="72">
        <v>0.3</v>
      </c>
      <c r="X488" s="72">
        <v>0.41</v>
      </c>
      <c r="Y488" s="72">
        <v>0.18</v>
      </c>
      <c r="Z488" s="74">
        <v>9.4E-2</v>
      </c>
      <c r="AA488" s="74">
        <v>4.9000000000000002E-2</v>
      </c>
      <c r="AB488" s="74">
        <v>1.2999999999999999E-2</v>
      </c>
      <c r="AC488" s="74">
        <v>0.11</v>
      </c>
    </row>
    <row r="489" spans="2:29" x14ac:dyDescent="0.2">
      <c r="B489" s="66" t="s">
        <v>823</v>
      </c>
      <c r="C489" s="67" t="s">
        <v>264</v>
      </c>
      <c r="D489" s="68">
        <v>133</v>
      </c>
      <c r="F489" s="66" t="s">
        <v>856</v>
      </c>
      <c r="G489" s="67" t="s">
        <v>257</v>
      </c>
      <c r="H489" s="68">
        <v>72</v>
      </c>
      <c r="I489" s="70">
        <v>145</v>
      </c>
      <c r="J489" s="70">
        <v>-26</v>
      </c>
      <c r="K489" s="70">
        <v>-28</v>
      </c>
      <c r="L489" s="70">
        <v>29</v>
      </c>
      <c r="M489" s="70">
        <v>23</v>
      </c>
      <c r="N489" s="70">
        <v>5150</v>
      </c>
      <c r="O489" s="70">
        <v>20</v>
      </c>
      <c r="P489" s="71">
        <v>107</v>
      </c>
      <c r="Q489" s="71">
        <v>890</v>
      </c>
      <c r="R489" s="72">
        <v>1</v>
      </c>
      <c r="S489" s="71">
        <v>1150</v>
      </c>
      <c r="T489" s="71">
        <v>180</v>
      </c>
      <c r="U489" s="73">
        <v>2.8</v>
      </c>
      <c r="V489" s="73">
        <v>0.6</v>
      </c>
      <c r="W489" s="72">
        <v>0.26</v>
      </c>
      <c r="X489" s="72">
        <v>0.35</v>
      </c>
      <c r="Y489" s="72">
        <v>0.45</v>
      </c>
      <c r="Z489" s="74">
        <v>0.23</v>
      </c>
      <c r="AA489" s="74">
        <v>0.1</v>
      </c>
      <c r="AB489" s="74">
        <v>3.4000000000000002E-2</v>
      </c>
      <c r="AC489" s="74">
        <v>0.28999999999999998</v>
      </c>
    </row>
    <row r="490" spans="2:29" x14ac:dyDescent="0.2">
      <c r="B490" s="66" t="s">
        <v>829</v>
      </c>
      <c r="C490" s="67" t="s">
        <v>264</v>
      </c>
      <c r="D490" s="68">
        <v>134</v>
      </c>
      <c r="F490" s="66" t="s">
        <v>857</v>
      </c>
      <c r="G490" s="67" t="s">
        <v>264</v>
      </c>
      <c r="H490" s="68">
        <v>157</v>
      </c>
      <c r="I490" s="70">
        <v>150</v>
      </c>
      <c r="J490" s="70">
        <v>-29</v>
      </c>
      <c r="K490" s="70">
        <v>-32</v>
      </c>
      <c r="L490" s="70">
        <v>30</v>
      </c>
      <c r="M490" s="70">
        <v>22</v>
      </c>
      <c r="N490" s="70">
        <v>5050</v>
      </c>
      <c r="O490" s="70">
        <v>23</v>
      </c>
      <c r="P490" s="71">
        <v>92</v>
      </c>
      <c r="Q490" s="71">
        <v>650</v>
      </c>
      <c r="R490" s="72">
        <v>0.82</v>
      </c>
      <c r="S490" s="71">
        <v>850</v>
      </c>
      <c r="T490" s="71">
        <v>100</v>
      </c>
      <c r="U490" s="73">
        <v>2.5</v>
      </c>
      <c r="V490" s="73">
        <v>0.4</v>
      </c>
      <c r="W490" s="72">
        <v>0.26</v>
      </c>
      <c r="X490" s="72">
        <v>0.35</v>
      </c>
      <c r="Y490" s="72">
        <v>0.66</v>
      </c>
      <c r="Z490" s="74">
        <v>0.32</v>
      </c>
      <c r="AA490" s="74">
        <v>0.13</v>
      </c>
      <c r="AB490" s="74">
        <v>4.2999999999999997E-2</v>
      </c>
      <c r="AC490" s="74">
        <v>0.42</v>
      </c>
    </row>
    <row r="491" spans="2:29" x14ac:dyDescent="0.2">
      <c r="B491" s="66" t="s">
        <v>830</v>
      </c>
      <c r="C491" s="67" t="s">
        <v>264</v>
      </c>
      <c r="D491" s="68">
        <v>135</v>
      </c>
      <c r="F491" s="66" t="s">
        <v>431</v>
      </c>
      <c r="G491" s="67" t="s">
        <v>247</v>
      </c>
      <c r="H491" s="68">
        <v>98</v>
      </c>
      <c r="I491" s="76">
        <v>807</v>
      </c>
      <c r="J491" s="70">
        <v>-34</v>
      </c>
      <c r="K491" s="70">
        <v>-37</v>
      </c>
      <c r="L491" s="70">
        <v>27</v>
      </c>
      <c r="M491" s="70">
        <v>19</v>
      </c>
      <c r="N491" s="76">
        <v>5600</v>
      </c>
      <c r="O491" s="76">
        <v>21</v>
      </c>
      <c r="P491" s="77">
        <v>80</v>
      </c>
      <c r="Q491" s="77">
        <v>385</v>
      </c>
      <c r="R491" s="72">
        <v>0.56000000000000005</v>
      </c>
      <c r="S491" s="77">
        <v>480</v>
      </c>
      <c r="T491" s="77">
        <v>170</v>
      </c>
      <c r="U491" s="73">
        <v>2</v>
      </c>
      <c r="V491" s="73">
        <v>0.1</v>
      </c>
      <c r="W491" s="72">
        <v>0.3</v>
      </c>
      <c r="X491" s="72">
        <v>0.41</v>
      </c>
      <c r="Y491" s="72">
        <v>0.12</v>
      </c>
      <c r="Z491" s="74">
        <v>0.06</v>
      </c>
      <c r="AA491" s="74">
        <v>0.02</v>
      </c>
      <c r="AB491" s="74">
        <v>0.01</v>
      </c>
      <c r="AC491" s="74">
        <v>0.06</v>
      </c>
    </row>
    <row r="492" spans="2:29" x14ac:dyDescent="0.2">
      <c r="B492" s="66" t="s">
        <v>831</v>
      </c>
      <c r="C492" s="67" t="s">
        <v>264</v>
      </c>
      <c r="D492" s="68">
        <v>136</v>
      </c>
      <c r="F492" s="66" t="s">
        <v>597</v>
      </c>
      <c r="G492" s="67" t="s">
        <v>224</v>
      </c>
      <c r="H492" s="68">
        <v>59</v>
      </c>
      <c r="I492" s="70">
        <v>15</v>
      </c>
      <c r="J492" s="70">
        <v>-5</v>
      </c>
      <c r="K492" s="70">
        <v>-7</v>
      </c>
      <c r="L492" s="70">
        <v>31</v>
      </c>
      <c r="M492" s="70">
        <v>18</v>
      </c>
      <c r="N492" s="70">
        <v>3200</v>
      </c>
      <c r="O492" s="70">
        <v>10</v>
      </c>
      <c r="P492" s="71">
        <v>161</v>
      </c>
      <c r="Q492" s="71">
        <v>1900</v>
      </c>
      <c r="R492" s="72">
        <v>2</v>
      </c>
      <c r="S492" s="71">
        <v>2000</v>
      </c>
      <c r="T492" s="71">
        <v>240</v>
      </c>
      <c r="U492" s="73">
        <v>3</v>
      </c>
      <c r="V492" s="73">
        <v>0.4</v>
      </c>
      <c r="W492" s="72">
        <v>0.47</v>
      </c>
      <c r="X492" s="72">
        <v>0.63</v>
      </c>
      <c r="Y492" s="72">
        <v>0.75</v>
      </c>
      <c r="Z492" s="74">
        <v>0.55000000000000004</v>
      </c>
      <c r="AA492" s="74">
        <v>0.3</v>
      </c>
      <c r="AB492" s="74">
        <v>0.16</v>
      </c>
      <c r="AC492" s="74">
        <v>0.35</v>
      </c>
    </row>
    <row r="493" spans="2:29" x14ac:dyDescent="0.2">
      <c r="B493" s="66" t="s">
        <v>832</v>
      </c>
      <c r="C493" s="67" t="s">
        <v>264</v>
      </c>
      <c r="D493" s="68">
        <v>137</v>
      </c>
      <c r="F493" s="66" t="s">
        <v>858</v>
      </c>
      <c r="G493" s="67" t="s">
        <v>264</v>
      </c>
      <c r="H493" s="68">
        <v>158</v>
      </c>
      <c r="I493" s="70">
        <v>195</v>
      </c>
      <c r="J493" s="70">
        <v>-15</v>
      </c>
      <c r="K493" s="70">
        <v>-17</v>
      </c>
      <c r="L493" s="70">
        <v>30</v>
      </c>
      <c r="M493" s="70">
        <v>24</v>
      </c>
      <c r="N493" s="70">
        <v>4000</v>
      </c>
      <c r="O493" s="70">
        <v>25</v>
      </c>
      <c r="P493" s="71">
        <v>92</v>
      </c>
      <c r="Q493" s="71">
        <v>930</v>
      </c>
      <c r="R493" s="72">
        <v>1.05</v>
      </c>
      <c r="S493" s="71">
        <v>1000</v>
      </c>
      <c r="T493" s="71">
        <v>180</v>
      </c>
      <c r="U493" s="73">
        <v>1.2</v>
      </c>
      <c r="V493" s="73">
        <v>0.4</v>
      </c>
      <c r="W493" s="72">
        <v>0.34</v>
      </c>
      <c r="X493" s="72">
        <v>0.47</v>
      </c>
      <c r="Y493" s="72">
        <v>0.21</v>
      </c>
      <c r="Z493" s="74">
        <v>0.1</v>
      </c>
      <c r="AA493" s="74">
        <v>0.05</v>
      </c>
      <c r="AB493" s="74">
        <v>1.2999999999999999E-2</v>
      </c>
      <c r="AC493" s="74">
        <v>0.14000000000000001</v>
      </c>
    </row>
    <row r="494" spans="2:29" x14ac:dyDescent="0.2">
      <c r="B494" s="66" t="s">
        <v>833</v>
      </c>
      <c r="C494" s="67" t="s">
        <v>264</v>
      </c>
      <c r="D494" s="68">
        <v>138</v>
      </c>
      <c r="F494" s="66" t="s">
        <v>859</v>
      </c>
      <c r="G494" s="67" t="s">
        <v>264</v>
      </c>
      <c r="H494" s="68">
        <v>159</v>
      </c>
      <c r="I494" s="70">
        <v>180</v>
      </c>
      <c r="J494" s="70">
        <v>-15</v>
      </c>
      <c r="K494" s="70">
        <v>-17</v>
      </c>
      <c r="L494" s="70">
        <v>30</v>
      </c>
      <c r="M494" s="70">
        <v>24</v>
      </c>
      <c r="N494" s="70">
        <v>3750</v>
      </c>
      <c r="O494" s="70">
        <v>23</v>
      </c>
      <c r="P494" s="71">
        <v>113</v>
      </c>
      <c r="Q494" s="71">
        <v>850</v>
      </c>
      <c r="R494" s="72">
        <v>0.97</v>
      </c>
      <c r="S494" s="71">
        <v>1000</v>
      </c>
      <c r="T494" s="71">
        <v>160</v>
      </c>
      <c r="U494" s="73">
        <v>2.2999999999999998</v>
      </c>
      <c r="V494" s="73">
        <v>0.4</v>
      </c>
      <c r="W494" s="72">
        <v>0.37</v>
      </c>
      <c r="X494" s="72">
        <v>0.46</v>
      </c>
      <c r="Y494" s="72">
        <v>0.38</v>
      </c>
      <c r="Z494" s="74">
        <v>0.19</v>
      </c>
      <c r="AA494" s="74">
        <v>6.8000000000000005E-2</v>
      </c>
      <c r="AB494" s="74">
        <v>0.02</v>
      </c>
      <c r="AC494" s="74">
        <v>0.28000000000000003</v>
      </c>
    </row>
    <row r="495" spans="2:29" x14ac:dyDescent="0.2">
      <c r="B495" s="66" t="s">
        <v>834</v>
      </c>
      <c r="C495" s="67" t="s">
        <v>264</v>
      </c>
      <c r="D495" s="68">
        <v>139</v>
      </c>
      <c r="F495" s="66" t="s">
        <v>860</v>
      </c>
      <c r="G495" s="67" t="s">
        <v>264</v>
      </c>
      <c r="H495" s="68">
        <v>160</v>
      </c>
      <c r="I495" s="70">
        <v>205</v>
      </c>
      <c r="J495" s="70">
        <v>-17</v>
      </c>
      <c r="K495" s="70">
        <v>-19</v>
      </c>
      <c r="L495" s="70">
        <v>28</v>
      </c>
      <c r="M495" s="70">
        <v>22</v>
      </c>
      <c r="N495" s="70">
        <v>4250</v>
      </c>
      <c r="O495" s="70">
        <v>23</v>
      </c>
      <c r="P495" s="71">
        <v>92</v>
      </c>
      <c r="Q495" s="71">
        <v>790</v>
      </c>
      <c r="R495" s="72">
        <v>0.94</v>
      </c>
      <c r="S495" s="71">
        <v>850</v>
      </c>
      <c r="T495" s="71">
        <v>180</v>
      </c>
      <c r="U495" s="73">
        <v>2.8</v>
      </c>
      <c r="V495" s="73">
        <v>0.4</v>
      </c>
      <c r="W495" s="72">
        <v>0.4</v>
      </c>
      <c r="X495" s="72">
        <v>0.55000000000000004</v>
      </c>
      <c r="Y495" s="72">
        <v>0.12</v>
      </c>
      <c r="Z495" s="74">
        <v>7.3999999999999996E-2</v>
      </c>
      <c r="AA495" s="74">
        <v>3.9E-2</v>
      </c>
      <c r="AB495" s="74">
        <v>1.0999999999999999E-2</v>
      </c>
      <c r="AC495" s="74">
        <v>5.8999999999999997E-2</v>
      </c>
    </row>
    <row r="496" spans="2:29" x14ac:dyDescent="0.2">
      <c r="B496" s="66" t="s">
        <v>835</v>
      </c>
      <c r="C496" s="67" t="s">
        <v>264</v>
      </c>
      <c r="D496" s="68">
        <v>140</v>
      </c>
      <c r="F496" s="66" t="s">
        <v>599</v>
      </c>
      <c r="G496" s="67" t="s">
        <v>224</v>
      </c>
      <c r="H496" s="68">
        <v>60</v>
      </c>
      <c r="I496" s="70">
        <v>5</v>
      </c>
      <c r="J496" s="70">
        <v>-5</v>
      </c>
      <c r="K496" s="70">
        <v>-7</v>
      </c>
      <c r="L496" s="70">
        <v>20</v>
      </c>
      <c r="M496" s="70">
        <v>16</v>
      </c>
      <c r="N496" s="70">
        <v>3600</v>
      </c>
      <c r="O496" s="70">
        <v>13</v>
      </c>
      <c r="P496" s="71">
        <v>150</v>
      </c>
      <c r="Q496" s="71">
        <v>1775</v>
      </c>
      <c r="R496" s="72">
        <v>1.92</v>
      </c>
      <c r="S496" s="71">
        <v>1850</v>
      </c>
      <c r="T496" s="71">
        <v>220</v>
      </c>
      <c r="U496" s="73">
        <v>0.9</v>
      </c>
      <c r="V496" s="73">
        <v>0.4</v>
      </c>
      <c r="W496" s="72">
        <v>0.49</v>
      </c>
      <c r="X496" s="72">
        <v>0.62</v>
      </c>
      <c r="Y496" s="72">
        <v>0.43</v>
      </c>
      <c r="Z496" s="74">
        <v>0.3</v>
      </c>
      <c r="AA496" s="74">
        <v>0.17</v>
      </c>
      <c r="AB496" s="74">
        <v>0.1</v>
      </c>
      <c r="AC496" s="74">
        <v>0.2</v>
      </c>
    </row>
    <row r="497" spans="2:29" x14ac:dyDescent="0.2">
      <c r="B497" s="66" t="s">
        <v>836</v>
      </c>
      <c r="C497" s="67" t="s">
        <v>264</v>
      </c>
      <c r="D497" s="68">
        <v>141</v>
      </c>
      <c r="F497" s="66" t="s">
        <v>737</v>
      </c>
      <c r="G497" s="67" t="s">
        <v>261</v>
      </c>
      <c r="H497" s="68">
        <v>18</v>
      </c>
      <c r="I497" s="70">
        <v>40</v>
      </c>
      <c r="J497" s="70">
        <v>-19</v>
      </c>
      <c r="K497" s="70">
        <v>-22</v>
      </c>
      <c r="L497" s="70">
        <v>27</v>
      </c>
      <c r="M497" s="70">
        <v>21</v>
      </c>
      <c r="N497" s="70">
        <v>4400</v>
      </c>
      <c r="O497" s="70">
        <v>15</v>
      </c>
      <c r="P497" s="71">
        <v>128</v>
      </c>
      <c r="Q497" s="71">
        <v>1325</v>
      </c>
      <c r="R497" s="72">
        <v>1.48</v>
      </c>
      <c r="S497" s="71">
        <v>1450</v>
      </c>
      <c r="T497" s="71">
        <v>260</v>
      </c>
      <c r="U497" s="73">
        <v>2.1</v>
      </c>
      <c r="V497" s="73">
        <v>0.6</v>
      </c>
      <c r="W497" s="72">
        <v>0.59</v>
      </c>
      <c r="X497" s="72">
        <v>0.74</v>
      </c>
      <c r="Y497" s="72">
        <v>0.21</v>
      </c>
      <c r="Z497" s="74">
        <v>0.12</v>
      </c>
      <c r="AA497" s="74">
        <v>6.4000000000000001E-2</v>
      </c>
      <c r="AB497" s="74">
        <v>1.7999999999999999E-2</v>
      </c>
      <c r="AC497" s="74">
        <v>0.11</v>
      </c>
    </row>
    <row r="498" spans="2:29" x14ac:dyDescent="0.2">
      <c r="B498" s="66" t="s">
        <v>838</v>
      </c>
      <c r="C498" s="67" t="s">
        <v>264</v>
      </c>
      <c r="D498" s="68">
        <v>142</v>
      </c>
      <c r="F498" s="66" t="s">
        <v>861</v>
      </c>
      <c r="G498" s="67" t="s">
        <v>264</v>
      </c>
      <c r="H498" s="68">
        <v>161</v>
      </c>
      <c r="I498" s="70">
        <v>100</v>
      </c>
      <c r="J498" s="70">
        <v>-21</v>
      </c>
      <c r="K498" s="70">
        <v>-23</v>
      </c>
      <c r="L498" s="70">
        <v>30</v>
      </c>
      <c r="M498" s="70">
        <v>23</v>
      </c>
      <c r="N498" s="70">
        <v>4050</v>
      </c>
      <c r="O498" s="70">
        <v>23</v>
      </c>
      <c r="P498" s="71">
        <v>97</v>
      </c>
      <c r="Q498" s="71">
        <v>760</v>
      </c>
      <c r="R498" s="72">
        <v>0.9</v>
      </c>
      <c r="S498" s="71">
        <v>825</v>
      </c>
      <c r="T498" s="71">
        <v>180</v>
      </c>
      <c r="U498" s="73">
        <v>1.2</v>
      </c>
      <c r="V498" s="73">
        <v>0.4</v>
      </c>
      <c r="W498" s="72">
        <v>0.46</v>
      </c>
      <c r="X498" s="72">
        <v>0.59</v>
      </c>
      <c r="Y498" s="72">
        <v>0.23</v>
      </c>
      <c r="Z498" s="74">
        <v>0.12</v>
      </c>
      <c r="AA498" s="74">
        <v>6.4000000000000001E-2</v>
      </c>
      <c r="AB498" s="74">
        <v>1.7000000000000001E-2</v>
      </c>
      <c r="AC498" s="74">
        <v>0.13</v>
      </c>
    </row>
    <row r="499" spans="2:29" x14ac:dyDescent="0.2">
      <c r="B499" s="66" t="s">
        <v>839</v>
      </c>
      <c r="C499" s="67" t="s">
        <v>264</v>
      </c>
      <c r="D499" s="68">
        <v>143</v>
      </c>
      <c r="F499" s="66" t="s">
        <v>600</v>
      </c>
      <c r="G499" s="67" t="s">
        <v>224</v>
      </c>
      <c r="H499" s="68">
        <v>61</v>
      </c>
      <c r="I499" s="70">
        <v>5</v>
      </c>
      <c r="J499" s="70">
        <v>-5</v>
      </c>
      <c r="K499" s="70">
        <v>-7</v>
      </c>
      <c r="L499" s="70">
        <v>22</v>
      </c>
      <c r="M499" s="70">
        <v>17</v>
      </c>
      <c r="N499" s="70">
        <v>3550</v>
      </c>
      <c r="O499" s="70">
        <v>13</v>
      </c>
      <c r="P499" s="71">
        <v>128</v>
      </c>
      <c r="Q499" s="71">
        <v>1750</v>
      </c>
      <c r="R499" s="72">
        <v>1.89</v>
      </c>
      <c r="S499" s="71">
        <v>1850</v>
      </c>
      <c r="T499" s="71">
        <v>260</v>
      </c>
      <c r="U499" s="73">
        <v>1.1000000000000001</v>
      </c>
      <c r="V499" s="73">
        <v>0.4</v>
      </c>
      <c r="W499" s="72">
        <v>0.49</v>
      </c>
      <c r="X499" s="72">
        <v>0.62</v>
      </c>
      <c r="Y499" s="72">
        <v>0.43</v>
      </c>
      <c r="Z499" s="74">
        <v>0.35</v>
      </c>
      <c r="AA499" s="74">
        <v>0.19</v>
      </c>
      <c r="AB499" s="74">
        <v>0.1</v>
      </c>
      <c r="AC499" s="74">
        <v>0.2</v>
      </c>
    </row>
    <row r="500" spans="2:29" x14ac:dyDescent="0.2">
      <c r="B500" s="66" t="s">
        <v>840</v>
      </c>
      <c r="C500" s="67" t="s">
        <v>264</v>
      </c>
      <c r="D500" s="68">
        <v>144</v>
      </c>
      <c r="F500" s="66" t="s">
        <v>862</v>
      </c>
      <c r="G500" s="67" t="s">
        <v>264</v>
      </c>
      <c r="H500" s="68">
        <v>162</v>
      </c>
      <c r="I500" s="70">
        <v>270</v>
      </c>
      <c r="J500" s="70">
        <v>-22</v>
      </c>
      <c r="K500" s="70">
        <v>-24</v>
      </c>
      <c r="L500" s="70">
        <v>30</v>
      </c>
      <c r="M500" s="70">
        <v>23</v>
      </c>
      <c r="N500" s="70">
        <v>4350</v>
      </c>
      <c r="O500" s="70">
        <v>25</v>
      </c>
      <c r="P500" s="71">
        <v>97</v>
      </c>
      <c r="Q500" s="71">
        <v>720</v>
      </c>
      <c r="R500" s="72">
        <v>0.84</v>
      </c>
      <c r="S500" s="71">
        <v>850</v>
      </c>
      <c r="T500" s="71">
        <v>140</v>
      </c>
      <c r="U500" s="73">
        <v>2.4</v>
      </c>
      <c r="V500" s="73">
        <v>0.4</v>
      </c>
      <c r="W500" s="72">
        <v>0.31</v>
      </c>
      <c r="X500" s="72">
        <v>0.44</v>
      </c>
      <c r="Y500" s="72">
        <v>0.19</v>
      </c>
      <c r="Z500" s="74">
        <v>0.11</v>
      </c>
      <c r="AA500" s="74">
        <v>5.6000000000000001E-2</v>
      </c>
      <c r="AB500" s="74">
        <v>1.4999999999999999E-2</v>
      </c>
      <c r="AC500" s="74">
        <v>9.6000000000000002E-2</v>
      </c>
    </row>
    <row r="501" spans="2:29" x14ac:dyDescent="0.2">
      <c r="B501" s="66" t="s">
        <v>841</v>
      </c>
      <c r="C501" s="67" t="s">
        <v>264</v>
      </c>
      <c r="D501" s="68">
        <v>145</v>
      </c>
      <c r="F501" s="66" t="s">
        <v>863</v>
      </c>
      <c r="G501" s="67" t="s">
        <v>264</v>
      </c>
      <c r="H501" s="68">
        <v>163</v>
      </c>
      <c r="I501" s="70">
        <v>180</v>
      </c>
      <c r="J501" s="70">
        <v>-15</v>
      </c>
      <c r="K501" s="70">
        <v>-17</v>
      </c>
      <c r="L501" s="70">
        <v>31</v>
      </c>
      <c r="M501" s="70">
        <v>24</v>
      </c>
      <c r="N501" s="70">
        <v>4000</v>
      </c>
      <c r="O501" s="70">
        <v>25</v>
      </c>
      <c r="P501" s="71">
        <v>92</v>
      </c>
      <c r="Q501" s="71">
        <v>940</v>
      </c>
      <c r="R501" s="72">
        <v>1.05</v>
      </c>
      <c r="S501" s="71">
        <v>975</v>
      </c>
      <c r="T501" s="71">
        <v>180</v>
      </c>
      <c r="U501" s="73">
        <v>1.2</v>
      </c>
      <c r="V501" s="73">
        <v>0.4</v>
      </c>
      <c r="W501" s="72">
        <v>0.34</v>
      </c>
      <c r="X501" s="72">
        <v>0.47</v>
      </c>
      <c r="Y501" s="72">
        <v>0.2</v>
      </c>
      <c r="Z501" s="74">
        <v>0.1</v>
      </c>
      <c r="AA501" s="74">
        <v>4.8000000000000001E-2</v>
      </c>
      <c r="AB501" s="74">
        <v>1.2999999999999999E-2</v>
      </c>
      <c r="AC501" s="74">
        <v>0.14000000000000001</v>
      </c>
    </row>
    <row r="502" spans="2:29" x14ac:dyDescent="0.2">
      <c r="B502" s="66" t="s">
        <v>842</v>
      </c>
      <c r="C502" s="67" t="s">
        <v>264</v>
      </c>
      <c r="D502" s="68">
        <v>146</v>
      </c>
      <c r="F502" s="66" t="s">
        <v>663</v>
      </c>
      <c r="G502" s="67" t="s">
        <v>252</v>
      </c>
      <c r="H502" s="68">
        <v>14</v>
      </c>
      <c r="I502" s="70">
        <v>260</v>
      </c>
      <c r="J502" s="70">
        <v>-31</v>
      </c>
      <c r="K502" s="70">
        <v>-33</v>
      </c>
      <c r="L502" s="70">
        <v>30</v>
      </c>
      <c r="M502" s="70">
        <v>23</v>
      </c>
      <c r="N502" s="70">
        <v>5800</v>
      </c>
      <c r="O502" s="70">
        <v>36</v>
      </c>
      <c r="P502" s="71">
        <v>119</v>
      </c>
      <c r="Q502" s="71">
        <v>390</v>
      </c>
      <c r="R502" s="72">
        <v>0.51</v>
      </c>
      <c r="S502" s="71">
        <v>525</v>
      </c>
      <c r="T502" s="71">
        <v>180</v>
      </c>
      <c r="U502" s="73">
        <v>2.1</v>
      </c>
      <c r="V502" s="73">
        <v>0.2</v>
      </c>
      <c r="W502" s="72">
        <v>0.36</v>
      </c>
      <c r="X502" s="72">
        <v>0.46</v>
      </c>
      <c r="Y502" s="72">
        <v>0.12</v>
      </c>
      <c r="Z502" s="74">
        <v>5.6000000000000001E-2</v>
      </c>
      <c r="AA502" s="74">
        <v>2.3E-2</v>
      </c>
      <c r="AB502" s="74">
        <v>6.0000000000000001E-3</v>
      </c>
      <c r="AC502" s="74">
        <v>5.8999999999999997E-2</v>
      </c>
    </row>
    <row r="503" spans="2:29" x14ac:dyDescent="0.2">
      <c r="B503" s="66" t="s">
        <v>843</v>
      </c>
      <c r="C503" s="67" t="s">
        <v>264</v>
      </c>
      <c r="D503" s="68">
        <v>147</v>
      </c>
      <c r="F503" s="66" t="s">
        <v>864</v>
      </c>
      <c r="G503" s="67" t="s">
        <v>257</v>
      </c>
      <c r="H503" s="68">
        <v>73</v>
      </c>
      <c r="I503" s="70">
        <v>20</v>
      </c>
      <c r="J503" s="70">
        <v>-29</v>
      </c>
      <c r="K503" s="70">
        <v>-32</v>
      </c>
      <c r="L503" s="70">
        <v>25</v>
      </c>
      <c r="M503" s="70">
        <v>19</v>
      </c>
      <c r="N503" s="70">
        <v>6150</v>
      </c>
      <c r="O503" s="70">
        <v>15</v>
      </c>
      <c r="P503" s="71">
        <v>102</v>
      </c>
      <c r="Q503" s="71">
        <v>730</v>
      </c>
      <c r="R503" s="72">
        <v>0.99</v>
      </c>
      <c r="S503" s="71">
        <v>1125</v>
      </c>
      <c r="T503" s="71">
        <v>300</v>
      </c>
      <c r="U503" s="73">
        <v>4.0999999999999996</v>
      </c>
      <c r="V503" s="73">
        <v>0.4</v>
      </c>
      <c r="W503" s="72">
        <v>0.52</v>
      </c>
      <c r="X503" s="72">
        <v>0.68</v>
      </c>
      <c r="Y503" s="72">
        <v>0.46</v>
      </c>
      <c r="Z503" s="74">
        <v>0.26</v>
      </c>
      <c r="AA503" s="74">
        <v>0.11</v>
      </c>
      <c r="AB503" s="74">
        <v>3.7999999999999999E-2</v>
      </c>
      <c r="AC503" s="74">
        <v>0.28999999999999998</v>
      </c>
    </row>
    <row r="504" spans="2:29" x14ac:dyDescent="0.2">
      <c r="B504" s="66" t="s">
        <v>844</v>
      </c>
      <c r="C504" s="67" t="s">
        <v>264</v>
      </c>
      <c r="D504" s="68">
        <v>148</v>
      </c>
      <c r="F504" s="66" t="s">
        <v>865</v>
      </c>
      <c r="G504" s="67" t="s">
        <v>257</v>
      </c>
      <c r="H504" s="68">
        <v>74</v>
      </c>
      <c r="I504" s="70">
        <v>5</v>
      </c>
      <c r="J504" s="70">
        <v>-36</v>
      </c>
      <c r="K504" s="70">
        <v>-38</v>
      </c>
      <c r="L504" s="70">
        <v>23</v>
      </c>
      <c r="M504" s="70">
        <v>18</v>
      </c>
      <c r="N504" s="70">
        <v>9200</v>
      </c>
      <c r="O504" s="70">
        <v>5</v>
      </c>
      <c r="P504" s="71">
        <v>54</v>
      </c>
      <c r="Q504" s="71">
        <v>210</v>
      </c>
      <c r="R504" s="72">
        <v>0.87</v>
      </c>
      <c r="S504" s="71">
        <v>375</v>
      </c>
      <c r="T504" s="71">
        <v>240</v>
      </c>
      <c r="U504" s="73">
        <v>4.5</v>
      </c>
      <c r="V504" s="73">
        <v>0.2</v>
      </c>
      <c r="W504" s="72">
        <v>0.62</v>
      </c>
      <c r="X504" s="72">
        <v>0.91</v>
      </c>
      <c r="Y504" s="72">
        <v>0.22</v>
      </c>
      <c r="Z504" s="74">
        <v>8.7999999999999995E-2</v>
      </c>
      <c r="AA504" s="74">
        <v>4.1000000000000002E-2</v>
      </c>
      <c r="AB504" s="74">
        <v>1.0999999999999999E-2</v>
      </c>
      <c r="AC504" s="74">
        <v>0.15</v>
      </c>
    </row>
    <row r="505" spans="2:29" x14ac:dyDescent="0.2">
      <c r="B505" s="66" t="s">
        <v>845</v>
      </c>
      <c r="C505" s="67" t="s">
        <v>264</v>
      </c>
      <c r="D505" s="68">
        <v>149</v>
      </c>
      <c r="F505" s="66" t="s">
        <v>602</v>
      </c>
      <c r="G505" s="67" t="s">
        <v>224</v>
      </c>
      <c r="H505" s="68">
        <v>62</v>
      </c>
      <c r="I505" s="70">
        <v>10</v>
      </c>
      <c r="J505" s="70">
        <v>-9</v>
      </c>
      <c r="K505" s="70">
        <v>-11</v>
      </c>
      <c r="L505" s="70">
        <v>26</v>
      </c>
      <c r="M505" s="70">
        <v>18</v>
      </c>
      <c r="N505" s="70">
        <v>3200</v>
      </c>
      <c r="O505" s="70">
        <v>8</v>
      </c>
      <c r="P505" s="71">
        <v>80</v>
      </c>
      <c r="Q505" s="71">
        <v>1150</v>
      </c>
      <c r="R505" s="72">
        <v>1.27</v>
      </c>
      <c r="S505" s="71">
        <v>1200</v>
      </c>
      <c r="T505" s="71">
        <v>220</v>
      </c>
      <c r="U505" s="73">
        <v>1.9</v>
      </c>
      <c r="V505" s="73">
        <v>0.4</v>
      </c>
      <c r="W505" s="72">
        <v>0.42</v>
      </c>
      <c r="X505" s="72">
        <v>0.62</v>
      </c>
      <c r="Y505" s="72">
        <v>0.67</v>
      </c>
      <c r="Z505" s="74">
        <v>0.49</v>
      </c>
      <c r="AA505" s="74">
        <v>0.28999999999999998</v>
      </c>
      <c r="AB505" s="74">
        <v>0.16</v>
      </c>
      <c r="AC505" s="74">
        <v>0.31</v>
      </c>
    </row>
    <row r="506" spans="2:29" x14ac:dyDescent="0.2">
      <c r="B506" s="66" t="s">
        <v>847</v>
      </c>
      <c r="C506" s="67" t="s">
        <v>264</v>
      </c>
      <c r="D506" s="68">
        <v>150</v>
      </c>
      <c r="F506" s="66" t="s">
        <v>866</v>
      </c>
      <c r="G506" s="67" t="s">
        <v>264</v>
      </c>
      <c r="H506" s="68">
        <v>164</v>
      </c>
      <c r="I506" s="70">
        <v>90</v>
      </c>
      <c r="J506" s="70">
        <v>-23</v>
      </c>
      <c r="K506" s="70">
        <v>-25</v>
      </c>
      <c r="L506" s="70">
        <v>29</v>
      </c>
      <c r="M506" s="70">
        <v>23</v>
      </c>
      <c r="N506" s="70">
        <v>4250</v>
      </c>
      <c r="O506" s="70">
        <v>25</v>
      </c>
      <c r="P506" s="71">
        <v>103</v>
      </c>
      <c r="Q506" s="71">
        <v>770</v>
      </c>
      <c r="R506" s="72">
        <v>0.88</v>
      </c>
      <c r="S506" s="71">
        <v>975</v>
      </c>
      <c r="T506" s="71">
        <v>180</v>
      </c>
      <c r="U506" s="73">
        <v>2.2000000000000002</v>
      </c>
      <c r="V506" s="73">
        <v>0.4</v>
      </c>
      <c r="W506" s="72">
        <v>0.32</v>
      </c>
      <c r="X506" s="72">
        <v>0.44</v>
      </c>
      <c r="Y506" s="72">
        <v>0.44</v>
      </c>
      <c r="Z506" s="74">
        <v>0.23</v>
      </c>
      <c r="AA506" s="74">
        <v>0.12</v>
      </c>
      <c r="AB506" s="74">
        <v>3.3000000000000002E-2</v>
      </c>
      <c r="AC506" s="74">
        <v>0.27</v>
      </c>
    </row>
    <row r="507" spans="2:29" x14ac:dyDescent="0.2">
      <c r="B507" s="66" t="s">
        <v>848</v>
      </c>
      <c r="C507" s="67" t="s">
        <v>264</v>
      </c>
      <c r="D507" s="68">
        <v>151</v>
      </c>
      <c r="F507" s="66" t="s">
        <v>867</v>
      </c>
      <c r="G507" s="67" t="s">
        <v>278</v>
      </c>
      <c r="H507" s="68">
        <v>21</v>
      </c>
      <c r="I507" s="70">
        <v>435</v>
      </c>
      <c r="J507" s="70">
        <v>-37</v>
      </c>
      <c r="K507" s="70">
        <v>-41</v>
      </c>
      <c r="L507" s="70">
        <v>29</v>
      </c>
      <c r="M507" s="70">
        <v>21</v>
      </c>
      <c r="N507" s="70">
        <v>6450</v>
      </c>
      <c r="O507" s="70">
        <v>20</v>
      </c>
      <c r="P507" s="71">
        <v>86</v>
      </c>
      <c r="Q507" s="71">
        <v>320</v>
      </c>
      <c r="R507" s="72">
        <v>0.51</v>
      </c>
      <c r="S507" s="71">
        <v>410</v>
      </c>
      <c r="T507" s="71">
        <v>140</v>
      </c>
      <c r="U507" s="73">
        <v>1.9</v>
      </c>
      <c r="V507" s="73">
        <v>0.1</v>
      </c>
      <c r="W507" s="72">
        <v>0.26</v>
      </c>
      <c r="X507" s="72">
        <v>0.38</v>
      </c>
      <c r="Y507" s="72">
        <v>0.12</v>
      </c>
      <c r="Z507" s="74">
        <v>5.6000000000000001E-2</v>
      </c>
      <c r="AA507" s="74">
        <v>2.3E-2</v>
      </c>
      <c r="AB507" s="74">
        <v>6.0000000000000001E-3</v>
      </c>
      <c r="AC507" s="74">
        <v>5.8999999999999997E-2</v>
      </c>
    </row>
    <row r="508" spans="2:29" x14ac:dyDescent="0.2">
      <c r="B508" s="66" t="s">
        <v>849</v>
      </c>
      <c r="C508" s="67" t="s">
        <v>264</v>
      </c>
      <c r="D508" s="68">
        <v>152</v>
      </c>
      <c r="F508" s="66" t="s">
        <v>603</v>
      </c>
      <c r="G508" s="67" t="s">
        <v>224</v>
      </c>
      <c r="H508" s="68">
        <v>63</v>
      </c>
      <c r="I508" s="70">
        <v>580</v>
      </c>
      <c r="J508" s="70">
        <v>-33</v>
      </c>
      <c r="K508" s="70">
        <v>-36</v>
      </c>
      <c r="L508" s="70">
        <v>28</v>
      </c>
      <c r="M508" s="70">
        <v>18</v>
      </c>
      <c r="N508" s="70">
        <v>5250</v>
      </c>
      <c r="O508" s="70">
        <v>15</v>
      </c>
      <c r="P508" s="71">
        <v>54</v>
      </c>
      <c r="Q508" s="71">
        <v>425</v>
      </c>
      <c r="R508" s="72">
        <v>0.57999999999999996</v>
      </c>
      <c r="S508" s="71">
        <v>600</v>
      </c>
      <c r="T508" s="71">
        <v>80</v>
      </c>
      <c r="U508" s="73">
        <v>3.4</v>
      </c>
      <c r="V508" s="73">
        <v>0.2</v>
      </c>
      <c r="W508" s="72">
        <v>0.28000000000000003</v>
      </c>
      <c r="X508" s="72">
        <v>0.37</v>
      </c>
      <c r="Y508" s="72">
        <v>0.13</v>
      </c>
      <c r="Z508" s="74">
        <v>7.9000000000000001E-2</v>
      </c>
      <c r="AA508" s="74">
        <v>0.04</v>
      </c>
      <c r="AB508" s="74">
        <v>2.5999999999999999E-2</v>
      </c>
      <c r="AC508" s="74">
        <v>7.0000000000000007E-2</v>
      </c>
    </row>
    <row r="509" spans="2:29" x14ac:dyDescent="0.2">
      <c r="B509" s="66" t="s">
        <v>850</v>
      </c>
      <c r="C509" s="67" t="s">
        <v>264</v>
      </c>
      <c r="D509" s="68">
        <v>153</v>
      </c>
      <c r="F509" s="66" t="s">
        <v>605</v>
      </c>
      <c r="G509" s="67" t="s">
        <v>224</v>
      </c>
      <c r="H509" s="68">
        <v>64</v>
      </c>
      <c r="I509" s="70">
        <v>20</v>
      </c>
      <c r="J509" s="70">
        <v>-14</v>
      </c>
      <c r="K509" s="70">
        <v>-16</v>
      </c>
      <c r="L509" s="70">
        <v>19</v>
      </c>
      <c r="M509" s="70">
        <v>15</v>
      </c>
      <c r="N509" s="70">
        <v>4050</v>
      </c>
      <c r="O509" s="70">
        <v>13</v>
      </c>
      <c r="P509" s="71">
        <v>150</v>
      </c>
      <c r="Q509" s="71">
        <v>2750</v>
      </c>
      <c r="R509" s="72">
        <v>2.84</v>
      </c>
      <c r="S509" s="71">
        <v>2900</v>
      </c>
      <c r="T509" s="71">
        <v>240</v>
      </c>
      <c r="U509" s="73">
        <v>1.9</v>
      </c>
      <c r="V509" s="73">
        <v>0.4</v>
      </c>
      <c r="W509" s="72">
        <v>0.42</v>
      </c>
      <c r="X509" s="72">
        <v>0.54</v>
      </c>
      <c r="Y509" s="72">
        <v>0.38</v>
      </c>
      <c r="Z509" s="74">
        <v>0.25</v>
      </c>
      <c r="AA509" s="74">
        <v>0.15</v>
      </c>
      <c r="AB509" s="74">
        <v>8.5999999999999993E-2</v>
      </c>
      <c r="AC509" s="74">
        <v>0.18</v>
      </c>
    </row>
    <row r="510" spans="2:29" x14ac:dyDescent="0.2">
      <c r="B510" s="66" t="s">
        <v>851</v>
      </c>
      <c r="C510" s="67" t="s">
        <v>264</v>
      </c>
      <c r="D510" s="68">
        <v>154</v>
      </c>
      <c r="F510" s="66" t="s">
        <v>607</v>
      </c>
      <c r="G510" s="67" t="s">
        <v>224</v>
      </c>
      <c r="H510" s="68">
        <v>65</v>
      </c>
      <c r="I510" s="70">
        <v>655</v>
      </c>
      <c r="J510" s="70">
        <v>-27</v>
      </c>
      <c r="K510" s="70">
        <v>-30</v>
      </c>
      <c r="L510" s="70">
        <v>32</v>
      </c>
      <c r="M510" s="70">
        <v>20</v>
      </c>
      <c r="N510" s="70">
        <v>4450</v>
      </c>
      <c r="O510" s="70">
        <v>10</v>
      </c>
      <c r="P510" s="71">
        <v>43</v>
      </c>
      <c r="Q510" s="71">
        <v>235</v>
      </c>
      <c r="R510" s="72">
        <v>0.35</v>
      </c>
      <c r="S510" s="71">
        <v>350</v>
      </c>
      <c r="T510" s="71">
        <v>80</v>
      </c>
      <c r="U510" s="73">
        <v>2.9</v>
      </c>
      <c r="V510" s="73">
        <v>0.6</v>
      </c>
      <c r="W510" s="72">
        <v>0.24</v>
      </c>
      <c r="X510" s="72">
        <v>0.36</v>
      </c>
      <c r="Y510" s="72">
        <v>0.42</v>
      </c>
      <c r="Z510" s="74">
        <v>0.31</v>
      </c>
      <c r="AA510" s="74">
        <v>0.19</v>
      </c>
      <c r="AB510" s="74">
        <v>0.11</v>
      </c>
      <c r="AC510" s="74">
        <v>0.2</v>
      </c>
    </row>
    <row r="511" spans="2:29" x14ac:dyDescent="0.2">
      <c r="B511" s="66" t="s">
        <v>852</v>
      </c>
      <c r="C511" s="67" t="s">
        <v>264</v>
      </c>
      <c r="D511" s="68">
        <v>155</v>
      </c>
      <c r="F511" s="66" t="s">
        <v>607</v>
      </c>
      <c r="G511" s="67" t="s">
        <v>264</v>
      </c>
      <c r="H511" s="68">
        <v>165</v>
      </c>
      <c r="I511" s="70">
        <v>280</v>
      </c>
      <c r="J511" s="70">
        <v>-17</v>
      </c>
      <c r="K511" s="70">
        <v>-19</v>
      </c>
      <c r="L511" s="70">
        <v>29</v>
      </c>
      <c r="M511" s="70">
        <v>23</v>
      </c>
      <c r="N511" s="70">
        <v>4100</v>
      </c>
      <c r="O511" s="70">
        <v>25</v>
      </c>
      <c r="P511" s="71">
        <v>97</v>
      </c>
      <c r="Q511" s="71">
        <v>810</v>
      </c>
      <c r="R511" s="72">
        <v>0.92</v>
      </c>
      <c r="S511" s="71">
        <v>925</v>
      </c>
      <c r="T511" s="71">
        <v>160</v>
      </c>
      <c r="U511" s="73">
        <v>1.5</v>
      </c>
      <c r="V511" s="73">
        <v>0.4</v>
      </c>
      <c r="W511" s="72">
        <v>0.3</v>
      </c>
      <c r="X511" s="72">
        <v>0.41</v>
      </c>
      <c r="Y511" s="72">
        <v>0.2</v>
      </c>
      <c r="Z511" s="74">
        <v>9.9000000000000005E-2</v>
      </c>
      <c r="AA511" s="74">
        <v>0.05</v>
      </c>
      <c r="AB511" s="74">
        <v>1.2999999999999999E-2</v>
      </c>
      <c r="AC511" s="74">
        <v>0.12</v>
      </c>
    </row>
    <row r="512" spans="2:29" x14ac:dyDescent="0.2">
      <c r="B512" s="66" t="s">
        <v>855</v>
      </c>
      <c r="C512" s="67" t="s">
        <v>264</v>
      </c>
      <c r="D512" s="68">
        <v>156</v>
      </c>
      <c r="F512" s="66" t="s">
        <v>433</v>
      </c>
      <c r="G512" s="67" t="s">
        <v>247</v>
      </c>
      <c r="H512" s="68">
        <v>99</v>
      </c>
      <c r="I512" s="76">
        <v>668</v>
      </c>
      <c r="J512" s="70">
        <v>-33</v>
      </c>
      <c r="K512" s="70">
        <v>-36</v>
      </c>
      <c r="L512" s="70">
        <v>29</v>
      </c>
      <c r="M512" s="70">
        <v>20</v>
      </c>
      <c r="N512" s="76">
        <v>5900</v>
      </c>
      <c r="O512" s="76">
        <v>21</v>
      </c>
      <c r="P512" s="77">
        <v>80</v>
      </c>
      <c r="Q512" s="77">
        <v>330</v>
      </c>
      <c r="R512" s="72">
        <v>0.44</v>
      </c>
      <c r="S512" s="77">
        <v>415</v>
      </c>
      <c r="T512" s="77">
        <v>150</v>
      </c>
      <c r="U512" s="73">
        <v>1.9</v>
      </c>
      <c r="V512" s="73">
        <v>0.1</v>
      </c>
      <c r="W512" s="72">
        <v>0.28999999999999998</v>
      </c>
      <c r="X512" s="72">
        <v>0.43</v>
      </c>
      <c r="Y512" s="72">
        <v>0.12</v>
      </c>
      <c r="Z512" s="74">
        <v>0.06</v>
      </c>
      <c r="AA512" s="74">
        <v>0.02</v>
      </c>
      <c r="AB512" s="74">
        <v>0.01</v>
      </c>
      <c r="AC512" s="74">
        <v>0.06</v>
      </c>
    </row>
    <row r="513" spans="2:29" x14ac:dyDescent="0.2">
      <c r="B513" s="66" t="s">
        <v>857</v>
      </c>
      <c r="C513" s="67" t="s">
        <v>264</v>
      </c>
      <c r="D513" s="68">
        <v>157</v>
      </c>
      <c r="F513" s="66" t="s">
        <v>609</v>
      </c>
      <c r="G513" s="67" t="s">
        <v>224</v>
      </c>
      <c r="H513" s="68">
        <v>66</v>
      </c>
      <c r="I513" s="70">
        <v>10</v>
      </c>
      <c r="J513" s="70">
        <v>-7</v>
      </c>
      <c r="K513" s="70">
        <v>-9</v>
      </c>
      <c r="L513" s="70">
        <v>27</v>
      </c>
      <c r="M513" s="70">
        <v>18</v>
      </c>
      <c r="N513" s="70">
        <v>3200</v>
      </c>
      <c r="O513" s="70">
        <v>10</v>
      </c>
      <c r="P513" s="71">
        <v>96</v>
      </c>
      <c r="Q513" s="71">
        <v>1200</v>
      </c>
      <c r="R513" s="72">
        <v>1.31</v>
      </c>
      <c r="S513" s="71">
        <v>1250</v>
      </c>
      <c r="T513" s="71">
        <v>200</v>
      </c>
      <c r="U513" s="73">
        <v>2.2000000000000002</v>
      </c>
      <c r="V513" s="73">
        <v>0.4</v>
      </c>
      <c r="W513" s="72">
        <v>0.46</v>
      </c>
      <c r="X513" s="72">
        <v>0.64</v>
      </c>
      <c r="Y513" s="72">
        <v>0.82</v>
      </c>
      <c r="Z513" s="74">
        <v>0.57999999999999996</v>
      </c>
      <c r="AA513" s="74">
        <v>0.32</v>
      </c>
      <c r="AB513" s="74">
        <v>0.17</v>
      </c>
      <c r="AC513" s="74">
        <v>0.39</v>
      </c>
    </row>
    <row r="514" spans="2:29" x14ac:dyDescent="0.2">
      <c r="B514" s="66" t="s">
        <v>858</v>
      </c>
      <c r="C514" s="67" t="s">
        <v>264</v>
      </c>
      <c r="D514" s="68">
        <v>158</v>
      </c>
      <c r="F514" s="66" t="s">
        <v>868</v>
      </c>
      <c r="G514" s="67" t="s">
        <v>278</v>
      </c>
      <c r="H514" s="68">
        <v>22</v>
      </c>
      <c r="I514" s="70">
        <v>645</v>
      </c>
      <c r="J514" s="70">
        <v>-34</v>
      </c>
      <c r="K514" s="70">
        <v>-36</v>
      </c>
      <c r="L514" s="70">
        <v>30</v>
      </c>
      <c r="M514" s="70">
        <v>21</v>
      </c>
      <c r="N514" s="70">
        <v>5800</v>
      </c>
      <c r="O514" s="70">
        <v>25</v>
      </c>
      <c r="P514" s="71">
        <v>103</v>
      </c>
      <c r="Q514" s="71">
        <v>340</v>
      </c>
      <c r="R514" s="72">
        <v>0.45</v>
      </c>
      <c r="S514" s="71">
        <v>430</v>
      </c>
      <c r="T514" s="71">
        <v>160</v>
      </c>
      <c r="U514" s="73">
        <v>1.7</v>
      </c>
      <c r="V514" s="73">
        <v>0.1</v>
      </c>
      <c r="W514" s="72">
        <v>0.34</v>
      </c>
      <c r="X514" s="72">
        <v>0.42</v>
      </c>
      <c r="Y514" s="72">
        <v>0.12</v>
      </c>
      <c r="Z514" s="74">
        <v>5.6000000000000001E-2</v>
      </c>
      <c r="AA514" s="74">
        <v>2.3E-2</v>
      </c>
      <c r="AB514" s="74">
        <v>6.0000000000000001E-3</v>
      </c>
      <c r="AC514" s="74">
        <v>5.8999999999999997E-2</v>
      </c>
    </row>
    <row r="515" spans="2:29" x14ac:dyDescent="0.2">
      <c r="B515" s="66" t="s">
        <v>859</v>
      </c>
      <c r="C515" s="67" t="s">
        <v>264</v>
      </c>
      <c r="D515" s="68">
        <v>159</v>
      </c>
      <c r="F515" s="66" t="s">
        <v>869</v>
      </c>
      <c r="G515" s="67" t="s">
        <v>257</v>
      </c>
      <c r="H515" s="68">
        <v>75</v>
      </c>
      <c r="I515" s="70">
        <v>120</v>
      </c>
      <c r="J515" s="70">
        <v>-25</v>
      </c>
      <c r="K515" s="70">
        <v>-28</v>
      </c>
      <c r="L515" s="70">
        <v>28</v>
      </c>
      <c r="M515" s="70">
        <v>22</v>
      </c>
      <c r="N515" s="70">
        <v>5200</v>
      </c>
      <c r="O515" s="70">
        <v>20</v>
      </c>
      <c r="P515" s="71">
        <v>107</v>
      </c>
      <c r="Q515" s="71">
        <v>925</v>
      </c>
      <c r="R515" s="72">
        <v>1.04</v>
      </c>
      <c r="S515" s="71">
        <v>1210</v>
      </c>
      <c r="T515" s="71">
        <v>200</v>
      </c>
      <c r="U515" s="73">
        <v>3.6</v>
      </c>
      <c r="V515" s="73">
        <v>0.6</v>
      </c>
      <c r="W515" s="72">
        <v>0.38</v>
      </c>
      <c r="X515" s="72">
        <v>0.53</v>
      </c>
      <c r="Y515" s="72">
        <v>0.59</v>
      </c>
      <c r="Z515" s="74">
        <v>0.3</v>
      </c>
      <c r="AA515" s="74">
        <v>0.14000000000000001</v>
      </c>
      <c r="AB515" s="74">
        <v>4.8000000000000001E-2</v>
      </c>
      <c r="AC515" s="74">
        <v>0.37</v>
      </c>
    </row>
    <row r="516" spans="2:29" x14ac:dyDescent="0.2">
      <c r="B516" s="66" t="s">
        <v>860</v>
      </c>
      <c r="C516" s="67" t="s">
        <v>264</v>
      </c>
      <c r="D516" s="68">
        <v>160</v>
      </c>
      <c r="F516" s="66" t="s">
        <v>223</v>
      </c>
      <c r="G516" s="67" t="s">
        <v>224</v>
      </c>
      <c r="H516" s="68">
        <v>67</v>
      </c>
      <c r="I516" s="70">
        <v>475</v>
      </c>
      <c r="J516" s="70">
        <v>-33</v>
      </c>
      <c r="K516" s="70">
        <v>-35</v>
      </c>
      <c r="L516" s="70">
        <v>30</v>
      </c>
      <c r="M516" s="70">
        <v>17</v>
      </c>
      <c r="N516" s="70">
        <v>4850</v>
      </c>
      <c r="O516" s="70">
        <v>10</v>
      </c>
      <c r="P516" s="71">
        <v>54</v>
      </c>
      <c r="Q516" s="71">
        <v>380</v>
      </c>
      <c r="R516" s="72">
        <v>0.51</v>
      </c>
      <c r="S516" s="71">
        <v>525</v>
      </c>
      <c r="T516" s="71">
        <v>80</v>
      </c>
      <c r="U516" s="73">
        <v>3</v>
      </c>
      <c r="V516" s="73">
        <v>0.1</v>
      </c>
      <c r="W516" s="72">
        <v>0.25</v>
      </c>
      <c r="X516" s="72">
        <v>0.31</v>
      </c>
      <c r="Y516" s="72">
        <v>0.27</v>
      </c>
      <c r="Z516" s="74">
        <v>0.16</v>
      </c>
      <c r="AA516" s="74">
        <v>7.4999999999999997E-2</v>
      </c>
      <c r="AB516" s="74">
        <v>4.1000000000000002E-2</v>
      </c>
      <c r="AC516" s="74">
        <v>0.13</v>
      </c>
    </row>
    <row r="517" spans="2:29" x14ac:dyDescent="0.2">
      <c r="B517" s="66" t="s">
        <v>861</v>
      </c>
      <c r="C517" s="67" t="s">
        <v>264</v>
      </c>
      <c r="D517" s="68">
        <v>161</v>
      </c>
      <c r="F517" s="66" t="s">
        <v>758</v>
      </c>
      <c r="G517" s="67" t="s">
        <v>265</v>
      </c>
      <c r="H517" s="68">
        <v>13</v>
      </c>
      <c r="I517" s="70">
        <v>160</v>
      </c>
      <c r="J517" s="70">
        <v>-44</v>
      </c>
      <c r="K517" s="70">
        <v>-46</v>
      </c>
      <c r="L517" s="70">
        <v>24</v>
      </c>
      <c r="M517" s="70">
        <v>17</v>
      </c>
      <c r="N517" s="70">
        <v>8400</v>
      </c>
      <c r="O517" s="70">
        <v>5</v>
      </c>
      <c r="P517" s="71">
        <v>60</v>
      </c>
      <c r="Q517" s="71">
        <v>175</v>
      </c>
      <c r="R517" s="72">
        <v>0.59</v>
      </c>
      <c r="S517" s="71">
        <v>275</v>
      </c>
      <c r="T517" s="71">
        <v>80</v>
      </c>
      <c r="U517" s="73">
        <v>2.2999999999999998</v>
      </c>
      <c r="V517" s="73">
        <v>0.1</v>
      </c>
      <c r="W517" s="72">
        <v>0.34</v>
      </c>
      <c r="X517" s="72">
        <v>0.47</v>
      </c>
      <c r="Y517" s="72">
        <v>0.12</v>
      </c>
      <c r="Z517" s="74">
        <v>5.6000000000000001E-2</v>
      </c>
      <c r="AA517" s="74">
        <v>2.3E-2</v>
      </c>
      <c r="AB517" s="74">
        <v>8.0000000000000002E-3</v>
      </c>
      <c r="AC517" s="74">
        <v>5.8999999999999997E-2</v>
      </c>
    </row>
    <row r="518" spans="2:29" x14ac:dyDescent="0.2">
      <c r="B518" s="66" t="s">
        <v>862</v>
      </c>
      <c r="C518" s="67" t="s">
        <v>264</v>
      </c>
      <c r="D518" s="68">
        <v>162</v>
      </c>
      <c r="F518" s="66" t="s">
        <v>435</v>
      </c>
      <c r="G518" s="67" t="s">
        <v>247</v>
      </c>
      <c r="H518" s="68">
        <v>100</v>
      </c>
      <c r="I518" s="76">
        <v>534</v>
      </c>
      <c r="J518" s="70">
        <v>-46</v>
      </c>
      <c r="K518" s="70">
        <v>-47</v>
      </c>
      <c r="L518" s="70">
        <v>26</v>
      </c>
      <c r="M518" s="70">
        <v>18</v>
      </c>
      <c r="N518" s="76">
        <v>7200</v>
      </c>
      <c r="O518" s="76">
        <v>16</v>
      </c>
      <c r="P518" s="77">
        <v>75</v>
      </c>
      <c r="Q518" s="77">
        <v>270</v>
      </c>
      <c r="R518" s="72">
        <v>0.54</v>
      </c>
      <c r="S518" s="77">
        <v>450</v>
      </c>
      <c r="T518" s="77">
        <v>60</v>
      </c>
      <c r="U518" s="73">
        <v>2.8</v>
      </c>
      <c r="V518" s="73">
        <v>0.1</v>
      </c>
      <c r="W518" s="72">
        <v>0.22</v>
      </c>
      <c r="X518" s="72">
        <v>0.28999999999999998</v>
      </c>
      <c r="Y518" s="72">
        <v>0.12</v>
      </c>
      <c r="Z518" s="74">
        <v>0.06</v>
      </c>
      <c r="AA518" s="74">
        <v>0.02</v>
      </c>
      <c r="AB518" s="74">
        <v>0.01</v>
      </c>
      <c r="AC518" s="74">
        <v>0.06</v>
      </c>
    </row>
    <row r="519" spans="2:29" x14ac:dyDescent="0.2">
      <c r="B519" s="66" t="s">
        <v>863</v>
      </c>
      <c r="C519" s="67" t="s">
        <v>264</v>
      </c>
      <c r="D519" s="68">
        <v>163</v>
      </c>
      <c r="F519" s="66" t="s">
        <v>870</v>
      </c>
      <c r="G519" s="67" t="s">
        <v>264</v>
      </c>
      <c r="H519" s="68">
        <v>166</v>
      </c>
      <c r="I519" s="70">
        <v>475</v>
      </c>
      <c r="J519" s="70">
        <v>-35</v>
      </c>
      <c r="K519" s="70">
        <v>-37</v>
      </c>
      <c r="L519" s="70">
        <v>28</v>
      </c>
      <c r="M519" s="70">
        <v>22</v>
      </c>
      <c r="N519" s="70">
        <v>6150</v>
      </c>
      <c r="O519" s="70">
        <v>20</v>
      </c>
      <c r="P519" s="71">
        <v>97</v>
      </c>
      <c r="Q519" s="71">
        <v>570</v>
      </c>
      <c r="R519" s="72">
        <v>0.75</v>
      </c>
      <c r="S519" s="71">
        <v>750</v>
      </c>
      <c r="T519" s="71">
        <v>120</v>
      </c>
      <c r="U519" s="73">
        <v>2.7</v>
      </c>
      <c r="V519" s="73">
        <v>0.4</v>
      </c>
      <c r="W519" s="72">
        <v>0.21</v>
      </c>
      <c r="X519" s="72">
        <v>0.27</v>
      </c>
      <c r="Y519" s="72">
        <v>0.12</v>
      </c>
      <c r="Z519" s="74">
        <v>5.6000000000000001E-2</v>
      </c>
      <c r="AA519" s="74">
        <v>2.3E-2</v>
      </c>
      <c r="AB519" s="74">
        <v>6.0000000000000001E-3</v>
      </c>
      <c r="AC519" s="74">
        <v>5.8999999999999997E-2</v>
      </c>
    </row>
    <row r="520" spans="2:29" x14ac:dyDescent="0.2">
      <c r="B520" s="66" t="s">
        <v>866</v>
      </c>
      <c r="C520" s="67" t="s">
        <v>264</v>
      </c>
      <c r="D520" s="68">
        <v>164</v>
      </c>
      <c r="F520" s="66" t="s">
        <v>437</v>
      </c>
      <c r="G520" s="67" t="s">
        <v>247</v>
      </c>
      <c r="H520" s="68">
        <v>101</v>
      </c>
      <c r="I520" s="76">
        <v>670</v>
      </c>
      <c r="J520" s="70">
        <v>-34</v>
      </c>
      <c r="K520" s="70">
        <v>-37</v>
      </c>
      <c r="L520" s="70">
        <v>29</v>
      </c>
      <c r="M520" s="70">
        <v>19</v>
      </c>
      <c r="N520" s="76">
        <v>5950</v>
      </c>
      <c r="O520" s="76">
        <v>18</v>
      </c>
      <c r="P520" s="77">
        <v>92</v>
      </c>
      <c r="Q520" s="77">
        <v>325</v>
      </c>
      <c r="R520" s="72">
        <v>0.5</v>
      </c>
      <c r="S520" s="77">
        <v>420</v>
      </c>
      <c r="T520" s="77">
        <v>100</v>
      </c>
      <c r="U520" s="73">
        <v>1.9</v>
      </c>
      <c r="V520" s="73">
        <v>0.1</v>
      </c>
      <c r="W520" s="72">
        <v>0.23</v>
      </c>
      <c r="X520" s="72">
        <v>0.32</v>
      </c>
      <c r="Y520" s="72">
        <v>0.12</v>
      </c>
      <c r="Z520" s="74">
        <v>5.6000000000000001E-2</v>
      </c>
      <c r="AA520" s="74">
        <v>2.3E-2</v>
      </c>
      <c r="AB520" s="74">
        <v>6.0000000000000001E-3</v>
      </c>
      <c r="AC520" s="74">
        <v>5.8999999999999997E-2</v>
      </c>
    </row>
    <row r="521" spans="2:29" x14ac:dyDescent="0.2">
      <c r="B521" s="66" t="s">
        <v>607</v>
      </c>
      <c r="C521" s="67" t="s">
        <v>264</v>
      </c>
      <c r="D521" s="68">
        <v>165</v>
      </c>
      <c r="F521" s="66" t="s">
        <v>772</v>
      </c>
      <c r="G521" s="67" t="s">
        <v>267</v>
      </c>
      <c r="H521" s="68">
        <v>14</v>
      </c>
      <c r="I521" s="70">
        <v>10</v>
      </c>
      <c r="J521" s="70">
        <v>-40</v>
      </c>
      <c r="K521" s="70">
        <v>-41</v>
      </c>
      <c r="L521" s="70">
        <v>20</v>
      </c>
      <c r="M521" s="70">
        <v>15</v>
      </c>
      <c r="N521" s="70">
        <v>10600</v>
      </c>
      <c r="O521" s="70">
        <v>5</v>
      </c>
      <c r="P521" s="71">
        <v>65</v>
      </c>
      <c r="Q521" s="71">
        <v>180</v>
      </c>
      <c r="R521" s="72">
        <v>0.87</v>
      </c>
      <c r="S521" s="71">
        <v>250</v>
      </c>
      <c r="T521" s="71">
        <v>240</v>
      </c>
      <c r="U521" s="73">
        <v>3</v>
      </c>
      <c r="V521" s="73">
        <v>0.2</v>
      </c>
      <c r="W521" s="72">
        <v>0.46</v>
      </c>
      <c r="X521" s="72">
        <v>0.6</v>
      </c>
      <c r="Y521" s="72">
        <v>0.12</v>
      </c>
      <c r="Z521" s="74">
        <v>5.6000000000000001E-2</v>
      </c>
      <c r="AA521" s="74">
        <v>2.5999999999999999E-2</v>
      </c>
      <c r="AB521" s="74">
        <v>6.0000000000000001E-3</v>
      </c>
      <c r="AC521" s="74">
        <v>5.8999999999999997E-2</v>
      </c>
    </row>
    <row r="522" spans="2:29" x14ac:dyDescent="0.2">
      <c r="B522" s="66" t="s">
        <v>870</v>
      </c>
      <c r="C522" s="67" t="s">
        <v>264</v>
      </c>
      <c r="D522" s="68">
        <v>166</v>
      </c>
      <c r="F522" s="66" t="s">
        <v>438</v>
      </c>
      <c r="G522" s="67" t="s">
        <v>247</v>
      </c>
      <c r="H522" s="68">
        <v>102</v>
      </c>
      <c r="I522" s="76">
        <v>960</v>
      </c>
      <c r="J522" s="70">
        <v>-31</v>
      </c>
      <c r="K522" s="70">
        <v>-35</v>
      </c>
      <c r="L522" s="70">
        <v>31</v>
      </c>
      <c r="M522" s="70">
        <v>19</v>
      </c>
      <c r="N522" s="76">
        <v>4750</v>
      </c>
      <c r="O522" s="76">
        <v>17</v>
      </c>
      <c r="P522" s="77">
        <v>75</v>
      </c>
      <c r="Q522" s="77">
        <v>250</v>
      </c>
      <c r="R522" s="72">
        <v>0.26</v>
      </c>
      <c r="S522" s="77">
        <v>420</v>
      </c>
      <c r="T522" s="77">
        <v>170</v>
      </c>
      <c r="U522" s="73">
        <v>1.4</v>
      </c>
      <c r="V522" s="73">
        <v>0.1</v>
      </c>
      <c r="W522" s="72">
        <v>0.66</v>
      </c>
      <c r="X522" s="72">
        <v>0.88</v>
      </c>
      <c r="Y522" s="72">
        <v>0.15</v>
      </c>
      <c r="Z522" s="74">
        <v>0.09</v>
      </c>
      <c r="AA522" s="74">
        <v>0.05</v>
      </c>
      <c r="AB522" s="74">
        <v>0.03</v>
      </c>
      <c r="AC522" s="74">
        <v>0.09</v>
      </c>
    </row>
    <row r="523" spans="2:29" x14ac:dyDescent="0.2">
      <c r="B523" s="66" t="s">
        <v>871</v>
      </c>
      <c r="C523" s="67" t="s">
        <v>264</v>
      </c>
      <c r="D523" s="68">
        <v>167</v>
      </c>
      <c r="F523" s="66" t="s">
        <v>871</v>
      </c>
      <c r="G523" s="67" t="s">
        <v>264</v>
      </c>
      <c r="H523" s="68">
        <v>167</v>
      </c>
      <c r="I523" s="70">
        <v>270</v>
      </c>
      <c r="J523" s="70">
        <v>-28</v>
      </c>
      <c r="K523" s="70">
        <v>-30</v>
      </c>
      <c r="L523" s="70">
        <v>29</v>
      </c>
      <c r="M523" s="70">
        <v>21</v>
      </c>
      <c r="N523" s="70">
        <v>5400</v>
      </c>
      <c r="O523" s="70">
        <v>25</v>
      </c>
      <c r="P523" s="71">
        <v>92</v>
      </c>
      <c r="Q523" s="71">
        <v>650</v>
      </c>
      <c r="R523" s="72">
        <v>0.8</v>
      </c>
      <c r="S523" s="71">
        <v>850</v>
      </c>
      <c r="T523" s="71">
        <v>180</v>
      </c>
      <c r="U523" s="73">
        <v>2.5</v>
      </c>
      <c r="V523" s="73">
        <v>0.4</v>
      </c>
      <c r="W523" s="72">
        <v>0.28999999999999998</v>
      </c>
      <c r="X523" s="72">
        <v>0.45</v>
      </c>
      <c r="Y523" s="72">
        <v>0.14000000000000001</v>
      </c>
      <c r="Z523" s="74">
        <v>8.6999999999999994E-2</v>
      </c>
      <c r="AA523" s="74">
        <v>4.2999999999999997E-2</v>
      </c>
      <c r="AB523" s="74">
        <v>1.2999999999999999E-2</v>
      </c>
      <c r="AC523" s="74">
        <v>7.0000000000000007E-2</v>
      </c>
    </row>
    <row r="524" spans="2:29" x14ac:dyDescent="0.2">
      <c r="B524" s="66" t="s">
        <v>872</v>
      </c>
      <c r="C524" s="67" t="s">
        <v>264</v>
      </c>
      <c r="D524" s="68">
        <v>168</v>
      </c>
      <c r="F524" s="66" t="s">
        <v>440</v>
      </c>
      <c r="G524" s="67" t="s">
        <v>247</v>
      </c>
      <c r="H524" s="68">
        <v>103</v>
      </c>
      <c r="I524" s="76">
        <v>855</v>
      </c>
      <c r="J524" s="70">
        <v>-32</v>
      </c>
      <c r="K524" s="70">
        <v>-35</v>
      </c>
      <c r="L524" s="70">
        <v>29</v>
      </c>
      <c r="M524" s="70">
        <v>18</v>
      </c>
      <c r="N524" s="76">
        <v>5750</v>
      </c>
      <c r="O524" s="76">
        <v>23</v>
      </c>
      <c r="P524" s="77">
        <v>97</v>
      </c>
      <c r="Q524" s="77">
        <v>375</v>
      </c>
      <c r="R524" s="72">
        <v>0.54</v>
      </c>
      <c r="S524" s="77">
        <v>475</v>
      </c>
      <c r="T524" s="77">
        <v>200</v>
      </c>
      <c r="U524" s="73">
        <v>2</v>
      </c>
      <c r="V524" s="73">
        <v>0.1</v>
      </c>
      <c r="W524" s="72">
        <v>0.31</v>
      </c>
      <c r="X524" s="72">
        <v>0.4</v>
      </c>
      <c r="Y524" s="72">
        <v>0.12</v>
      </c>
      <c r="Z524" s="74">
        <v>5.6000000000000001E-2</v>
      </c>
      <c r="AA524" s="74">
        <v>2.3E-2</v>
      </c>
      <c r="AB524" s="74">
        <v>1.4E-2</v>
      </c>
      <c r="AC524" s="74">
        <v>5.8999999999999997E-2</v>
      </c>
    </row>
    <row r="525" spans="2:29" x14ac:dyDescent="0.2">
      <c r="B525" s="66" t="s">
        <v>873</v>
      </c>
      <c r="C525" s="67" t="s">
        <v>264</v>
      </c>
      <c r="D525" s="68">
        <v>169</v>
      </c>
      <c r="F525" s="66" t="s">
        <v>872</v>
      </c>
      <c r="G525" s="67" t="s">
        <v>264</v>
      </c>
      <c r="H525" s="68">
        <v>168</v>
      </c>
      <c r="I525" s="70">
        <v>360</v>
      </c>
      <c r="J525" s="70">
        <v>-34</v>
      </c>
      <c r="K525" s="70">
        <v>-36</v>
      </c>
      <c r="L525" s="70">
        <v>28</v>
      </c>
      <c r="M525" s="70">
        <v>22</v>
      </c>
      <c r="N525" s="70">
        <v>6350</v>
      </c>
      <c r="O525" s="70">
        <v>18</v>
      </c>
      <c r="P525" s="71">
        <v>86</v>
      </c>
      <c r="Q525" s="71">
        <v>470</v>
      </c>
      <c r="R525" s="72">
        <v>0.69</v>
      </c>
      <c r="S525" s="71">
        <v>630</v>
      </c>
      <c r="T525" s="71">
        <v>120</v>
      </c>
      <c r="U525" s="73">
        <v>2.4</v>
      </c>
      <c r="V525" s="73">
        <v>0.3</v>
      </c>
      <c r="W525" s="72">
        <v>0.22</v>
      </c>
      <c r="X525" s="72">
        <v>0.28000000000000003</v>
      </c>
      <c r="Y525" s="72">
        <v>0.12</v>
      </c>
      <c r="Z525" s="74">
        <v>5.6000000000000001E-2</v>
      </c>
      <c r="AA525" s="74">
        <v>2.3E-2</v>
      </c>
      <c r="AB525" s="74">
        <v>6.0000000000000001E-3</v>
      </c>
      <c r="AC525" s="74">
        <v>5.8999999999999997E-2</v>
      </c>
    </row>
    <row r="526" spans="2:29" x14ac:dyDescent="0.2">
      <c r="B526" s="66" t="s">
        <v>874</v>
      </c>
      <c r="C526" s="67" t="s">
        <v>264</v>
      </c>
      <c r="D526" s="68">
        <v>170</v>
      </c>
      <c r="F526" s="66" t="s">
        <v>442</v>
      </c>
      <c r="G526" s="67" t="s">
        <v>247</v>
      </c>
      <c r="H526" s="68">
        <v>104</v>
      </c>
      <c r="I526" s="76">
        <v>745</v>
      </c>
      <c r="J526" s="70">
        <v>-32</v>
      </c>
      <c r="K526" s="70">
        <v>-36</v>
      </c>
      <c r="L526" s="70">
        <v>32</v>
      </c>
      <c r="M526" s="70">
        <v>20</v>
      </c>
      <c r="N526" s="76">
        <v>4800</v>
      </c>
      <c r="O526" s="76">
        <v>17</v>
      </c>
      <c r="P526" s="77">
        <v>85</v>
      </c>
      <c r="Q526" s="77">
        <v>210</v>
      </c>
      <c r="R526" s="72">
        <v>0.21</v>
      </c>
      <c r="S526" s="77">
        <v>325</v>
      </c>
      <c r="T526" s="77">
        <v>220</v>
      </c>
      <c r="U526" s="73">
        <v>1.3</v>
      </c>
      <c r="V526" s="73">
        <v>0.1</v>
      </c>
      <c r="W526" s="72">
        <v>0.39</v>
      </c>
      <c r="X526" s="72">
        <v>0.53</v>
      </c>
      <c r="Y526" s="72">
        <v>0.12</v>
      </c>
      <c r="Z526" s="74">
        <v>0.06</v>
      </c>
      <c r="AA526" s="74">
        <v>0.02</v>
      </c>
      <c r="AB526" s="74">
        <v>0.01</v>
      </c>
      <c r="AC526" s="74">
        <v>0.06</v>
      </c>
    </row>
    <row r="527" spans="2:29" x14ac:dyDescent="0.2">
      <c r="B527" s="66" t="s">
        <v>875</v>
      </c>
      <c r="C527" s="67" t="s">
        <v>264</v>
      </c>
      <c r="D527" s="68">
        <v>171</v>
      </c>
      <c r="F527" s="66" t="s">
        <v>443</v>
      </c>
      <c r="G527" s="67" t="s">
        <v>247</v>
      </c>
      <c r="H527" s="68">
        <v>105</v>
      </c>
      <c r="I527" s="76">
        <v>625</v>
      </c>
      <c r="J527" s="70">
        <v>-37</v>
      </c>
      <c r="K527" s="70">
        <v>-40</v>
      </c>
      <c r="L527" s="70">
        <v>27</v>
      </c>
      <c r="M527" s="70">
        <v>19</v>
      </c>
      <c r="N527" s="76">
        <v>5900</v>
      </c>
      <c r="O527" s="76">
        <v>19</v>
      </c>
      <c r="P527" s="77">
        <v>80</v>
      </c>
      <c r="Q527" s="77">
        <v>350</v>
      </c>
      <c r="R527" s="72">
        <v>0.52</v>
      </c>
      <c r="S527" s="77">
        <v>470</v>
      </c>
      <c r="T527" s="77">
        <v>120</v>
      </c>
      <c r="U527" s="73">
        <v>1.8</v>
      </c>
      <c r="V527" s="73">
        <v>0.1</v>
      </c>
      <c r="W527" s="72">
        <v>0.32</v>
      </c>
      <c r="X527" s="72">
        <v>0.43</v>
      </c>
      <c r="Y527" s="72">
        <v>0.12</v>
      </c>
      <c r="Z527" s="74">
        <v>0.06</v>
      </c>
      <c r="AA527" s="74">
        <v>0.02</v>
      </c>
      <c r="AB527" s="74">
        <v>0.01</v>
      </c>
      <c r="AC527" s="74">
        <v>0.06</v>
      </c>
    </row>
    <row r="528" spans="2:29" x14ac:dyDescent="0.2">
      <c r="B528" s="66" t="s">
        <v>876</v>
      </c>
      <c r="C528" s="67" t="s">
        <v>264</v>
      </c>
      <c r="D528" s="68">
        <v>172</v>
      </c>
      <c r="F528" s="66" t="s">
        <v>877</v>
      </c>
      <c r="G528" s="67" t="s">
        <v>278</v>
      </c>
      <c r="H528" s="68">
        <v>23</v>
      </c>
      <c r="I528" s="70">
        <v>575</v>
      </c>
      <c r="J528" s="70">
        <v>-34</v>
      </c>
      <c r="K528" s="70">
        <v>-36</v>
      </c>
      <c r="L528" s="70">
        <v>31</v>
      </c>
      <c r="M528" s="70">
        <v>21</v>
      </c>
      <c r="N528" s="70">
        <v>5750</v>
      </c>
      <c r="O528" s="70">
        <v>28</v>
      </c>
      <c r="P528" s="71">
        <v>103</v>
      </c>
      <c r="Q528" s="71">
        <v>300</v>
      </c>
      <c r="R528" s="72">
        <v>0.39</v>
      </c>
      <c r="S528" s="71">
        <v>365</v>
      </c>
      <c r="T528" s="71">
        <v>200</v>
      </c>
      <c r="U528" s="73">
        <v>1.4</v>
      </c>
      <c r="V528" s="73">
        <v>0.1</v>
      </c>
      <c r="W528" s="72">
        <v>0.34</v>
      </c>
      <c r="X528" s="72">
        <v>0.42</v>
      </c>
      <c r="Y528" s="72">
        <v>0.12</v>
      </c>
      <c r="Z528" s="74">
        <v>5.6000000000000001E-2</v>
      </c>
      <c r="AA528" s="74">
        <v>2.3E-2</v>
      </c>
      <c r="AB528" s="74">
        <v>6.0000000000000001E-3</v>
      </c>
      <c r="AC528" s="74">
        <v>6.3E-2</v>
      </c>
    </row>
    <row r="529" spans="2:29" x14ac:dyDescent="0.2">
      <c r="B529" s="66" t="s">
        <v>878</v>
      </c>
      <c r="C529" s="67" t="s">
        <v>264</v>
      </c>
      <c r="D529" s="68">
        <v>173</v>
      </c>
      <c r="F529" s="66" t="s">
        <v>873</v>
      </c>
      <c r="G529" s="67" t="s">
        <v>264</v>
      </c>
      <c r="H529" s="68">
        <v>169</v>
      </c>
      <c r="I529" s="70">
        <v>115</v>
      </c>
      <c r="J529" s="70">
        <v>-27</v>
      </c>
      <c r="K529" s="70">
        <v>-30</v>
      </c>
      <c r="L529" s="70">
        <v>30</v>
      </c>
      <c r="M529" s="70">
        <v>23</v>
      </c>
      <c r="N529" s="70">
        <v>4900</v>
      </c>
      <c r="O529" s="70">
        <v>23</v>
      </c>
      <c r="P529" s="71">
        <v>103</v>
      </c>
      <c r="Q529" s="71">
        <v>620</v>
      </c>
      <c r="R529" s="72">
        <v>0.75</v>
      </c>
      <c r="S529" s="71">
        <v>810</v>
      </c>
      <c r="T529" s="71">
        <v>140</v>
      </c>
      <c r="U529" s="73">
        <v>2.5</v>
      </c>
      <c r="V529" s="73">
        <v>0.4</v>
      </c>
      <c r="W529" s="72">
        <v>0.26</v>
      </c>
      <c r="X529" s="72">
        <v>0.35</v>
      </c>
      <c r="Y529" s="72">
        <v>0.63</v>
      </c>
      <c r="Z529" s="74">
        <v>0.3</v>
      </c>
      <c r="AA529" s="74">
        <v>0.12</v>
      </c>
      <c r="AB529" s="74">
        <v>4.1000000000000002E-2</v>
      </c>
      <c r="AC529" s="74">
        <v>0.39</v>
      </c>
    </row>
    <row r="530" spans="2:29" x14ac:dyDescent="0.2">
      <c r="B530" s="66" t="s">
        <v>879</v>
      </c>
      <c r="C530" s="67" t="s">
        <v>264</v>
      </c>
      <c r="D530" s="68">
        <v>174</v>
      </c>
      <c r="F530" s="66" t="s">
        <v>773</v>
      </c>
      <c r="G530" s="67" t="s">
        <v>267</v>
      </c>
      <c r="H530" s="68">
        <v>15</v>
      </c>
      <c r="I530" s="70">
        <v>25</v>
      </c>
      <c r="J530" s="70">
        <v>-44</v>
      </c>
      <c r="K530" s="70">
        <v>-45</v>
      </c>
      <c r="L530" s="70">
        <v>11</v>
      </c>
      <c r="M530" s="70">
        <v>9</v>
      </c>
      <c r="N530" s="70">
        <v>12600</v>
      </c>
      <c r="O530" s="70">
        <v>3</v>
      </c>
      <c r="P530" s="71">
        <v>27</v>
      </c>
      <c r="Q530" s="71">
        <v>50</v>
      </c>
      <c r="R530" s="72">
        <v>0.93</v>
      </c>
      <c r="S530" s="71">
        <v>140</v>
      </c>
      <c r="T530" s="71">
        <v>180</v>
      </c>
      <c r="U530" s="73">
        <v>1.7</v>
      </c>
      <c r="V530" s="73">
        <v>0.1</v>
      </c>
      <c r="W530" s="72">
        <v>0.52</v>
      </c>
      <c r="X530" s="72">
        <v>0.69</v>
      </c>
      <c r="Y530" s="72">
        <v>0.35</v>
      </c>
      <c r="Z530" s="74">
        <v>0.16</v>
      </c>
      <c r="AA530" s="74">
        <v>8.1000000000000003E-2</v>
      </c>
      <c r="AB530" s="74">
        <v>0.02</v>
      </c>
      <c r="AC530" s="74">
        <v>0.22</v>
      </c>
    </row>
    <row r="531" spans="2:29" x14ac:dyDescent="0.2">
      <c r="B531" s="66" t="s">
        <v>880</v>
      </c>
      <c r="C531" s="67" t="s">
        <v>264</v>
      </c>
      <c r="D531" s="68">
        <v>175</v>
      </c>
      <c r="F531" s="66" t="s">
        <v>775</v>
      </c>
      <c r="G531" s="67" t="s">
        <v>267</v>
      </c>
      <c r="H531" s="68">
        <v>16</v>
      </c>
      <c r="I531" s="70">
        <v>5</v>
      </c>
      <c r="J531" s="70">
        <v>-35</v>
      </c>
      <c r="K531" s="70">
        <v>-37</v>
      </c>
      <c r="L531" s="70">
        <v>8</v>
      </c>
      <c r="M531" s="70">
        <v>7</v>
      </c>
      <c r="N531" s="70">
        <v>9000</v>
      </c>
      <c r="O531" s="70">
        <v>5</v>
      </c>
      <c r="P531" s="71">
        <v>71</v>
      </c>
      <c r="Q531" s="71">
        <v>240</v>
      </c>
      <c r="R531" s="72">
        <v>0.89</v>
      </c>
      <c r="S531" s="71">
        <v>550</v>
      </c>
      <c r="T531" s="71">
        <v>200</v>
      </c>
      <c r="U531" s="73">
        <v>5.2</v>
      </c>
      <c r="V531" s="73">
        <v>0.2</v>
      </c>
      <c r="W531" s="72">
        <v>0.85</v>
      </c>
      <c r="X531" s="72">
        <v>1.23</v>
      </c>
      <c r="Y531" s="72">
        <v>0.44</v>
      </c>
      <c r="Z531" s="74">
        <v>0.21</v>
      </c>
      <c r="AA531" s="74">
        <v>0.1</v>
      </c>
      <c r="AB531" s="74">
        <v>2.8000000000000001E-2</v>
      </c>
      <c r="AC531" s="74">
        <v>0.28999999999999998</v>
      </c>
    </row>
    <row r="532" spans="2:29" x14ac:dyDescent="0.2">
      <c r="B532" s="66" t="s">
        <v>881</v>
      </c>
      <c r="C532" s="67" t="s">
        <v>264</v>
      </c>
      <c r="D532" s="68">
        <v>176</v>
      </c>
      <c r="F532" s="66" t="s">
        <v>611</v>
      </c>
      <c r="G532" s="67" t="s">
        <v>224</v>
      </c>
      <c r="H532" s="68">
        <v>68</v>
      </c>
      <c r="I532" s="70">
        <v>440</v>
      </c>
      <c r="J532" s="70">
        <v>-26</v>
      </c>
      <c r="K532" s="70">
        <v>-29</v>
      </c>
      <c r="L532" s="70">
        <v>32</v>
      </c>
      <c r="M532" s="70">
        <v>19</v>
      </c>
      <c r="N532" s="70">
        <v>4200</v>
      </c>
      <c r="O532" s="70">
        <v>13</v>
      </c>
      <c r="P532" s="71">
        <v>59</v>
      </c>
      <c r="Q532" s="71">
        <v>625</v>
      </c>
      <c r="R532" s="72">
        <v>0.8</v>
      </c>
      <c r="S532" s="71">
        <v>950</v>
      </c>
      <c r="T532" s="71">
        <v>80</v>
      </c>
      <c r="U532" s="73">
        <v>5.8</v>
      </c>
      <c r="V532" s="73">
        <v>0.1</v>
      </c>
      <c r="W532" s="72">
        <v>0.24</v>
      </c>
      <c r="X532" s="72">
        <v>0.32</v>
      </c>
      <c r="Y532" s="72">
        <v>0.27</v>
      </c>
      <c r="Z532" s="74">
        <v>0.16</v>
      </c>
      <c r="AA532" s="74">
        <v>0.08</v>
      </c>
      <c r="AB532" s="74">
        <v>4.4999999999999998E-2</v>
      </c>
      <c r="AC532" s="74">
        <v>0.14000000000000001</v>
      </c>
    </row>
    <row r="533" spans="2:29" x14ac:dyDescent="0.2">
      <c r="B533" s="66" t="s">
        <v>882</v>
      </c>
      <c r="C533" s="67" t="s">
        <v>264</v>
      </c>
      <c r="D533" s="68">
        <v>177</v>
      </c>
      <c r="F533" s="66" t="s">
        <v>612</v>
      </c>
      <c r="G533" s="67" t="s">
        <v>224</v>
      </c>
      <c r="H533" s="68">
        <v>69</v>
      </c>
      <c r="I533" s="70">
        <v>5</v>
      </c>
      <c r="J533" s="70">
        <v>-7</v>
      </c>
      <c r="K533" s="70">
        <v>-9</v>
      </c>
      <c r="L533" s="70">
        <v>27</v>
      </c>
      <c r="M533" s="70">
        <v>19</v>
      </c>
      <c r="N533" s="70">
        <v>3000</v>
      </c>
      <c r="O533" s="70">
        <v>8</v>
      </c>
      <c r="P533" s="71">
        <v>86</v>
      </c>
      <c r="Q533" s="71">
        <v>1070</v>
      </c>
      <c r="R533" s="72">
        <v>1.2</v>
      </c>
      <c r="S533" s="71">
        <v>1100</v>
      </c>
      <c r="T533" s="71">
        <v>160</v>
      </c>
      <c r="U533" s="73">
        <v>1.5</v>
      </c>
      <c r="V533" s="73">
        <v>0.2</v>
      </c>
      <c r="W533" s="72">
        <v>0.36</v>
      </c>
      <c r="X533" s="72">
        <v>0.48</v>
      </c>
      <c r="Y533" s="72">
        <v>1</v>
      </c>
      <c r="Z533" s="74">
        <v>0.68</v>
      </c>
      <c r="AA533" s="74">
        <v>0.34</v>
      </c>
      <c r="AB533" s="74">
        <v>0.18</v>
      </c>
      <c r="AC533" s="74">
        <v>0.5</v>
      </c>
    </row>
    <row r="534" spans="2:29" x14ac:dyDescent="0.2">
      <c r="B534" s="66" t="s">
        <v>883</v>
      </c>
      <c r="C534" s="67" t="s">
        <v>264</v>
      </c>
      <c r="D534" s="68">
        <v>178</v>
      </c>
      <c r="F534" s="66" t="s">
        <v>612</v>
      </c>
      <c r="G534" s="67" t="s">
        <v>257</v>
      </c>
      <c r="H534" s="68">
        <v>76</v>
      </c>
      <c r="I534" s="70">
        <v>150</v>
      </c>
      <c r="J534" s="70">
        <v>-25</v>
      </c>
      <c r="K534" s="70">
        <v>-27</v>
      </c>
      <c r="L534" s="70">
        <v>29</v>
      </c>
      <c r="M534" s="70">
        <v>22</v>
      </c>
      <c r="N534" s="70">
        <v>4850</v>
      </c>
      <c r="O534" s="70">
        <v>23</v>
      </c>
      <c r="P534" s="71">
        <v>96</v>
      </c>
      <c r="Q534" s="71">
        <v>870</v>
      </c>
      <c r="R534" s="72">
        <v>0.98</v>
      </c>
      <c r="S534" s="71">
        <v>1060</v>
      </c>
      <c r="T534" s="71">
        <v>160</v>
      </c>
      <c r="U534" s="73">
        <v>2.2000000000000002</v>
      </c>
      <c r="V534" s="73">
        <v>0.6</v>
      </c>
      <c r="W534" s="72">
        <v>0.24</v>
      </c>
      <c r="X534" s="72">
        <v>0.32</v>
      </c>
      <c r="Y534" s="72">
        <v>0.38</v>
      </c>
      <c r="Z534" s="74">
        <v>0.21</v>
      </c>
      <c r="AA534" s="74">
        <v>9.0999999999999998E-2</v>
      </c>
      <c r="AB534" s="74">
        <v>3.2000000000000001E-2</v>
      </c>
      <c r="AC534" s="74">
        <v>0.21</v>
      </c>
    </row>
    <row r="535" spans="2:29" x14ac:dyDescent="0.2">
      <c r="B535" s="66" t="s">
        <v>884</v>
      </c>
      <c r="C535" s="67" t="s">
        <v>264</v>
      </c>
      <c r="D535" s="68">
        <v>179</v>
      </c>
      <c r="F535" s="66" t="s">
        <v>874</v>
      </c>
      <c r="G535" s="67" t="s">
        <v>264</v>
      </c>
      <c r="H535" s="68">
        <v>170</v>
      </c>
      <c r="I535" s="70">
        <v>230</v>
      </c>
      <c r="J535" s="70">
        <v>-20</v>
      </c>
      <c r="K535" s="70">
        <v>-22</v>
      </c>
      <c r="L535" s="70">
        <v>31</v>
      </c>
      <c r="M535" s="70">
        <v>24</v>
      </c>
      <c r="N535" s="70">
        <v>4200</v>
      </c>
      <c r="O535" s="70">
        <v>25</v>
      </c>
      <c r="P535" s="71">
        <v>97</v>
      </c>
      <c r="Q535" s="71">
        <v>740</v>
      </c>
      <c r="R535" s="72">
        <v>0.83</v>
      </c>
      <c r="S535" s="71">
        <v>850</v>
      </c>
      <c r="T535" s="71">
        <v>140</v>
      </c>
      <c r="U535" s="73">
        <v>1.5</v>
      </c>
      <c r="V535" s="73">
        <v>0.4</v>
      </c>
      <c r="W535" s="72">
        <v>0.39</v>
      </c>
      <c r="X535" s="72">
        <v>0.53</v>
      </c>
      <c r="Y535" s="72">
        <v>0.22</v>
      </c>
      <c r="Z535" s="74">
        <v>0.11</v>
      </c>
      <c r="AA535" s="74">
        <v>5.2999999999999999E-2</v>
      </c>
      <c r="AB535" s="74">
        <v>1.4E-2</v>
      </c>
      <c r="AC535" s="74">
        <v>0.13</v>
      </c>
    </row>
    <row r="536" spans="2:29" x14ac:dyDescent="0.2">
      <c r="B536" s="66" t="s">
        <v>885</v>
      </c>
      <c r="C536" s="67" t="s">
        <v>264</v>
      </c>
      <c r="D536" s="68">
        <v>180</v>
      </c>
      <c r="F536" s="66" t="s">
        <v>445</v>
      </c>
      <c r="G536" s="67" t="s">
        <v>247</v>
      </c>
      <c r="H536" s="68">
        <v>106</v>
      </c>
      <c r="I536" s="76">
        <v>930</v>
      </c>
      <c r="J536" s="70">
        <v>-34</v>
      </c>
      <c r="K536" s="70">
        <v>-37</v>
      </c>
      <c r="L536" s="70">
        <v>27</v>
      </c>
      <c r="M536" s="70">
        <v>19</v>
      </c>
      <c r="N536" s="76">
        <v>5700</v>
      </c>
      <c r="O536" s="76">
        <v>20</v>
      </c>
      <c r="P536" s="77">
        <v>100</v>
      </c>
      <c r="Q536" s="77">
        <v>390</v>
      </c>
      <c r="R536" s="72">
        <v>0.56000000000000005</v>
      </c>
      <c r="S536" s="77">
        <v>505</v>
      </c>
      <c r="T536" s="77">
        <v>150</v>
      </c>
      <c r="U536" s="73">
        <v>2.2000000000000002</v>
      </c>
      <c r="V536" s="73">
        <v>0.1</v>
      </c>
      <c r="W536" s="72">
        <v>0.32</v>
      </c>
      <c r="X536" s="72">
        <v>0.43</v>
      </c>
      <c r="Y536" s="72">
        <v>0.12</v>
      </c>
      <c r="Z536" s="74">
        <v>0.06</v>
      </c>
      <c r="AA536" s="74">
        <v>0.02</v>
      </c>
      <c r="AB536" s="74">
        <v>0.01</v>
      </c>
      <c r="AC536" s="74">
        <v>0.06</v>
      </c>
    </row>
    <row r="537" spans="2:29" x14ac:dyDescent="0.2">
      <c r="B537" s="66" t="s">
        <v>886</v>
      </c>
      <c r="C537" s="67" t="s">
        <v>264</v>
      </c>
      <c r="D537" s="68">
        <v>181</v>
      </c>
      <c r="F537" s="66" t="s">
        <v>887</v>
      </c>
      <c r="G537" s="67" t="s">
        <v>257</v>
      </c>
      <c r="H537" s="68">
        <v>77</v>
      </c>
      <c r="I537" s="70">
        <v>30</v>
      </c>
      <c r="J537" s="70">
        <v>-25</v>
      </c>
      <c r="K537" s="70">
        <v>-27</v>
      </c>
      <c r="L537" s="70">
        <v>25</v>
      </c>
      <c r="M537" s="70">
        <v>20</v>
      </c>
      <c r="N537" s="70">
        <v>5300</v>
      </c>
      <c r="O537" s="70">
        <v>20</v>
      </c>
      <c r="P537" s="71">
        <v>91</v>
      </c>
      <c r="Q537" s="71">
        <v>640</v>
      </c>
      <c r="R537" s="72">
        <v>0.84</v>
      </c>
      <c r="S537" s="71">
        <v>890</v>
      </c>
      <c r="T537" s="71">
        <v>200</v>
      </c>
      <c r="U537" s="73">
        <v>3.8</v>
      </c>
      <c r="V537" s="73">
        <v>0.4</v>
      </c>
      <c r="W537" s="72">
        <v>0.45</v>
      </c>
      <c r="X537" s="72">
        <v>0.6</v>
      </c>
      <c r="Y537" s="72">
        <v>0.63</v>
      </c>
      <c r="Z537" s="74">
        <v>0.3</v>
      </c>
      <c r="AA537" s="74">
        <v>0.14000000000000001</v>
      </c>
      <c r="AB537" s="74">
        <v>4.5999999999999999E-2</v>
      </c>
      <c r="AC537" s="74">
        <v>0.39</v>
      </c>
    </row>
    <row r="538" spans="2:29" x14ac:dyDescent="0.2">
      <c r="B538" s="66" t="s">
        <v>888</v>
      </c>
      <c r="C538" s="67" t="s">
        <v>264</v>
      </c>
      <c r="D538" s="68">
        <v>182</v>
      </c>
      <c r="F538" s="66" t="s">
        <v>664</v>
      </c>
      <c r="G538" s="67" t="s">
        <v>252</v>
      </c>
      <c r="H538" s="68">
        <v>15</v>
      </c>
      <c r="I538" s="70">
        <v>465</v>
      </c>
      <c r="J538" s="70">
        <v>-34</v>
      </c>
      <c r="K538" s="70">
        <v>-36</v>
      </c>
      <c r="L538" s="70">
        <v>30</v>
      </c>
      <c r="M538" s="70">
        <v>22</v>
      </c>
      <c r="N538" s="70">
        <v>6000</v>
      </c>
      <c r="O538" s="70">
        <v>33</v>
      </c>
      <c r="P538" s="71">
        <v>108</v>
      </c>
      <c r="Q538" s="71">
        <v>370</v>
      </c>
      <c r="R538" s="72">
        <v>0.56000000000000005</v>
      </c>
      <c r="S538" s="71">
        <v>460</v>
      </c>
      <c r="T538" s="71">
        <v>180</v>
      </c>
      <c r="U538" s="73">
        <v>2.1</v>
      </c>
      <c r="V538" s="73">
        <v>0.2</v>
      </c>
      <c r="W538" s="72">
        <v>0.36</v>
      </c>
      <c r="X538" s="72">
        <v>0.46</v>
      </c>
      <c r="Y538" s="72">
        <v>0.12</v>
      </c>
      <c r="Z538" s="74">
        <v>5.6000000000000001E-2</v>
      </c>
      <c r="AA538" s="74">
        <v>2.3E-2</v>
      </c>
      <c r="AB538" s="74">
        <v>6.0000000000000001E-3</v>
      </c>
      <c r="AC538" s="74">
        <v>5.8999999999999997E-2</v>
      </c>
    </row>
    <row r="539" spans="2:29" x14ac:dyDescent="0.2">
      <c r="B539" s="66" t="s">
        <v>889</v>
      </c>
      <c r="C539" s="67" t="s">
        <v>264</v>
      </c>
      <c r="D539" s="68">
        <v>183</v>
      </c>
      <c r="F539" s="66" t="s">
        <v>890</v>
      </c>
      <c r="G539" s="67" t="s">
        <v>257</v>
      </c>
      <c r="H539" s="68">
        <v>78</v>
      </c>
      <c r="I539" s="70">
        <v>55</v>
      </c>
      <c r="J539" s="70">
        <v>-25</v>
      </c>
      <c r="K539" s="70">
        <v>-27</v>
      </c>
      <c r="L539" s="70">
        <v>27</v>
      </c>
      <c r="M539" s="70">
        <v>21</v>
      </c>
      <c r="N539" s="70">
        <v>5500</v>
      </c>
      <c r="O539" s="70">
        <v>23</v>
      </c>
      <c r="P539" s="71">
        <v>91</v>
      </c>
      <c r="Q539" s="71">
        <v>660</v>
      </c>
      <c r="R539" s="72">
        <v>0.84</v>
      </c>
      <c r="S539" s="71">
        <v>900</v>
      </c>
      <c r="T539" s="71">
        <v>180</v>
      </c>
      <c r="U539" s="73">
        <v>3.3</v>
      </c>
      <c r="V539" s="73">
        <v>0.6</v>
      </c>
      <c r="W539" s="72">
        <v>0.41</v>
      </c>
      <c r="X539" s="72">
        <v>0.57999999999999996</v>
      </c>
      <c r="Y539" s="72">
        <v>1.1000000000000001</v>
      </c>
      <c r="Z539" s="74">
        <v>0.63</v>
      </c>
      <c r="AA539" s="74">
        <v>0.28999999999999998</v>
      </c>
      <c r="AB539" s="74">
        <v>9.8000000000000004E-2</v>
      </c>
      <c r="AC539" s="74">
        <v>0.67</v>
      </c>
    </row>
    <row r="540" spans="2:29" x14ac:dyDescent="0.2">
      <c r="B540" s="66" t="s">
        <v>891</v>
      </c>
      <c r="C540" s="67" t="s">
        <v>264</v>
      </c>
      <c r="D540" s="68">
        <v>184</v>
      </c>
      <c r="F540" s="66" t="s">
        <v>892</v>
      </c>
      <c r="G540" s="67" t="s">
        <v>257</v>
      </c>
      <c r="H540" s="68">
        <v>79</v>
      </c>
      <c r="I540" s="70">
        <v>100</v>
      </c>
      <c r="J540" s="70">
        <v>-30</v>
      </c>
      <c r="K540" s="70">
        <v>-33</v>
      </c>
      <c r="L540" s="70">
        <v>28</v>
      </c>
      <c r="M540" s="70">
        <v>21</v>
      </c>
      <c r="N540" s="70">
        <v>5850</v>
      </c>
      <c r="O540" s="70">
        <v>25</v>
      </c>
      <c r="P540" s="71">
        <v>91</v>
      </c>
      <c r="Q540" s="71">
        <v>590</v>
      </c>
      <c r="R540" s="72">
        <v>0.77</v>
      </c>
      <c r="S540" s="71">
        <v>910</v>
      </c>
      <c r="T540" s="71">
        <v>140</v>
      </c>
      <c r="U540" s="73">
        <v>3.5</v>
      </c>
      <c r="V540" s="73">
        <v>0.3</v>
      </c>
      <c r="W540" s="72">
        <v>0.26</v>
      </c>
      <c r="X540" s="72">
        <v>0.35</v>
      </c>
      <c r="Y540" s="72">
        <v>0.43</v>
      </c>
      <c r="Z540" s="74">
        <v>0.21</v>
      </c>
      <c r="AA540" s="74">
        <v>9.5000000000000001E-2</v>
      </c>
      <c r="AB540" s="74">
        <v>3.1E-2</v>
      </c>
      <c r="AC540" s="74">
        <v>0.28999999999999998</v>
      </c>
    </row>
    <row r="541" spans="2:29" x14ac:dyDescent="0.2">
      <c r="B541" s="66" t="s">
        <v>893</v>
      </c>
      <c r="C541" s="67" t="s">
        <v>264</v>
      </c>
      <c r="D541" s="68">
        <v>185</v>
      </c>
      <c r="F541" s="66" t="s">
        <v>894</v>
      </c>
      <c r="G541" s="67" t="s">
        <v>257</v>
      </c>
      <c r="H541" s="68">
        <v>80</v>
      </c>
      <c r="I541" s="70">
        <v>160</v>
      </c>
      <c r="J541" s="70">
        <v>-24</v>
      </c>
      <c r="K541" s="70">
        <v>-26</v>
      </c>
      <c r="L541" s="70">
        <v>28</v>
      </c>
      <c r="M541" s="70">
        <v>22</v>
      </c>
      <c r="N541" s="70">
        <v>4900</v>
      </c>
      <c r="O541" s="70">
        <v>23</v>
      </c>
      <c r="P541" s="71">
        <v>91</v>
      </c>
      <c r="Q541" s="71">
        <v>900</v>
      </c>
      <c r="R541" s="72">
        <v>1.03</v>
      </c>
      <c r="S541" s="71">
        <v>1125</v>
      </c>
      <c r="T541" s="71">
        <v>160</v>
      </c>
      <c r="U541" s="73">
        <v>2</v>
      </c>
      <c r="V541" s="73">
        <v>0.4</v>
      </c>
      <c r="W541" s="72">
        <v>0.3</v>
      </c>
      <c r="X541" s="72">
        <v>0.41</v>
      </c>
      <c r="Y541" s="72">
        <v>0.42</v>
      </c>
      <c r="Z541" s="74">
        <v>0.23</v>
      </c>
      <c r="AA541" s="74">
        <v>9.7000000000000003E-2</v>
      </c>
      <c r="AB541" s="74">
        <v>3.2000000000000001E-2</v>
      </c>
      <c r="AC541" s="74">
        <v>0.26</v>
      </c>
    </row>
    <row r="542" spans="2:29" x14ac:dyDescent="0.2">
      <c r="B542" s="66" t="s">
        <v>895</v>
      </c>
      <c r="C542" s="67" t="s">
        <v>264</v>
      </c>
      <c r="D542" s="68">
        <v>186</v>
      </c>
      <c r="F542" s="66" t="s">
        <v>875</v>
      </c>
      <c r="G542" s="67" t="s">
        <v>264</v>
      </c>
      <c r="H542" s="68">
        <v>171</v>
      </c>
      <c r="I542" s="70">
        <v>50</v>
      </c>
      <c r="J542" s="70">
        <v>-26</v>
      </c>
      <c r="K542" s="70">
        <v>-28</v>
      </c>
      <c r="L542" s="70">
        <v>30</v>
      </c>
      <c r="M542" s="70">
        <v>23</v>
      </c>
      <c r="N542" s="70">
        <v>4800</v>
      </c>
      <c r="O542" s="70">
        <v>23</v>
      </c>
      <c r="P542" s="71">
        <v>92</v>
      </c>
      <c r="Q542" s="71">
        <v>780</v>
      </c>
      <c r="R542" s="72">
        <v>0.89</v>
      </c>
      <c r="S542" s="71">
        <v>950</v>
      </c>
      <c r="T542" s="71">
        <v>160</v>
      </c>
      <c r="U542" s="73">
        <v>2.4</v>
      </c>
      <c r="V542" s="73">
        <v>0.4</v>
      </c>
      <c r="W542" s="72">
        <v>0.3</v>
      </c>
      <c r="X542" s="72">
        <v>0.4</v>
      </c>
      <c r="Y542" s="72">
        <v>0.66</v>
      </c>
      <c r="Z542" s="74">
        <v>0.31</v>
      </c>
      <c r="AA542" s="74">
        <v>0.14000000000000001</v>
      </c>
      <c r="AB542" s="74">
        <v>4.3999999999999997E-2</v>
      </c>
      <c r="AC542" s="74">
        <v>0.41</v>
      </c>
    </row>
    <row r="543" spans="2:29" x14ac:dyDescent="0.2">
      <c r="B543" s="66" t="s">
        <v>896</v>
      </c>
      <c r="C543" s="67" t="s">
        <v>264</v>
      </c>
      <c r="D543" s="68">
        <v>187</v>
      </c>
      <c r="F543" s="66" t="s">
        <v>446</v>
      </c>
      <c r="G543" s="67" t="s">
        <v>247</v>
      </c>
      <c r="H543" s="68">
        <v>107</v>
      </c>
      <c r="I543" s="76">
        <v>985</v>
      </c>
      <c r="J543" s="70">
        <v>-31</v>
      </c>
      <c r="K543" s="70">
        <v>-33</v>
      </c>
      <c r="L543" s="70">
        <v>28</v>
      </c>
      <c r="M543" s="70">
        <v>18</v>
      </c>
      <c r="N543" s="76">
        <v>5700</v>
      </c>
      <c r="O543" s="76">
        <v>20</v>
      </c>
      <c r="P543" s="77">
        <v>86</v>
      </c>
      <c r="Q543" s="77">
        <v>425</v>
      </c>
      <c r="R543" s="72">
        <v>0.59</v>
      </c>
      <c r="S543" s="77">
        <v>550</v>
      </c>
      <c r="T543" s="77">
        <v>120</v>
      </c>
      <c r="U543" s="73">
        <v>1.9</v>
      </c>
      <c r="V543" s="73">
        <v>0.1</v>
      </c>
      <c r="W543" s="72">
        <v>0.33</v>
      </c>
      <c r="X543" s="72">
        <v>0.43</v>
      </c>
      <c r="Y543" s="72">
        <v>0.15</v>
      </c>
      <c r="Z543" s="74">
        <v>0.08</v>
      </c>
      <c r="AA543" s="74">
        <v>3.7999999999999999E-2</v>
      </c>
      <c r="AB543" s="74">
        <v>2.1000000000000001E-2</v>
      </c>
      <c r="AC543" s="74">
        <v>8.5000000000000006E-2</v>
      </c>
    </row>
    <row r="544" spans="2:29" x14ac:dyDescent="0.2">
      <c r="B544" s="66" t="s">
        <v>897</v>
      </c>
      <c r="C544" s="67" t="s">
        <v>264</v>
      </c>
      <c r="D544" s="68">
        <v>188</v>
      </c>
      <c r="F544" s="66" t="s">
        <v>898</v>
      </c>
      <c r="G544" s="67" t="s">
        <v>257</v>
      </c>
      <c r="H544" s="68">
        <v>81</v>
      </c>
      <c r="I544" s="70">
        <v>25</v>
      </c>
      <c r="J544" s="70">
        <v>-24</v>
      </c>
      <c r="K544" s="70">
        <v>-26</v>
      </c>
      <c r="L544" s="70">
        <v>29</v>
      </c>
      <c r="M544" s="70">
        <v>23</v>
      </c>
      <c r="N544" s="70">
        <v>4650</v>
      </c>
      <c r="O544" s="70">
        <v>23</v>
      </c>
      <c r="P544" s="71">
        <v>96</v>
      </c>
      <c r="Q544" s="71">
        <v>840</v>
      </c>
      <c r="R544" s="72">
        <v>0.97</v>
      </c>
      <c r="S544" s="71">
        <v>1050</v>
      </c>
      <c r="T544" s="71">
        <v>160</v>
      </c>
      <c r="U544" s="73">
        <v>2.6</v>
      </c>
      <c r="V544" s="73">
        <v>0.4</v>
      </c>
      <c r="W544" s="72">
        <v>0.32</v>
      </c>
      <c r="X544" s="72">
        <v>0.4</v>
      </c>
      <c r="Y544" s="72">
        <v>0.68</v>
      </c>
      <c r="Z544" s="74">
        <v>0.33</v>
      </c>
      <c r="AA544" s="74">
        <v>0.14000000000000001</v>
      </c>
      <c r="AB544" s="74">
        <v>4.7E-2</v>
      </c>
      <c r="AC544" s="74">
        <v>0.42</v>
      </c>
    </row>
    <row r="545" spans="2:29" x14ac:dyDescent="0.2">
      <c r="B545" s="66" t="s">
        <v>899</v>
      </c>
      <c r="C545" s="67" t="s">
        <v>264</v>
      </c>
      <c r="D545" s="68">
        <v>189</v>
      </c>
      <c r="F545" s="66" t="s">
        <v>900</v>
      </c>
      <c r="G545" s="67" t="s">
        <v>278</v>
      </c>
      <c r="H545" s="68">
        <v>24</v>
      </c>
      <c r="I545" s="70">
        <v>595</v>
      </c>
      <c r="J545" s="70">
        <v>-33</v>
      </c>
      <c r="K545" s="70">
        <v>-35</v>
      </c>
      <c r="L545" s="70">
        <v>32</v>
      </c>
      <c r="M545" s="70">
        <v>20</v>
      </c>
      <c r="N545" s="70">
        <v>5900</v>
      </c>
      <c r="O545" s="70">
        <v>25</v>
      </c>
      <c r="P545" s="71">
        <v>76</v>
      </c>
      <c r="Q545" s="71">
        <v>260</v>
      </c>
      <c r="R545" s="72">
        <v>0.37</v>
      </c>
      <c r="S545" s="71">
        <v>330</v>
      </c>
      <c r="T545" s="71">
        <v>200</v>
      </c>
      <c r="U545" s="73">
        <v>1.7</v>
      </c>
      <c r="V545" s="73">
        <v>0.1</v>
      </c>
      <c r="W545" s="72">
        <v>0.47</v>
      </c>
      <c r="X545" s="72">
        <v>0.63</v>
      </c>
      <c r="Y545" s="72">
        <v>0.12</v>
      </c>
      <c r="Z545" s="74">
        <v>5.6000000000000001E-2</v>
      </c>
      <c r="AA545" s="74">
        <v>2.3E-2</v>
      </c>
      <c r="AB545" s="74">
        <v>6.0000000000000001E-3</v>
      </c>
      <c r="AC545" s="74">
        <v>5.8999999999999997E-2</v>
      </c>
    </row>
    <row r="546" spans="2:29" x14ac:dyDescent="0.2">
      <c r="B546" s="66" t="s">
        <v>901</v>
      </c>
      <c r="C546" s="67" t="s">
        <v>264</v>
      </c>
      <c r="D546" s="68">
        <v>190</v>
      </c>
      <c r="F546" s="66" t="s">
        <v>902</v>
      </c>
      <c r="G546" s="67" t="s">
        <v>257</v>
      </c>
      <c r="H546" s="68">
        <v>82</v>
      </c>
      <c r="I546" s="70">
        <v>300</v>
      </c>
      <c r="J546" s="70">
        <v>-33</v>
      </c>
      <c r="K546" s="70">
        <v>-36</v>
      </c>
      <c r="L546" s="70">
        <v>29</v>
      </c>
      <c r="M546" s="70">
        <v>21</v>
      </c>
      <c r="N546" s="70">
        <v>6150</v>
      </c>
      <c r="O546" s="70">
        <v>20</v>
      </c>
      <c r="P546" s="71">
        <v>91</v>
      </c>
      <c r="Q546" s="71">
        <v>650</v>
      </c>
      <c r="R546" s="72">
        <v>0.82</v>
      </c>
      <c r="S546" s="71">
        <v>900</v>
      </c>
      <c r="T546" s="71">
        <v>100</v>
      </c>
      <c r="U546" s="73">
        <v>3.1</v>
      </c>
      <c r="V546" s="73">
        <v>0.3</v>
      </c>
      <c r="W546" s="72">
        <v>0.26</v>
      </c>
      <c r="X546" s="72">
        <v>0.35</v>
      </c>
      <c r="Y546" s="72">
        <v>0.2</v>
      </c>
      <c r="Z546" s="74">
        <v>0.11</v>
      </c>
      <c r="AA546" s="74">
        <v>5.6000000000000001E-2</v>
      </c>
      <c r="AB546" s="74">
        <v>1.6E-2</v>
      </c>
      <c r="AC546" s="74">
        <v>0.11</v>
      </c>
    </row>
    <row r="547" spans="2:29" x14ac:dyDescent="0.2">
      <c r="B547" s="66" t="s">
        <v>903</v>
      </c>
      <c r="C547" s="67" t="s">
        <v>264</v>
      </c>
      <c r="D547" s="68">
        <v>191</v>
      </c>
      <c r="F547" s="66" t="s">
        <v>448</v>
      </c>
      <c r="G547" s="67" t="s">
        <v>247</v>
      </c>
      <c r="H547" s="68">
        <v>108</v>
      </c>
      <c r="I547" s="76">
        <v>693</v>
      </c>
      <c r="J547" s="70">
        <v>-35</v>
      </c>
      <c r="K547" s="70">
        <v>-38</v>
      </c>
      <c r="L547" s="70">
        <v>27</v>
      </c>
      <c r="M547" s="70">
        <v>19</v>
      </c>
      <c r="N547" s="76">
        <v>5800</v>
      </c>
      <c r="O547" s="76">
        <v>21</v>
      </c>
      <c r="P547" s="77">
        <v>90</v>
      </c>
      <c r="Q547" s="77">
        <v>340</v>
      </c>
      <c r="R547" s="72">
        <v>0.51</v>
      </c>
      <c r="S547" s="77">
        <v>465</v>
      </c>
      <c r="T547" s="77">
        <v>140</v>
      </c>
      <c r="U547" s="73">
        <v>1.9</v>
      </c>
      <c r="V547" s="73">
        <v>0.1</v>
      </c>
      <c r="W547" s="72">
        <v>0.28999999999999998</v>
      </c>
      <c r="X547" s="72">
        <v>0.39</v>
      </c>
      <c r="Y547" s="72">
        <v>0.12</v>
      </c>
      <c r="Z547" s="74">
        <v>0.06</v>
      </c>
      <c r="AA547" s="74">
        <v>0.02</v>
      </c>
      <c r="AB547" s="74">
        <v>0.01</v>
      </c>
      <c r="AC547" s="74">
        <v>0.06</v>
      </c>
    </row>
    <row r="548" spans="2:29" x14ac:dyDescent="0.2">
      <c r="B548" s="66" t="s">
        <v>904</v>
      </c>
      <c r="C548" s="67" t="s">
        <v>264</v>
      </c>
      <c r="D548" s="68">
        <v>192</v>
      </c>
      <c r="F548" s="66" t="s">
        <v>690</v>
      </c>
      <c r="G548" s="67" t="s">
        <v>254</v>
      </c>
      <c r="H548" s="68">
        <v>11</v>
      </c>
      <c r="I548" s="70">
        <v>15</v>
      </c>
      <c r="J548" s="70">
        <v>-21</v>
      </c>
      <c r="K548" s="70">
        <v>-23</v>
      </c>
      <c r="L548" s="70">
        <v>27</v>
      </c>
      <c r="M548" s="70">
        <v>21</v>
      </c>
      <c r="N548" s="70">
        <v>4600</v>
      </c>
      <c r="O548" s="70">
        <v>18</v>
      </c>
      <c r="P548" s="71">
        <v>112</v>
      </c>
      <c r="Q548" s="71">
        <v>975</v>
      </c>
      <c r="R548" s="72">
        <v>1.1399999999999999</v>
      </c>
      <c r="S548" s="71">
        <v>1175</v>
      </c>
      <c r="T548" s="71">
        <v>220</v>
      </c>
      <c r="U548" s="73">
        <v>2.5</v>
      </c>
      <c r="V548" s="73">
        <v>0.6</v>
      </c>
      <c r="W548" s="72">
        <v>0.41</v>
      </c>
      <c r="X548" s="72">
        <v>0.57999999999999996</v>
      </c>
      <c r="Y548" s="72">
        <v>0.25</v>
      </c>
      <c r="Z548" s="74">
        <v>0.14000000000000001</v>
      </c>
      <c r="AA548" s="74">
        <v>6.3E-2</v>
      </c>
      <c r="AB548" s="74">
        <v>1.9E-2</v>
      </c>
      <c r="AC548" s="74">
        <v>0.17</v>
      </c>
    </row>
    <row r="549" spans="2:29" x14ac:dyDescent="0.2">
      <c r="B549" s="66" t="s">
        <v>905</v>
      </c>
      <c r="C549" s="67" t="s">
        <v>264</v>
      </c>
      <c r="D549" s="68">
        <v>193</v>
      </c>
      <c r="F549" s="66" t="s">
        <v>692</v>
      </c>
      <c r="G549" s="67" t="s">
        <v>254</v>
      </c>
      <c r="H549" s="68">
        <v>12</v>
      </c>
      <c r="I549" s="70">
        <v>5</v>
      </c>
      <c r="J549" s="70">
        <v>-22</v>
      </c>
      <c r="K549" s="70">
        <v>-24</v>
      </c>
      <c r="L549" s="70">
        <v>25</v>
      </c>
      <c r="M549" s="70">
        <v>20</v>
      </c>
      <c r="N549" s="70">
        <v>4800</v>
      </c>
      <c r="O549" s="70">
        <v>18</v>
      </c>
      <c r="P549" s="71">
        <v>139</v>
      </c>
      <c r="Q549" s="71">
        <v>1100</v>
      </c>
      <c r="R549" s="72">
        <v>1.27</v>
      </c>
      <c r="S549" s="71">
        <v>1425</v>
      </c>
      <c r="T549" s="71">
        <v>260</v>
      </c>
      <c r="U549" s="73">
        <v>2.2999999999999998</v>
      </c>
      <c r="V549" s="73">
        <v>0.6</v>
      </c>
      <c r="W549" s="72">
        <v>0.38</v>
      </c>
      <c r="X549" s="72">
        <v>0.53</v>
      </c>
      <c r="Y549" s="72">
        <v>0.34</v>
      </c>
      <c r="Z549" s="74">
        <v>0.18</v>
      </c>
      <c r="AA549" s="74">
        <v>8.1000000000000003E-2</v>
      </c>
      <c r="AB549" s="74">
        <v>2.4E-2</v>
      </c>
      <c r="AC549" s="74">
        <v>0.23</v>
      </c>
    </row>
    <row r="550" spans="2:29" x14ac:dyDescent="0.2">
      <c r="B550" s="66" t="s">
        <v>906</v>
      </c>
      <c r="C550" s="67" t="s">
        <v>264</v>
      </c>
      <c r="D550" s="68">
        <v>194</v>
      </c>
      <c r="F550" s="66" t="s">
        <v>907</v>
      </c>
      <c r="G550" s="67" t="s">
        <v>257</v>
      </c>
      <c r="H550" s="68">
        <v>83</v>
      </c>
      <c r="I550" s="70">
        <v>50</v>
      </c>
      <c r="J550" s="70">
        <v>-23</v>
      </c>
      <c r="K550" s="70">
        <v>-25</v>
      </c>
      <c r="L550" s="70">
        <v>29</v>
      </c>
      <c r="M550" s="70">
        <v>23</v>
      </c>
      <c r="N550" s="70">
        <v>4450</v>
      </c>
      <c r="O550" s="70">
        <v>25</v>
      </c>
      <c r="P550" s="71">
        <v>96</v>
      </c>
      <c r="Q550" s="71">
        <v>760</v>
      </c>
      <c r="R550" s="72">
        <v>0.87</v>
      </c>
      <c r="S550" s="71">
        <v>900</v>
      </c>
      <c r="T550" s="71">
        <v>180</v>
      </c>
      <c r="U550" s="73">
        <v>2.2999999999999998</v>
      </c>
      <c r="V550" s="73">
        <v>0.4</v>
      </c>
      <c r="W550" s="72">
        <v>0.31</v>
      </c>
      <c r="X550" s="72">
        <v>0.4</v>
      </c>
      <c r="Y550" s="72">
        <v>0.69</v>
      </c>
      <c r="Z550" s="74">
        <v>0.34</v>
      </c>
      <c r="AA550" s="74">
        <v>0.14000000000000001</v>
      </c>
      <c r="AB550" s="74">
        <v>4.8000000000000001E-2</v>
      </c>
      <c r="AC550" s="74">
        <v>0.43</v>
      </c>
    </row>
    <row r="551" spans="2:29" x14ac:dyDescent="0.2">
      <c r="B551" s="66" t="s">
        <v>908</v>
      </c>
      <c r="C551" s="67" t="s">
        <v>264</v>
      </c>
      <c r="D551" s="68">
        <v>195</v>
      </c>
      <c r="F551" s="66" t="s">
        <v>613</v>
      </c>
      <c r="G551" s="67" t="s">
        <v>224</v>
      </c>
      <c r="H551" s="68">
        <v>70</v>
      </c>
      <c r="I551" s="70">
        <v>425</v>
      </c>
      <c r="J551" s="70">
        <v>-23</v>
      </c>
      <c r="K551" s="70">
        <v>-26</v>
      </c>
      <c r="L551" s="70">
        <v>33</v>
      </c>
      <c r="M551" s="70">
        <v>20</v>
      </c>
      <c r="N551" s="70">
        <v>3900</v>
      </c>
      <c r="O551" s="70">
        <v>13</v>
      </c>
      <c r="P551" s="71">
        <v>48</v>
      </c>
      <c r="Q551" s="71">
        <v>400</v>
      </c>
      <c r="R551" s="72">
        <v>0.47</v>
      </c>
      <c r="S551" s="71">
        <v>525</v>
      </c>
      <c r="T551" s="71">
        <v>80</v>
      </c>
      <c r="U551" s="73">
        <v>3.5</v>
      </c>
      <c r="V551" s="73">
        <v>0.1</v>
      </c>
      <c r="W551" s="72">
        <v>0.28999999999999998</v>
      </c>
      <c r="X551" s="72">
        <v>0.39</v>
      </c>
      <c r="Y551" s="72">
        <v>0.27</v>
      </c>
      <c r="Z551" s="74">
        <v>0.16</v>
      </c>
      <c r="AA551" s="74">
        <v>8.2000000000000003E-2</v>
      </c>
      <c r="AB551" s="74">
        <v>4.5999999999999999E-2</v>
      </c>
      <c r="AC551" s="74">
        <v>0.14000000000000001</v>
      </c>
    </row>
    <row r="552" spans="2:29" x14ac:dyDescent="0.2">
      <c r="B552" s="66" t="s">
        <v>909</v>
      </c>
      <c r="C552" s="67" t="s">
        <v>264</v>
      </c>
      <c r="D552" s="68">
        <v>196</v>
      </c>
      <c r="F552" s="66" t="s">
        <v>666</v>
      </c>
      <c r="G552" s="67" t="s">
        <v>252</v>
      </c>
      <c r="H552" s="68">
        <v>16</v>
      </c>
      <c r="I552" s="70">
        <v>365</v>
      </c>
      <c r="J552" s="70">
        <v>-32</v>
      </c>
      <c r="K552" s="70">
        <v>-34</v>
      </c>
      <c r="L552" s="70">
        <v>29</v>
      </c>
      <c r="M552" s="70">
        <v>23</v>
      </c>
      <c r="N552" s="70">
        <v>5850</v>
      </c>
      <c r="O552" s="70">
        <v>28</v>
      </c>
      <c r="P552" s="71">
        <v>97</v>
      </c>
      <c r="Q552" s="71">
        <v>460</v>
      </c>
      <c r="R552" s="72">
        <v>0.57999999999999996</v>
      </c>
      <c r="S552" s="71">
        <v>550</v>
      </c>
      <c r="T552" s="71">
        <v>180</v>
      </c>
      <c r="U552" s="73">
        <v>2.2000000000000002</v>
      </c>
      <c r="V552" s="73">
        <v>0.2</v>
      </c>
      <c r="W552" s="72">
        <v>0.31</v>
      </c>
      <c r="X552" s="72">
        <v>0.4</v>
      </c>
      <c r="Y552" s="72">
        <v>0.12</v>
      </c>
      <c r="Z552" s="74">
        <v>5.6000000000000001E-2</v>
      </c>
      <c r="AA552" s="74">
        <v>2.3E-2</v>
      </c>
      <c r="AB552" s="74">
        <v>6.0000000000000001E-3</v>
      </c>
      <c r="AC552" s="74">
        <v>5.8999999999999997E-2</v>
      </c>
    </row>
    <row r="553" spans="2:29" x14ac:dyDescent="0.2">
      <c r="B553" s="66" t="s">
        <v>910</v>
      </c>
      <c r="C553" s="67" t="s">
        <v>264</v>
      </c>
      <c r="D553" s="68">
        <v>197</v>
      </c>
      <c r="F553" s="66" t="s">
        <v>615</v>
      </c>
      <c r="G553" s="67" t="s">
        <v>224</v>
      </c>
      <c r="H553" s="68">
        <v>71</v>
      </c>
      <c r="I553" s="70">
        <v>5</v>
      </c>
      <c r="J553" s="70">
        <v>-6</v>
      </c>
      <c r="K553" s="70">
        <v>-7</v>
      </c>
      <c r="L553" s="70">
        <v>15</v>
      </c>
      <c r="M553" s="70">
        <v>15</v>
      </c>
      <c r="N553" s="70">
        <v>3600</v>
      </c>
      <c r="O553" s="70">
        <v>13</v>
      </c>
      <c r="P553" s="71">
        <v>86</v>
      </c>
      <c r="Q553" s="71">
        <v>1300</v>
      </c>
      <c r="R553" s="72">
        <v>1.47</v>
      </c>
      <c r="S553" s="71">
        <v>1350</v>
      </c>
      <c r="T553" s="71">
        <v>500</v>
      </c>
      <c r="U553" s="73">
        <v>1.8</v>
      </c>
      <c r="V553" s="73">
        <v>0.4</v>
      </c>
      <c r="W553" s="72">
        <v>0.54</v>
      </c>
      <c r="X553" s="72">
        <v>0.68</v>
      </c>
      <c r="Y553" s="72">
        <v>0.56000000000000005</v>
      </c>
      <c r="Z553" s="74">
        <v>0.48</v>
      </c>
      <c r="AA553" s="74">
        <v>0.4</v>
      </c>
      <c r="AB553" s="74">
        <v>0.2</v>
      </c>
      <c r="AC553" s="74">
        <v>0.28999999999999998</v>
      </c>
    </row>
    <row r="554" spans="2:29" x14ac:dyDescent="0.2">
      <c r="B554" s="66" t="s">
        <v>911</v>
      </c>
      <c r="C554" s="67" t="s">
        <v>264</v>
      </c>
      <c r="D554" s="68">
        <v>198</v>
      </c>
      <c r="F554" s="66" t="s">
        <v>450</v>
      </c>
      <c r="G554" s="67" t="s">
        <v>247</v>
      </c>
      <c r="H554" s="68">
        <v>109</v>
      </c>
      <c r="I554" s="76">
        <v>680</v>
      </c>
      <c r="J554" s="70">
        <v>-36</v>
      </c>
      <c r="K554" s="70">
        <v>-40</v>
      </c>
      <c r="L554" s="70">
        <v>27</v>
      </c>
      <c r="M554" s="70">
        <v>19</v>
      </c>
      <c r="N554" s="76">
        <v>5900</v>
      </c>
      <c r="O554" s="76">
        <v>17</v>
      </c>
      <c r="P554" s="77">
        <v>95</v>
      </c>
      <c r="Q554" s="77">
        <v>400</v>
      </c>
      <c r="R554" s="72">
        <v>0.57999999999999996</v>
      </c>
      <c r="S554" s="77">
        <v>555</v>
      </c>
      <c r="T554" s="77">
        <v>110</v>
      </c>
      <c r="U554" s="73">
        <v>2</v>
      </c>
      <c r="V554" s="73">
        <v>0.1</v>
      </c>
      <c r="W554" s="72">
        <v>0.32</v>
      </c>
      <c r="X554" s="72">
        <v>0.43</v>
      </c>
      <c r="Y554" s="72">
        <v>0.12</v>
      </c>
      <c r="Z554" s="74">
        <v>0.06</v>
      </c>
      <c r="AA554" s="74">
        <v>0.02</v>
      </c>
      <c r="AB554" s="74">
        <v>0.01</v>
      </c>
      <c r="AC554" s="74">
        <v>0.06</v>
      </c>
    </row>
    <row r="555" spans="2:29" x14ac:dyDescent="0.2">
      <c r="B555" s="66" t="s">
        <v>912</v>
      </c>
      <c r="C555" s="67" t="s">
        <v>264</v>
      </c>
      <c r="D555" s="68">
        <v>199</v>
      </c>
      <c r="F555" s="66" t="s">
        <v>876</v>
      </c>
      <c r="G555" s="67" t="s">
        <v>264</v>
      </c>
      <c r="H555" s="68">
        <v>172</v>
      </c>
      <c r="I555" s="70">
        <v>190</v>
      </c>
      <c r="J555" s="70">
        <v>-16</v>
      </c>
      <c r="K555" s="70">
        <v>-18</v>
      </c>
      <c r="L555" s="70">
        <v>31</v>
      </c>
      <c r="M555" s="70">
        <v>23</v>
      </c>
      <c r="N555" s="70">
        <v>3950</v>
      </c>
      <c r="O555" s="70">
        <v>23</v>
      </c>
      <c r="P555" s="71">
        <v>103</v>
      </c>
      <c r="Q555" s="71">
        <v>750</v>
      </c>
      <c r="R555" s="72">
        <v>0.87</v>
      </c>
      <c r="S555" s="71">
        <v>825</v>
      </c>
      <c r="T555" s="71">
        <v>180</v>
      </c>
      <c r="U555" s="73">
        <v>1.1000000000000001</v>
      </c>
      <c r="V555" s="73">
        <v>0.4</v>
      </c>
      <c r="W555" s="72">
        <v>0.35</v>
      </c>
      <c r="X555" s="72">
        <v>0.47</v>
      </c>
      <c r="Y555" s="72">
        <v>0.14000000000000001</v>
      </c>
      <c r="Z555" s="74">
        <v>7.4999999999999997E-2</v>
      </c>
      <c r="AA555" s="74">
        <v>0.04</v>
      </c>
      <c r="AB555" s="74">
        <v>0.01</v>
      </c>
      <c r="AC555" s="74">
        <v>7.8E-2</v>
      </c>
    </row>
    <row r="556" spans="2:29" x14ac:dyDescent="0.2">
      <c r="B556" s="66" t="s">
        <v>913</v>
      </c>
      <c r="C556" s="67" t="s">
        <v>264</v>
      </c>
      <c r="D556" s="68">
        <v>200</v>
      </c>
      <c r="F556" s="66" t="s">
        <v>914</v>
      </c>
      <c r="G556" s="67" t="s">
        <v>278</v>
      </c>
      <c r="H556" s="68">
        <v>25</v>
      </c>
      <c r="I556" s="70">
        <v>500</v>
      </c>
      <c r="J556" s="70">
        <v>-35</v>
      </c>
      <c r="K556" s="70">
        <v>-37</v>
      </c>
      <c r="L556" s="70">
        <v>30</v>
      </c>
      <c r="M556" s="70">
        <v>20</v>
      </c>
      <c r="N556" s="70">
        <v>5950</v>
      </c>
      <c r="O556" s="70">
        <v>23</v>
      </c>
      <c r="P556" s="71">
        <v>86</v>
      </c>
      <c r="Q556" s="71">
        <v>265</v>
      </c>
      <c r="R556" s="72">
        <v>0.41</v>
      </c>
      <c r="S556" s="71">
        <v>350</v>
      </c>
      <c r="T556" s="71">
        <v>160</v>
      </c>
      <c r="U556" s="73">
        <v>1.7</v>
      </c>
      <c r="V556" s="73">
        <v>0.1</v>
      </c>
      <c r="W556" s="72">
        <v>0.36</v>
      </c>
      <c r="X556" s="72">
        <v>0.48</v>
      </c>
      <c r="Y556" s="72">
        <v>0.12</v>
      </c>
      <c r="Z556" s="74">
        <v>5.6000000000000001E-2</v>
      </c>
      <c r="AA556" s="74">
        <v>2.3E-2</v>
      </c>
      <c r="AB556" s="74">
        <v>6.0000000000000001E-3</v>
      </c>
      <c r="AC556" s="74">
        <v>5.8999999999999997E-2</v>
      </c>
    </row>
    <row r="557" spans="2:29" x14ac:dyDescent="0.2">
      <c r="B557" s="66" t="s">
        <v>915</v>
      </c>
      <c r="C557" s="67" t="s">
        <v>264</v>
      </c>
      <c r="D557" s="68">
        <v>201</v>
      </c>
      <c r="F557" s="66" t="s">
        <v>878</v>
      </c>
      <c r="G557" s="67" t="s">
        <v>264</v>
      </c>
      <c r="H557" s="68">
        <v>173</v>
      </c>
      <c r="I557" s="70">
        <v>190</v>
      </c>
      <c r="J557" s="70">
        <v>-25</v>
      </c>
      <c r="K557" s="70">
        <v>-28</v>
      </c>
      <c r="L557" s="70">
        <v>29</v>
      </c>
      <c r="M557" s="70">
        <v>21</v>
      </c>
      <c r="N557" s="70">
        <v>5100</v>
      </c>
      <c r="O557" s="70">
        <v>25</v>
      </c>
      <c r="P557" s="71">
        <v>103</v>
      </c>
      <c r="Q557" s="71">
        <v>660</v>
      </c>
      <c r="R557" s="72">
        <v>0.89</v>
      </c>
      <c r="S557" s="71">
        <v>950</v>
      </c>
      <c r="T557" s="71">
        <v>200</v>
      </c>
      <c r="U557" s="73">
        <v>3.1</v>
      </c>
      <c r="V557" s="73">
        <v>0.4</v>
      </c>
      <c r="W557" s="72">
        <v>0.32</v>
      </c>
      <c r="X557" s="72">
        <v>0.4</v>
      </c>
      <c r="Y557" s="72">
        <v>0.12</v>
      </c>
      <c r="Z557" s="74">
        <v>5.6000000000000001E-2</v>
      </c>
      <c r="AA557" s="74">
        <v>2.5999999999999999E-2</v>
      </c>
      <c r="AB557" s="74">
        <v>8.0000000000000002E-3</v>
      </c>
      <c r="AC557" s="74">
        <v>5.8999999999999997E-2</v>
      </c>
    </row>
    <row r="558" spans="2:29" x14ac:dyDescent="0.2">
      <c r="B558" s="66" t="s">
        <v>916</v>
      </c>
      <c r="C558" s="67" t="s">
        <v>264</v>
      </c>
      <c r="D558" s="68">
        <v>202</v>
      </c>
      <c r="F558" s="66" t="s">
        <v>879</v>
      </c>
      <c r="G558" s="67" t="s">
        <v>264</v>
      </c>
      <c r="H558" s="68">
        <v>174</v>
      </c>
      <c r="I558" s="70">
        <v>180</v>
      </c>
      <c r="J558" s="70">
        <v>-20</v>
      </c>
      <c r="K558" s="70">
        <v>-22</v>
      </c>
      <c r="L558" s="70">
        <v>31</v>
      </c>
      <c r="M558" s="70">
        <v>24</v>
      </c>
      <c r="N558" s="70">
        <v>4000</v>
      </c>
      <c r="O558" s="70">
        <v>25</v>
      </c>
      <c r="P558" s="71">
        <v>92</v>
      </c>
      <c r="Q558" s="71">
        <v>730</v>
      </c>
      <c r="R558" s="72">
        <v>0.87</v>
      </c>
      <c r="S558" s="71">
        <v>825</v>
      </c>
      <c r="T558" s="71">
        <v>160</v>
      </c>
      <c r="U558" s="73">
        <v>1.2</v>
      </c>
      <c r="V558" s="73">
        <v>0.4</v>
      </c>
      <c r="W558" s="72">
        <v>0.39</v>
      </c>
      <c r="X558" s="72">
        <v>0.53</v>
      </c>
      <c r="Y558" s="72">
        <v>0.24</v>
      </c>
      <c r="Z558" s="74">
        <v>0.12</v>
      </c>
      <c r="AA558" s="74">
        <v>5.6000000000000001E-2</v>
      </c>
      <c r="AB558" s="74">
        <v>1.4999999999999999E-2</v>
      </c>
      <c r="AC558" s="74">
        <v>0.15</v>
      </c>
    </row>
    <row r="559" spans="2:29" x14ac:dyDescent="0.2">
      <c r="B559" s="66" t="s">
        <v>917</v>
      </c>
      <c r="C559" s="67" t="s">
        <v>264</v>
      </c>
      <c r="D559" s="68">
        <v>203</v>
      </c>
      <c r="F559" s="66" t="s">
        <v>918</v>
      </c>
      <c r="G559" s="67" t="s">
        <v>257</v>
      </c>
      <c r="H559" s="68">
        <v>84</v>
      </c>
      <c r="I559" s="70">
        <v>550</v>
      </c>
      <c r="J559" s="70">
        <v>-38</v>
      </c>
      <c r="K559" s="70">
        <v>-40</v>
      </c>
      <c r="L559" s="70">
        <v>24</v>
      </c>
      <c r="M559" s="70">
        <v>17</v>
      </c>
      <c r="N559" s="70">
        <v>8400</v>
      </c>
      <c r="O559" s="70">
        <v>13</v>
      </c>
      <c r="P559" s="71">
        <v>64</v>
      </c>
      <c r="Q559" s="71">
        <v>410</v>
      </c>
      <c r="R559" s="72">
        <v>0.81</v>
      </c>
      <c r="S559" s="71">
        <v>800</v>
      </c>
      <c r="T559" s="71">
        <v>180</v>
      </c>
      <c r="U559" s="73">
        <v>4.5</v>
      </c>
      <c r="V559" s="73">
        <v>0.3</v>
      </c>
      <c r="W559" s="72">
        <v>0.33</v>
      </c>
      <c r="X559" s="72">
        <v>0.42</v>
      </c>
      <c r="Y559" s="72">
        <v>0.12</v>
      </c>
      <c r="Z559" s="74">
        <v>5.8999999999999997E-2</v>
      </c>
      <c r="AA559" s="74">
        <v>3.1E-2</v>
      </c>
      <c r="AB559" s="74">
        <v>0.01</v>
      </c>
      <c r="AC559" s="74">
        <v>5.8999999999999997E-2</v>
      </c>
    </row>
    <row r="560" spans="2:29" x14ac:dyDescent="0.2">
      <c r="B560" s="66" t="s">
        <v>919</v>
      </c>
      <c r="C560" s="67" t="s">
        <v>264</v>
      </c>
      <c r="D560" s="68">
        <v>204</v>
      </c>
      <c r="F560" s="66" t="s">
        <v>880</v>
      </c>
      <c r="G560" s="67" t="s">
        <v>264</v>
      </c>
      <c r="H560" s="68">
        <v>175</v>
      </c>
      <c r="I560" s="70">
        <v>310</v>
      </c>
      <c r="J560" s="70">
        <v>-35</v>
      </c>
      <c r="K560" s="70">
        <v>-38</v>
      </c>
      <c r="L560" s="70">
        <v>27</v>
      </c>
      <c r="M560" s="70">
        <v>21</v>
      </c>
      <c r="N560" s="70">
        <v>6200</v>
      </c>
      <c r="O560" s="70">
        <v>20</v>
      </c>
      <c r="P560" s="71">
        <v>108</v>
      </c>
      <c r="Q560" s="71">
        <v>600</v>
      </c>
      <c r="R560" s="72">
        <v>0.82</v>
      </c>
      <c r="S560" s="71">
        <v>850</v>
      </c>
      <c r="T560" s="71">
        <v>160</v>
      </c>
      <c r="U560" s="73">
        <v>3.3</v>
      </c>
      <c r="V560" s="73">
        <v>0.4</v>
      </c>
      <c r="W560" s="72">
        <v>0.3</v>
      </c>
      <c r="X560" s="72">
        <v>0.39</v>
      </c>
      <c r="Y560" s="72">
        <v>0.12</v>
      </c>
      <c r="Z560" s="74">
        <v>5.6000000000000001E-2</v>
      </c>
      <c r="AA560" s="74">
        <v>2.3E-2</v>
      </c>
      <c r="AB560" s="74">
        <v>6.0000000000000001E-3</v>
      </c>
      <c r="AC560" s="74">
        <v>5.8999999999999997E-2</v>
      </c>
    </row>
    <row r="561" spans="2:29" x14ac:dyDescent="0.2">
      <c r="B561" s="66" t="s">
        <v>920</v>
      </c>
      <c r="C561" s="67" t="s">
        <v>264</v>
      </c>
      <c r="D561" s="68">
        <v>205</v>
      </c>
      <c r="F561" s="66" t="s">
        <v>921</v>
      </c>
      <c r="G561" s="67" t="s">
        <v>278</v>
      </c>
      <c r="H561" s="68">
        <v>26</v>
      </c>
      <c r="I561" s="70">
        <v>645</v>
      </c>
      <c r="J561" s="70">
        <v>-34</v>
      </c>
      <c r="K561" s="70">
        <v>-36</v>
      </c>
      <c r="L561" s="70">
        <v>31</v>
      </c>
      <c r="M561" s="70">
        <v>20</v>
      </c>
      <c r="N561" s="70">
        <v>6100</v>
      </c>
      <c r="O561" s="70">
        <v>20</v>
      </c>
      <c r="P561" s="71">
        <v>76</v>
      </c>
      <c r="Q561" s="71">
        <v>270</v>
      </c>
      <c r="R561" s="72">
        <v>0.41</v>
      </c>
      <c r="S561" s="71">
        <v>360</v>
      </c>
      <c r="T561" s="71">
        <v>140</v>
      </c>
      <c r="U561" s="73">
        <v>1.9</v>
      </c>
      <c r="V561" s="73">
        <v>0.1</v>
      </c>
      <c r="W561" s="72">
        <v>0.44</v>
      </c>
      <c r="X561" s="72">
        <v>0.65</v>
      </c>
      <c r="Y561" s="72">
        <v>0.12</v>
      </c>
      <c r="Z561" s="74">
        <v>5.6000000000000001E-2</v>
      </c>
      <c r="AA561" s="74">
        <v>2.3E-2</v>
      </c>
      <c r="AB561" s="74">
        <v>6.0000000000000001E-3</v>
      </c>
      <c r="AC561" s="74">
        <v>5.8999999999999997E-2</v>
      </c>
    </row>
    <row r="562" spans="2:29" x14ac:dyDescent="0.2">
      <c r="B562" s="66" t="s">
        <v>922</v>
      </c>
      <c r="C562" s="67" t="s">
        <v>264</v>
      </c>
      <c r="D562" s="68">
        <v>206</v>
      </c>
      <c r="F562" s="66" t="s">
        <v>881</v>
      </c>
      <c r="G562" s="67" t="s">
        <v>264</v>
      </c>
      <c r="H562" s="68">
        <v>176</v>
      </c>
      <c r="I562" s="70">
        <v>310</v>
      </c>
      <c r="J562" s="70">
        <v>-17</v>
      </c>
      <c r="K562" s="70">
        <v>-19</v>
      </c>
      <c r="L562" s="70">
        <v>30</v>
      </c>
      <c r="M562" s="70">
        <v>23</v>
      </c>
      <c r="N562" s="70">
        <v>4300</v>
      </c>
      <c r="O562" s="70">
        <v>25</v>
      </c>
      <c r="P562" s="71">
        <v>108</v>
      </c>
      <c r="Q562" s="71">
        <v>810</v>
      </c>
      <c r="R562" s="72">
        <v>0.94</v>
      </c>
      <c r="S562" s="71">
        <v>1025</v>
      </c>
      <c r="T562" s="71">
        <v>160</v>
      </c>
      <c r="U562" s="73">
        <v>2.5</v>
      </c>
      <c r="V562" s="73">
        <v>0.4</v>
      </c>
      <c r="W562" s="72">
        <v>0.37</v>
      </c>
      <c r="X562" s="72">
        <v>0.53</v>
      </c>
      <c r="Y562" s="72">
        <v>0.14000000000000001</v>
      </c>
      <c r="Z562" s="74">
        <v>7.6999999999999999E-2</v>
      </c>
      <c r="AA562" s="74">
        <v>4.2000000000000003E-2</v>
      </c>
      <c r="AB562" s="74">
        <v>1.0999999999999999E-2</v>
      </c>
      <c r="AC562" s="74">
        <v>6.7000000000000004E-2</v>
      </c>
    </row>
    <row r="563" spans="2:29" x14ac:dyDescent="0.2">
      <c r="B563" s="66" t="s">
        <v>923</v>
      </c>
      <c r="C563" s="67" t="s">
        <v>264</v>
      </c>
      <c r="D563" s="68">
        <v>207</v>
      </c>
      <c r="F563" s="66" t="s">
        <v>452</v>
      </c>
      <c r="G563" s="67" t="s">
        <v>247</v>
      </c>
      <c r="H563" s="68">
        <v>110</v>
      </c>
      <c r="I563" s="76">
        <v>663</v>
      </c>
      <c r="J563" s="70">
        <v>-35</v>
      </c>
      <c r="K563" s="70">
        <v>-38</v>
      </c>
      <c r="L563" s="70">
        <v>29</v>
      </c>
      <c r="M563" s="70">
        <v>20</v>
      </c>
      <c r="N563" s="76">
        <v>5700</v>
      </c>
      <c r="O563" s="76">
        <v>21</v>
      </c>
      <c r="P563" s="77">
        <v>95</v>
      </c>
      <c r="Q563" s="77">
        <v>330</v>
      </c>
      <c r="R563" s="72">
        <v>0.5</v>
      </c>
      <c r="S563" s="77">
        <v>440</v>
      </c>
      <c r="T563" s="77">
        <v>150</v>
      </c>
      <c r="U563" s="73">
        <v>1.9</v>
      </c>
      <c r="V563" s="73">
        <v>0.1</v>
      </c>
      <c r="W563" s="72">
        <v>0.24</v>
      </c>
      <c r="X563" s="72">
        <v>0.35</v>
      </c>
      <c r="Y563" s="72">
        <v>0.12</v>
      </c>
      <c r="Z563" s="74">
        <v>0.06</v>
      </c>
      <c r="AA563" s="74">
        <v>0.02</v>
      </c>
      <c r="AB563" s="74">
        <v>0.01</v>
      </c>
      <c r="AC563" s="74">
        <v>0.06</v>
      </c>
    </row>
    <row r="564" spans="2:29" x14ac:dyDescent="0.2">
      <c r="B564" s="66" t="s">
        <v>924</v>
      </c>
      <c r="C564" s="67" t="s">
        <v>264</v>
      </c>
      <c r="D564" s="68">
        <v>208</v>
      </c>
      <c r="F564" s="66" t="s">
        <v>667</v>
      </c>
      <c r="G564" s="67" t="s">
        <v>252</v>
      </c>
      <c r="H564" s="68">
        <v>17</v>
      </c>
      <c r="I564" s="70">
        <v>225</v>
      </c>
      <c r="J564" s="70">
        <v>-33</v>
      </c>
      <c r="K564" s="70">
        <v>-35</v>
      </c>
      <c r="L564" s="70">
        <v>29</v>
      </c>
      <c r="M564" s="70">
        <v>23</v>
      </c>
      <c r="N564" s="70">
        <v>5900</v>
      </c>
      <c r="O564" s="70">
        <v>28</v>
      </c>
      <c r="P564" s="71">
        <v>108</v>
      </c>
      <c r="Q564" s="71">
        <v>420</v>
      </c>
      <c r="R564" s="72">
        <v>0.61</v>
      </c>
      <c r="S564" s="71">
        <v>500</v>
      </c>
      <c r="T564" s="71">
        <v>180</v>
      </c>
      <c r="U564" s="73">
        <v>1.9</v>
      </c>
      <c r="V564" s="73">
        <v>0.2</v>
      </c>
      <c r="W564" s="72">
        <v>0.33</v>
      </c>
      <c r="X564" s="72">
        <v>0.43</v>
      </c>
      <c r="Y564" s="72">
        <v>0.12</v>
      </c>
      <c r="Z564" s="74">
        <v>5.6000000000000001E-2</v>
      </c>
      <c r="AA564" s="74">
        <v>2.3E-2</v>
      </c>
      <c r="AB564" s="74">
        <v>6.0000000000000001E-3</v>
      </c>
      <c r="AC564" s="74">
        <v>5.8999999999999997E-2</v>
      </c>
    </row>
    <row r="565" spans="2:29" x14ac:dyDescent="0.2">
      <c r="B565" s="66" t="s">
        <v>925</v>
      </c>
      <c r="C565" s="67" t="s">
        <v>264</v>
      </c>
      <c r="D565" s="68">
        <v>209</v>
      </c>
      <c r="F565" s="66" t="s">
        <v>926</v>
      </c>
      <c r="G565" s="67" t="s">
        <v>257</v>
      </c>
      <c r="H565" s="68">
        <v>85</v>
      </c>
      <c r="I565" s="70">
        <v>310</v>
      </c>
      <c r="J565" s="70">
        <v>-34</v>
      </c>
      <c r="K565" s="70">
        <v>-36</v>
      </c>
      <c r="L565" s="70">
        <v>29</v>
      </c>
      <c r="M565" s="70">
        <v>21</v>
      </c>
      <c r="N565" s="70">
        <v>6350</v>
      </c>
      <c r="O565" s="70">
        <v>23</v>
      </c>
      <c r="P565" s="71">
        <v>91</v>
      </c>
      <c r="Q565" s="71">
        <v>740</v>
      </c>
      <c r="R565" s="72">
        <v>0.91</v>
      </c>
      <c r="S565" s="71">
        <v>925</v>
      </c>
      <c r="T565" s="71">
        <v>100</v>
      </c>
      <c r="U565" s="73">
        <v>3.3</v>
      </c>
      <c r="V565" s="73">
        <v>0.3</v>
      </c>
      <c r="W565" s="72">
        <v>0.24</v>
      </c>
      <c r="X565" s="72">
        <v>0.32</v>
      </c>
      <c r="Y565" s="72">
        <v>0.2</v>
      </c>
      <c r="Z565" s="74">
        <v>0.12</v>
      </c>
      <c r="AA565" s="74">
        <v>6.0999999999999999E-2</v>
      </c>
      <c r="AB565" s="74">
        <v>1.7000000000000001E-2</v>
      </c>
      <c r="AC565" s="74">
        <v>0.1</v>
      </c>
    </row>
    <row r="566" spans="2:29" x14ac:dyDescent="0.2">
      <c r="B566" s="66" t="s">
        <v>927</v>
      </c>
      <c r="C566" s="67" t="s">
        <v>264</v>
      </c>
      <c r="D566" s="68">
        <v>210</v>
      </c>
      <c r="F566" s="66" t="s">
        <v>928</v>
      </c>
      <c r="G566" s="67" t="s">
        <v>257</v>
      </c>
      <c r="H566" s="68">
        <v>86</v>
      </c>
      <c r="I566" s="70">
        <v>5</v>
      </c>
      <c r="J566" s="70">
        <v>-30</v>
      </c>
      <c r="K566" s="70">
        <v>-32</v>
      </c>
      <c r="L566" s="70">
        <v>24</v>
      </c>
      <c r="M566" s="70">
        <v>18</v>
      </c>
      <c r="N566" s="70">
        <v>6200</v>
      </c>
      <c r="O566" s="70">
        <v>15</v>
      </c>
      <c r="P566" s="71">
        <v>112</v>
      </c>
      <c r="Q566" s="71">
        <v>760</v>
      </c>
      <c r="R566" s="72">
        <v>1.01</v>
      </c>
      <c r="S566" s="71">
        <v>1125</v>
      </c>
      <c r="T566" s="71">
        <v>300</v>
      </c>
      <c r="U566" s="73">
        <v>4.0999999999999996</v>
      </c>
      <c r="V566" s="73">
        <v>0.4</v>
      </c>
      <c r="W566" s="72">
        <v>0.52</v>
      </c>
      <c r="X566" s="72">
        <v>0.68</v>
      </c>
      <c r="Y566" s="72">
        <v>0.37</v>
      </c>
      <c r="Z566" s="74">
        <v>0.22</v>
      </c>
      <c r="AA566" s="74">
        <v>9.1999999999999998E-2</v>
      </c>
      <c r="AB566" s="74">
        <v>3.3000000000000002E-2</v>
      </c>
      <c r="AC566" s="74">
        <v>0.21</v>
      </c>
    </row>
    <row r="567" spans="2:29" x14ac:dyDescent="0.2">
      <c r="B567" s="66" t="s">
        <v>929</v>
      </c>
      <c r="C567" s="67" t="s">
        <v>264</v>
      </c>
      <c r="D567" s="68">
        <v>211</v>
      </c>
      <c r="F567" s="66" t="s">
        <v>454</v>
      </c>
      <c r="G567" s="67" t="s">
        <v>247</v>
      </c>
      <c r="H567" s="68">
        <v>111</v>
      </c>
      <c r="I567" s="76">
        <v>724</v>
      </c>
      <c r="J567" s="70">
        <v>-38</v>
      </c>
      <c r="K567" s="70">
        <v>-41</v>
      </c>
      <c r="L567" s="70">
        <v>27</v>
      </c>
      <c r="M567" s="70">
        <v>18</v>
      </c>
      <c r="N567" s="76">
        <v>6000</v>
      </c>
      <c r="O567" s="76">
        <v>18</v>
      </c>
      <c r="P567" s="77">
        <v>85</v>
      </c>
      <c r="Q567" s="77">
        <v>310</v>
      </c>
      <c r="R567" s="72">
        <v>0.49</v>
      </c>
      <c r="S567" s="77">
        <v>445</v>
      </c>
      <c r="T567" s="77">
        <v>110</v>
      </c>
      <c r="U567" s="73">
        <v>2.4</v>
      </c>
      <c r="V567" s="73">
        <v>0.1</v>
      </c>
      <c r="W567" s="72">
        <v>0.33</v>
      </c>
      <c r="X567" s="72">
        <v>0.44</v>
      </c>
      <c r="Y567" s="72">
        <v>0.12</v>
      </c>
      <c r="Z567" s="74">
        <v>0.06</v>
      </c>
      <c r="AA567" s="74">
        <v>0.03</v>
      </c>
      <c r="AB567" s="74">
        <v>0.02</v>
      </c>
      <c r="AC567" s="74">
        <v>0.06</v>
      </c>
    </row>
    <row r="568" spans="2:29" x14ac:dyDescent="0.2">
      <c r="B568" s="66" t="s">
        <v>930</v>
      </c>
      <c r="C568" s="67" t="s">
        <v>264</v>
      </c>
      <c r="D568" s="68">
        <v>212</v>
      </c>
      <c r="F568" s="66" t="s">
        <v>931</v>
      </c>
      <c r="G568" s="67" t="s">
        <v>257</v>
      </c>
      <c r="H568" s="68">
        <v>87</v>
      </c>
      <c r="I568" s="70">
        <v>60</v>
      </c>
      <c r="J568" s="70">
        <v>-26</v>
      </c>
      <c r="K568" s="70">
        <v>-29</v>
      </c>
      <c r="L568" s="70">
        <v>29</v>
      </c>
      <c r="M568" s="70">
        <v>23</v>
      </c>
      <c r="N568" s="70">
        <v>5050</v>
      </c>
      <c r="O568" s="70">
        <v>20</v>
      </c>
      <c r="P568" s="71">
        <v>102</v>
      </c>
      <c r="Q568" s="71">
        <v>820</v>
      </c>
      <c r="R568" s="72">
        <v>0.96</v>
      </c>
      <c r="S568" s="71">
        <v>1050</v>
      </c>
      <c r="T568" s="71">
        <v>180</v>
      </c>
      <c r="U568" s="73">
        <v>3.1</v>
      </c>
      <c r="V568" s="73">
        <v>0.4</v>
      </c>
      <c r="W568" s="72">
        <v>0.26</v>
      </c>
      <c r="X568" s="72">
        <v>0.35</v>
      </c>
      <c r="Y568" s="72">
        <v>0.57999999999999996</v>
      </c>
      <c r="Z568" s="74">
        <v>0.28000000000000003</v>
      </c>
      <c r="AA568" s="74">
        <v>0.12</v>
      </c>
      <c r="AB568" s="74">
        <v>0.04</v>
      </c>
      <c r="AC568" s="74">
        <v>0.37</v>
      </c>
    </row>
    <row r="569" spans="2:29" x14ac:dyDescent="0.2">
      <c r="B569" s="66" t="s">
        <v>932</v>
      </c>
      <c r="C569" s="67" t="s">
        <v>264</v>
      </c>
      <c r="D569" s="68">
        <v>213</v>
      </c>
      <c r="F569" s="66" t="s">
        <v>933</v>
      </c>
      <c r="G569" s="67" t="s">
        <v>257</v>
      </c>
      <c r="H569" s="68">
        <v>88</v>
      </c>
      <c r="I569" s="70">
        <v>170</v>
      </c>
      <c r="J569" s="70">
        <v>-27</v>
      </c>
      <c r="K569" s="70">
        <v>-30</v>
      </c>
      <c r="L569" s="70">
        <v>30</v>
      </c>
      <c r="M569" s="70">
        <v>23</v>
      </c>
      <c r="N569" s="70">
        <v>5050</v>
      </c>
      <c r="O569" s="70">
        <v>23</v>
      </c>
      <c r="P569" s="71">
        <v>102</v>
      </c>
      <c r="Q569" s="71">
        <v>670</v>
      </c>
      <c r="R569" s="72">
        <v>0.79</v>
      </c>
      <c r="S569" s="71">
        <v>880</v>
      </c>
      <c r="T569" s="71">
        <v>160</v>
      </c>
      <c r="U569" s="73">
        <v>2.8</v>
      </c>
      <c r="V569" s="73">
        <v>0.4</v>
      </c>
      <c r="W569" s="72">
        <v>0.26</v>
      </c>
      <c r="X569" s="72">
        <v>0.35</v>
      </c>
      <c r="Y569" s="72">
        <v>0.67</v>
      </c>
      <c r="Z569" s="74">
        <v>0.32</v>
      </c>
      <c r="AA569" s="74">
        <v>0.13</v>
      </c>
      <c r="AB569" s="74">
        <v>4.3999999999999997E-2</v>
      </c>
      <c r="AC569" s="74">
        <v>0.42</v>
      </c>
    </row>
    <row r="570" spans="2:29" x14ac:dyDescent="0.2">
      <c r="B570" s="66" t="s">
        <v>934</v>
      </c>
      <c r="C570" s="67" t="s">
        <v>264</v>
      </c>
      <c r="D570" s="68">
        <v>214</v>
      </c>
      <c r="F570" s="66" t="s">
        <v>935</v>
      </c>
      <c r="G570" s="67" t="s">
        <v>257</v>
      </c>
      <c r="H570" s="68">
        <v>89</v>
      </c>
      <c r="I570" s="70">
        <v>185</v>
      </c>
      <c r="J570" s="70">
        <v>-28</v>
      </c>
      <c r="K570" s="70">
        <v>-30</v>
      </c>
      <c r="L570" s="70">
        <v>29</v>
      </c>
      <c r="M570" s="70">
        <v>22</v>
      </c>
      <c r="N570" s="70">
        <v>4800</v>
      </c>
      <c r="O570" s="70">
        <v>23</v>
      </c>
      <c r="P570" s="71">
        <v>102</v>
      </c>
      <c r="Q570" s="71">
        <v>900</v>
      </c>
      <c r="R570" s="72">
        <v>1.03</v>
      </c>
      <c r="S570" s="71">
        <v>1100</v>
      </c>
      <c r="T570" s="71">
        <v>160</v>
      </c>
      <c r="U570" s="73">
        <v>2.2000000000000002</v>
      </c>
      <c r="V570" s="73">
        <v>0.6</v>
      </c>
      <c r="W570" s="72">
        <v>0.24</v>
      </c>
      <c r="X570" s="72">
        <v>0.32</v>
      </c>
      <c r="Y570" s="72">
        <v>0.37</v>
      </c>
      <c r="Z570" s="74">
        <v>0.2</v>
      </c>
      <c r="AA570" s="74">
        <v>8.5999999999999993E-2</v>
      </c>
      <c r="AB570" s="74">
        <v>3.1E-2</v>
      </c>
      <c r="AC570" s="74">
        <v>0.2</v>
      </c>
    </row>
    <row r="571" spans="2:29" x14ac:dyDescent="0.2">
      <c r="B571" s="66" t="s">
        <v>936</v>
      </c>
      <c r="C571" s="67" t="s">
        <v>264</v>
      </c>
      <c r="D571" s="68">
        <v>215</v>
      </c>
      <c r="F571" s="66" t="s">
        <v>456</v>
      </c>
      <c r="G571" s="67" t="s">
        <v>247</v>
      </c>
      <c r="H571" s="68">
        <v>112</v>
      </c>
      <c r="I571" s="76">
        <v>729</v>
      </c>
      <c r="J571" s="70">
        <v>-37</v>
      </c>
      <c r="K571" s="70">
        <v>-40</v>
      </c>
      <c r="L571" s="70">
        <v>27</v>
      </c>
      <c r="M571" s="70">
        <v>19</v>
      </c>
      <c r="N571" s="76">
        <v>5500</v>
      </c>
      <c r="O571" s="76">
        <v>20</v>
      </c>
      <c r="P571" s="77">
        <v>90</v>
      </c>
      <c r="Q571" s="77">
        <v>365</v>
      </c>
      <c r="R571" s="72">
        <v>0.49</v>
      </c>
      <c r="S571" s="77">
        <v>480</v>
      </c>
      <c r="T571" s="77">
        <v>160</v>
      </c>
      <c r="U571" s="73">
        <v>1.8</v>
      </c>
      <c r="V571" s="73">
        <v>0.1</v>
      </c>
      <c r="W571" s="72">
        <v>0.32</v>
      </c>
      <c r="X571" s="72">
        <v>0.45</v>
      </c>
      <c r="Y571" s="72">
        <v>0.12</v>
      </c>
      <c r="Z571" s="74">
        <v>0.06</v>
      </c>
      <c r="AA571" s="74">
        <v>0.02</v>
      </c>
      <c r="AB571" s="74">
        <v>0.01</v>
      </c>
      <c r="AC571" s="74">
        <v>0.06</v>
      </c>
    </row>
    <row r="572" spans="2:29" x14ac:dyDescent="0.2">
      <c r="B572" s="66" t="s">
        <v>937</v>
      </c>
      <c r="C572" s="67" t="s">
        <v>264</v>
      </c>
      <c r="D572" s="68">
        <v>216</v>
      </c>
      <c r="F572" s="66" t="s">
        <v>694</v>
      </c>
      <c r="G572" s="67" t="s">
        <v>254</v>
      </c>
      <c r="H572" s="68">
        <v>13</v>
      </c>
      <c r="I572" s="70">
        <v>5</v>
      </c>
      <c r="J572" s="70">
        <v>-22</v>
      </c>
      <c r="K572" s="70">
        <v>-24</v>
      </c>
      <c r="L572" s="70">
        <v>28</v>
      </c>
      <c r="M572" s="70">
        <v>20</v>
      </c>
      <c r="N572" s="70">
        <v>5100</v>
      </c>
      <c r="O572" s="70">
        <v>18</v>
      </c>
      <c r="P572" s="71">
        <v>96</v>
      </c>
      <c r="Q572" s="71">
        <v>800</v>
      </c>
      <c r="R572" s="72">
        <v>0.98</v>
      </c>
      <c r="S572" s="71">
        <v>1050</v>
      </c>
      <c r="T572" s="71">
        <v>260</v>
      </c>
      <c r="U572" s="73">
        <v>3.4</v>
      </c>
      <c r="V572" s="73">
        <v>0.6</v>
      </c>
      <c r="W572" s="72">
        <v>0.52</v>
      </c>
      <c r="X572" s="72">
        <v>0.69</v>
      </c>
      <c r="Y572" s="72">
        <v>0.34</v>
      </c>
      <c r="Z572" s="74">
        <v>0.18</v>
      </c>
      <c r="AA572" s="74">
        <v>7.0999999999999994E-2</v>
      </c>
      <c r="AB572" s="74">
        <v>2.1999999999999999E-2</v>
      </c>
      <c r="AC572" s="74">
        <v>0.24</v>
      </c>
    </row>
    <row r="573" spans="2:29" x14ac:dyDescent="0.2">
      <c r="B573" s="66" t="s">
        <v>938</v>
      </c>
      <c r="C573" s="67" t="s">
        <v>264</v>
      </c>
      <c r="D573" s="68">
        <v>217</v>
      </c>
      <c r="F573" s="66" t="s">
        <v>617</v>
      </c>
      <c r="G573" s="67" t="s">
        <v>224</v>
      </c>
      <c r="H573" s="68">
        <v>72</v>
      </c>
      <c r="I573" s="70">
        <v>10</v>
      </c>
      <c r="J573" s="70">
        <v>-6</v>
      </c>
      <c r="K573" s="70">
        <v>-8</v>
      </c>
      <c r="L573" s="70">
        <v>26</v>
      </c>
      <c r="M573" s="70">
        <v>18</v>
      </c>
      <c r="N573" s="70">
        <v>3100</v>
      </c>
      <c r="O573" s="70">
        <v>8</v>
      </c>
      <c r="P573" s="71">
        <v>96</v>
      </c>
      <c r="Q573" s="71">
        <v>825</v>
      </c>
      <c r="R573" s="72">
        <v>0.97</v>
      </c>
      <c r="S573" s="71">
        <v>850</v>
      </c>
      <c r="T573" s="71">
        <v>160</v>
      </c>
      <c r="U573" s="73">
        <v>1.1000000000000001</v>
      </c>
      <c r="V573" s="73">
        <v>0.2</v>
      </c>
      <c r="W573" s="72">
        <v>0.46</v>
      </c>
      <c r="X573" s="72">
        <v>0.6</v>
      </c>
      <c r="Y573" s="72">
        <v>1.2</v>
      </c>
      <c r="Z573" s="74">
        <v>0.8</v>
      </c>
      <c r="AA573" s="74">
        <v>0.37</v>
      </c>
      <c r="AB573" s="74">
        <v>0.18</v>
      </c>
      <c r="AC573" s="74">
        <v>0.6</v>
      </c>
    </row>
    <row r="574" spans="2:29" x14ac:dyDescent="0.2">
      <c r="B574" s="66" t="s">
        <v>939</v>
      </c>
      <c r="C574" s="67" t="s">
        <v>264</v>
      </c>
      <c r="D574" s="68">
        <v>218</v>
      </c>
      <c r="F574" s="66" t="s">
        <v>940</v>
      </c>
      <c r="G574" s="67" t="s">
        <v>257</v>
      </c>
      <c r="H574" s="68">
        <v>90</v>
      </c>
      <c r="I574" s="70">
        <v>10</v>
      </c>
      <c r="J574" s="70">
        <v>-25</v>
      </c>
      <c r="K574" s="70">
        <v>-28</v>
      </c>
      <c r="L574" s="70">
        <v>28</v>
      </c>
      <c r="M574" s="70">
        <v>22</v>
      </c>
      <c r="N574" s="70">
        <v>5250</v>
      </c>
      <c r="O574" s="70">
        <v>20</v>
      </c>
      <c r="P574" s="71">
        <v>107</v>
      </c>
      <c r="Q574" s="71">
        <v>930</v>
      </c>
      <c r="R574" s="72">
        <v>1.05</v>
      </c>
      <c r="S574" s="71">
        <v>1200</v>
      </c>
      <c r="T574" s="71">
        <v>200</v>
      </c>
      <c r="U574" s="73">
        <v>3.1</v>
      </c>
      <c r="V574" s="73">
        <v>0.6</v>
      </c>
      <c r="W574" s="72">
        <v>0.38</v>
      </c>
      <c r="X574" s="72">
        <v>0.53</v>
      </c>
      <c r="Y574" s="72">
        <v>0.57999999999999996</v>
      </c>
      <c r="Z574" s="74">
        <v>0.28999999999999998</v>
      </c>
      <c r="AA574" s="74">
        <v>0.14000000000000001</v>
      </c>
      <c r="AB574" s="74">
        <v>4.7E-2</v>
      </c>
      <c r="AC574" s="74">
        <v>0.37</v>
      </c>
    </row>
    <row r="575" spans="2:29" x14ac:dyDescent="0.2">
      <c r="B575" s="66" t="s">
        <v>941</v>
      </c>
      <c r="C575" s="67" t="s">
        <v>264</v>
      </c>
      <c r="D575" s="68">
        <v>219</v>
      </c>
      <c r="F575" s="66" t="s">
        <v>882</v>
      </c>
      <c r="G575" s="67" t="s">
        <v>264</v>
      </c>
      <c r="H575" s="68">
        <v>177</v>
      </c>
      <c r="I575" s="70">
        <v>210</v>
      </c>
      <c r="J575" s="70">
        <v>-17</v>
      </c>
      <c r="K575" s="70">
        <v>-19</v>
      </c>
      <c r="L575" s="70">
        <v>30</v>
      </c>
      <c r="M575" s="70">
        <v>23</v>
      </c>
      <c r="N575" s="70">
        <v>4000</v>
      </c>
      <c r="O575" s="70">
        <v>28</v>
      </c>
      <c r="P575" s="71">
        <v>119</v>
      </c>
      <c r="Q575" s="71">
        <v>860</v>
      </c>
      <c r="R575" s="72">
        <v>0.97</v>
      </c>
      <c r="S575" s="71">
        <v>950</v>
      </c>
      <c r="T575" s="71">
        <v>160</v>
      </c>
      <c r="U575" s="73">
        <v>1.3</v>
      </c>
      <c r="V575" s="73">
        <v>0.4</v>
      </c>
      <c r="W575" s="72">
        <v>0.33</v>
      </c>
      <c r="X575" s="72">
        <v>0.43</v>
      </c>
      <c r="Y575" s="72">
        <v>0.22</v>
      </c>
      <c r="Z575" s="74">
        <v>0.11</v>
      </c>
      <c r="AA575" s="74">
        <v>5.1999999999999998E-2</v>
      </c>
      <c r="AB575" s="74">
        <v>1.4E-2</v>
      </c>
      <c r="AC575" s="74">
        <v>0.14000000000000001</v>
      </c>
    </row>
    <row r="576" spans="2:29" x14ac:dyDescent="0.2">
      <c r="B576" s="66" t="s">
        <v>698</v>
      </c>
      <c r="C576" s="67" t="s">
        <v>264</v>
      </c>
      <c r="D576" s="68">
        <v>220</v>
      </c>
      <c r="F576" s="66" t="s">
        <v>883</v>
      </c>
      <c r="G576" s="67" t="s">
        <v>264</v>
      </c>
      <c r="H576" s="68">
        <v>178</v>
      </c>
      <c r="I576" s="70">
        <v>375</v>
      </c>
      <c r="J576" s="70">
        <v>-34</v>
      </c>
      <c r="K576" s="70">
        <v>-36</v>
      </c>
      <c r="L576" s="70">
        <v>28</v>
      </c>
      <c r="M576" s="70">
        <v>22</v>
      </c>
      <c r="N576" s="70">
        <v>6200</v>
      </c>
      <c r="O576" s="70">
        <v>28</v>
      </c>
      <c r="P576" s="71">
        <v>97</v>
      </c>
      <c r="Q576" s="71">
        <v>520</v>
      </c>
      <c r="R576" s="72">
        <v>0.69</v>
      </c>
      <c r="S576" s="71">
        <v>710</v>
      </c>
      <c r="T576" s="71">
        <v>100</v>
      </c>
      <c r="U576" s="73">
        <v>2.4</v>
      </c>
      <c r="V576" s="73">
        <v>0.3</v>
      </c>
      <c r="W576" s="72">
        <v>0.21</v>
      </c>
      <c r="X576" s="72">
        <v>0.27</v>
      </c>
      <c r="Y576" s="72">
        <v>0.12</v>
      </c>
      <c r="Z576" s="74">
        <v>5.6000000000000001E-2</v>
      </c>
      <c r="AA576" s="74">
        <v>2.3E-2</v>
      </c>
      <c r="AB576" s="74">
        <v>6.0000000000000001E-3</v>
      </c>
      <c r="AC576" s="74">
        <v>5.8999999999999997E-2</v>
      </c>
    </row>
    <row r="577" spans="2:29" x14ac:dyDescent="0.2">
      <c r="B577" s="66" t="s">
        <v>942</v>
      </c>
      <c r="C577" s="67" t="s">
        <v>264</v>
      </c>
      <c r="D577" s="68">
        <v>221</v>
      </c>
      <c r="F577" s="66" t="s">
        <v>458</v>
      </c>
      <c r="G577" s="67" t="s">
        <v>247</v>
      </c>
      <c r="H577" s="68">
        <v>113</v>
      </c>
      <c r="I577" s="76">
        <v>590</v>
      </c>
      <c r="J577" s="70">
        <v>-36</v>
      </c>
      <c r="K577" s="70">
        <v>-39</v>
      </c>
      <c r="L577" s="70">
        <v>27</v>
      </c>
      <c r="M577" s="70">
        <v>19</v>
      </c>
      <c r="N577" s="76">
        <v>6000</v>
      </c>
      <c r="O577" s="76">
        <v>15</v>
      </c>
      <c r="P577" s="77">
        <v>81</v>
      </c>
      <c r="Q577" s="77">
        <v>380</v>
      </c>
      <c r="R577" s="72">
        <v>0.62</v>
      </c>
      <c r="S577" s="77">
        <v>500</v>
      </c>
      <c r="T577" s="77">
        <v>80</v>
      </c>
      <c r="U577" s="73">
        <v>1.9</v>
      </c>
      <c r="V577" s="73">
        <v>0.1</v>
      </c>
      <c r="W577" s="72">
        <v>0.28000000000000003</v>
      </c>
      <c r="X577" s="72">
        <v>0.37</v>
      </c>
      <c r="Y577" s="72">
        <v>0.12</v>
      </c>
      <c r="Z577" s="74">
        <v>5.6000000000000001E-2</v>
      </c>
      <c r="AA577" s="74">
        <v>2.3E-2</v>
      </c>
      <c r="AB577" s="74">
        <v>6.0000000000000001E-3</v>
      </c>
      <c r="AC577" s="74">
        <v>5.8999999999999997E-2</v>
      </c>
    </row>
    <row r="578" spans="2:29" x14ac:dyDescent="0.2">
      <c r="B578" s="66" t="s">
        <v>459</v>
      </c>
      <c r="C578" s="67" t="s">
        <v>273</v>
      </c>
      <c r="D578" s="68">
        <v>1</v>
      </c>
      <c r="F578" s="66" t="s">
        <v>618</v>
      </c>
      <c r="G578" s="67" t="s">
        <v>224</v>
      </c>
      <c r="H578" s="68">
        <v>73</v>
      </c>
      <c r="I578" s="70">
        <v>660</v>
      </c>
      <c r="J578" s="70">
        <v>-46</v>
      </c>
      <c r="K578" s="70">
        <v>-48</v>
      </c>
      <c r="L578" s="70">
        <v>26</v>
      </c>
      <c r="M578" s="70">
        <v>17</v>
      </c>
      <c r="N578" s="70">
        <v>7400</v>
      </c>
      <c r="O578" s="70">
        <v>8</v>
      </c>
      <c r="P578" s="71">
        <v>64</v>
      </c>
      <c r="Q578" s="71">
        <v>300</v>
      </c>
      <c r="R578" s="72">
        <v>0.57999999999999996</v>
      </c>
      <c r="S578" s="71">
        <v>500</v>
      </c>
      <c r="T578" s="71">
        <v>40</v>
      </c>
      <c r="U578" s="73">
        <v>2.8</v>
      </c>
      <c r="V578" s="73">
        <v>0.1</v>
      </c>
      <c r="W578" s="72">
        <v>0.21</v>
      </c>
      <c r="X578" s="72">
        <v>0.28000000000000003</v>
      </c>
      <c r="Y578" s="72">
        <v>0.52</v>
      </c>
      <c r="Z578" s="74">
        <v>0.31</v>
      </c>
      <c r="AA578" s="74">
        <v>0.15</v>
      </c>
      <c r="AB578" s="74">
        <v>8.5999999999999993E-2</v>
      </c>
      <c r="AC578" s="74">
        <v>0.24</v>
      </c>
    </row>
    <row r="579" spans="2:29" x14ac:dyDescent="0.2">
      <c r="B579" s="66" t="s">
        <v>943</v>
      </c>
      <c r="C579" s="67" t="s">
        <v>273</v>
      </c>
      <c r="D579" s="68">
        <v>2</v>
      </c>
      <c r="F579" s="66" t="s">
        <v>620</v>
      </c>
      <c r="G579" s="67" t="s">
        <v>224</v>
      </c>
      <c r="H579" s="68">
        <v>74</v>
      </c>
      <c r="I579" s="70">
        <v>500</v>
      </c>
      <c r="J579" s="70">
        <v>-29</v>
      </c>
      <c r="K579" s="70">
        <v>-31</v>
      </c>
      <c r="L579" s="70">
        <v>25</v>
      </c>
      <c r="M579" s="70">
        <v>17</v>
      </c>
      <c r="N579" s="70">
        <v>5200</v>
      </c>
      <c r="O579" s="70">
        <v>13</v>
      </c>
      <c r="P579" s="71">
        <v>64</v>
      </c>
      <c r="Q579" s="71">
        <v>325</v>
      </c>
      <c r="R579" s="72">
        <v>0.6</v>
      </c>
      <c r="S579" s="71">
        <v>500</v>
      </c>
      <c r="T579" s="71">
        <v>120</v>
      </c>
      <c r="U579" s="73">
        <v>3.2</v>
      </c>
      <c r="V579" s="73">
        <v>0.2</v>
      </c>
      <c r="W579" s="72">
        <v>0.31</v>
      </c>
      <c r="X579" s="72">
        <v>0.4</v>
      </c>
      <c r="Y579" s="72">
        <v>0.12</v>
      </c>
      <c r="Z579" s="74">
        <v>7.8E-2</v>
      </c>
      <c r="AA579" s="74">
        <v>5.1999999999999998E-2</v>
      </c>
      <c r="AB579" s="74">
        <v>3.3000000000000002E-2</v>
      </c>
      <c r="AC579" s="74">
        <v>5.8999999999999997E-2</v>
      </c>
    </row>
    <row r="580" spans="2:29" x14ac:dyDescent="0.2">
      <c r="B580" s="66" t="s">
        <v>944</v>
      </c>
      <c r="C580" s="67" t="s">
        <v>273</v>
      </c>
      <c r="D580" s="68">
        <v>3</v>
      </c>
      <c r="F580" s="66" t="s">
        <v>884</v>
      </c>
      <c r="G580" s="67" t="s">
        <v>264</v>
      </c>
      <c r="H580" s="68">
        <v>179</v>
      </c>
      <c r="I580" s="70">
        <v>130</v>
      </c>
      <c r="J580" s="70">
        <v>-25</v>
      </c>
      <c r="K580" s="70">
        <v>-27</v>
      </c>
      <c r="L580" s="70">
        <v>30</v>
      </c>
      <c r="M580" s="70">
        <v>23</v>
      </c>
      <c r="N580" s="70">
        <v>4600</v>
      </c>
      <c r="O580" s="70">
        <v>28</v>
      </c>
      <c r="P580" s="71">
        <v>92</v>
      </c>
      <c r="Q580" s="71">
        <v>730</v>
      </c>
      <c r="R580" s="72">
        <v>0.84</v>
      </c>
      <c r="S580" s="71">
        <v>850</v>
      </c>
      <c r="T580" s="71">
        <v>140</v>
      </c>
      <c r="U580" s="73">
        <v>2.2999999999999998</v>
      </c>
      <c r="V580" s="73">
        <v>0.4</v>
      </c>
      <c r="W580" s="72">
        <v>0.28999999999999998</v>
      </c>
      <c r="X580" s="72">
        <v>0.41</v>
      </c>
      <c r="Y580" s="72">
        <v>0.42</v>
      </c>
      <c r="Z580" s="74">
        <v>0.22</v>
      </c>
      <c r="AA580" s="74">
        <v>0.1</v>
      </c>
      <c r="AB580" s="74">
        <v>3.2000000000000001E-2</v>
      </c>
      <c r="AC580" s="74">
        <v>0.26</v>
      </c>
    </row>
    <row r="581" spans="2:29" x14ac:dyDescent="0.2">
      <c r="B581" s="66" t="s">
        <v>945</v>
      </c>
      <c r="C581" s="67" t="s">
        <v>273</v>
      </c>
      <c r="D581" s="68">
        <v>4</v>
      </c>
      <c r="F581" s="66" t="s">
        <v>885</v>
      </c>
      <c r="G581" s="67" t="s">
        <v>264</v>
      </c>
      <c r="H581" s="68">
        <v>180</v>
      </c>
      <c r="I581" s="70">
        <v>185</v>
      </c>
      <c r="J581" s="70">
        <v>-16</v>
      </c>
      <c r="K581" s="70">
        <v>-18</v>
      </c>
      <c r="L581" s="70">
        <v>30</v>
      </c>
      <c r="M581" s="70">
        <v>23</v>
      </c>
      <c r="N581" s="70">
        <v>3800</v>
      </c>
      <c r="O581" s="70">
        <v>23</v>
      </c>
      <c r="P581" s="71">
        <v>119</v>
      </c>
      <c r="Q581" s="71">
        <v>800</v>
      </c>
      <c r="R581" s="72">
        <v>0.92</v>
      </c>
      <c r="S581" s="71">
        <v>900</v>
      </c>
      <c r="T581" s="71">
        <v>160</v>
      </c>
      <c r="U581" s="73">
        <v>1.5</v>
      </c>
      <c r="V581" s="73">
        <v>0.4</v>
      </c>
      <c r="W581" s="72">
        <v>0.33</v>
      </c>
      <c r="X581" s="72">
        <v>0.42</v>
      </c>
      <c r="Y581" s="72">
        <v>0.4</v>
      </c>
      <c r="Z581" s="74">
        <v>0.19</v>
      </c>
      <c r="AA581" s="74">
        <v>6.9000000000000006E-2</v>
      </c>
      <c r="AB581" s="74">
        <v>0.02</v>
      </c>
      <c r="AC581" s="74">
        <v>0.28999999999999998</v>
      </c>
    </row>
    <row r="582" spans="2:29" x14ac:dyDescent="0.2">
      <c r="B582" s="66" t="s">
        <v>256</v>
      </c>
      <c r="C582" s="67" t="s">
        <v>257</v>
      </c>
      <c r="D582" s="68">
        <v>1</v>
      </c>
      <c r="F582" s="66" t="s">
        <v>460</v>
      </c>
      <c r="G582" s="67" t="s">
        <v>247</v>
      </c>
      <c r="H582" s="68">
        <v>114</v>
      </c>
      <c r="I582" s="76">
        <v>623</v>
      </c>
      <c r="J582" s="70">
        <v>-39</v>
      </c>
      <c r="K582" s="70">
        <v>-42</v>
      </c>
      <c r="L582" s="70">
        <v>27</v>
      </c>
      <c r="M582" s="70">
        <v>20</v>
      </c>
      <c r="N582" s="76">
        <v>6000</v>
      </c>
      <c r="O582" s="76">
        <v>19</v>
      </c>
      <c r="P582" s="77">
        <v>75</v>
      </c>
      <c r="Q582" s="77">
        <v>345</v>
      </c>
      <c r="R582" s="72">
        <v>0.51</v>
      </c>
      <c r="S582" s="77">
        <v>480</v>
      </c>
      <c r="T582" s="77">
        <v>100</v>
      </c>
      <c r="U582" s="73">
        <v>1.9</v>
      </c>
      <c r="V582" s="73">
        <v>0.1</v>
      </c>
      <c r="W582" s="72">
        <v>0.28999999999999998</v>
      </c>
      <c r="X582" s="72">
        <v>0.39</v>
      </c>
      <c r="Y582" s="72">
        <v>0.12</v>
      </c>
      <c r="Z582" s="74">
        <v>0.06</v>
      </c>
      <c r="AA582" s="74">
        <v>0.02</v>
      </c>
      <c r="AB582" s="74">
        <v>0.01</v>
      </c>
      <c r="AC582" s="74">
        <v>0.06</v>
      </c>
    </row>
    <row r="583" spans="2:29" x14ac:dyDescent="0.2">
      <c r="B583" s="66" t="s">
        <v>286</v>
      </c>
      <c r="C583" s="67" t="s">
        <v>257</v>
      </c>
      <c r="D583" s="68">
        <v>2</v>
      </c>
      <c r="F583" s="66" t="s">
        <v>886</v>
      </c>
      <c r="G583" s="67" t="s">
        <v>264</v>
      </c>
      <c r="H583" s="68">
        <v>181</v>
      </c>
      <c r="I583" s="70">
        <v>235</v>
      </c>
      <c r="J583" s="70">
        <v>-34</v>
      </c>
      <c r="K583" s="70">
        <v>-36</v>
      </c>
      <c r="L583" s="70">
        <v>29</v>
      </c>
      <c r="M583" s="70">
        <v>21</v>
      </c>
      <c r="N583" s="70">
        <v>6400</v>
      </c>
      <c r="O583" s="70">
        <v>20</v>
      </c>
      <c r="P583" s="71">
        <v>92</v>
      </c>
      <c r="Q583" s="71">
        <v>560</v>
      </c>
      <c r="R583" s="72">
        <v>0.77</v>
      </c>
      <c r="S583" s="71">
        <v>850</v>
      </c>
      <c r="T583" s="71">
        <v>80</v>
      </c>
      <c r="U583" s="73">
        <v>2.7</v>
      </c>
      <c r="V583" s="73">
        <v>0.3</v>
      </c>
      <c r="W583" s="72">
        <v>0.24</v>
      </c>
      <c r="X583" s="72">
        <v>0.32</v>
      </c>
      <c r="Y583" s="72">
        <v>0.19</v>
      </c>
      <c r="Z583" s="74">
        <v>9.1999999999999998E-2</v>
      </c>
      <c r="AA583" s="74">
        <v>4.2000000000000003E-2</v>
      </c>
      <c r="AB583" s="74">
        <v>1.2999999999999999E-2</v>
      </c>
      <c r="AC583" s="74">
        <v>0.14000000000000001</v>
      </c>
    </row>
    <row r="584" spans="2:29" x14ac:dyDescent="0.2">
      <c r="B584" s="66" t="s">
        <v>293</v>
      </c>
      <c r="C584" s="67" t="s">
        <v>257</v>
      </c>
      <c r="D584" s="68">
        <v>3</v>
      </c>
      <c r="F584" s="66" t="s">
        <v>946</v>
      </c>
      <c r="G584" s="67" t="s">
        <v>270</v>
      </c>
      <c r="H584" s="68">
        <v>4</v>
      </c>
      <c r="I584" s="70">
        <v>595</v>
      </c>
      <c r="J584" s="70">
        <v>-51</v>
      </c>
      <c r="K584" s="70">
        <v>-53</v>
      </c>
      <c r="L584" s="70">
        <v>23</v>
      </c>
      <c r="M584" s="70">
        <v>16</v>
      </c>
      <c r="N584" s="70">
        <v>8700</v>
      </c>
      <c r="O584" s="70">
        <v>8</v>
      </c>
      <c r="P584" s="71">
        <v>59</v>
      </c>
      <c r="Q584" s="71">
        <v>290</v>
      </c>
      <c r="R584" s="72">
        <v>0.56999999999999995</v>
      </c>
      <c r="S584" s="71">
        <v>350</v>
      </c>
      <c r="T584" s="71">
        <v>40</v>
      </c>
      <c r="U584" s="73">
        <v>2.2000000000000002</v>
      </c>
      <c r="V584" s="73">
        <v>0.1</v>
      </c>
      <c r="W584" s="72">
        <v>0.23</v>
      </c>
      <c r="X584" s="72">
        <v>0.31</v>
      </c>
      <c r="Y584" s="72">
        <v>0.61</v>
      </c>
      <c r="Z584" s="74">
        <v>0.4</v>
      </c>
      <c r="AA584" s="74">
        <v>0.22</v>
      </c>
      <c r="AB584" s="74">
        <v>0.12</v>
      </c>
      <c r="AC584" s="74">
        <v>0.28000000000000003</v>
      </c>
    </row>
    <row r="585" spans="2:29" x14ac:dyDescent="0.2">
      <c r="B585" s="66" t="s">
        <v>295</v>
      </c>
      <c r="C585" s="67" t="s">
        <v>257</v>
      </c>
      <c r="D585" s="68">
        <v>4</v>
      </c>
      <c r="F585" s="66" t="s">
        <v>947</v>
      </c>
      <c r="G585" s="67" t="s">
        <v>257</v>
      </c>
      <c r="H585" s="68">
        <v>91</v>
      </c>
      <c r="I585" s="70">
        <v>10</v>
      </c>
      <c r="J585" s="70">
        <v>-24</v>
      </c>
      <c r="K585" s="70">
        <v>-27</v>
      </c>
      <c r="L585" s="70">
        <v>30</v>
      </c>
      <c r="M585" s="70">
        <v>23</v>
      </c>
      <c r="N585" s="70">
        <v>4650</v>
      </c>
      <c r="O585" s="70">
        <v>20</v>
      </c>
      <c r="P585" s="71">
        <v>102</v>
      </c>
      <c r="Q585" s="71">
        <v>800</v>
      </c>
      <c r="R585" s="72">
        <v>0.93</v>
      </c>
      <c r="S585" s="71">
        <v>975</v>
      </c>
      <c r="T585" s="71">
        <v>180</v>
      </c>
      <c r="U585" s="73">
        <v>2.8</v>
      </c>
      <c r="V585" s="73">
        <v>0.4</v>
      </c>
      <c r="W585" s="72">
        <v>0.33</v>
      </c>
      <c r="X585" s="72">
        <v>0.43</v>
      </c>
      <c r="Y585" s="72">
        <v>0.65</v>
      </c>
      <c r="Z585" s="74">
        <v>0.32</v>
      </c>
      <c r="AA585" s="74">
        <v>0.13</v>
      </c>
      <c r="AB585" s="74">
        <v>4.3999999999999997E-2</v>
      </c>
      <c r="AC585" s="74">
        <v>0.41</v>
      </c>
    </row>
    <row r="586" spans="2:29" x14ac:dyDescent="0.2">
      <c r="B586" s="66" t="s">
        <v>309</v>
      </c>
      <c r="C586" s="67" t="s">
        <v>257</v>
      </c>
      <c r="D586" s="68">
        <v>5</v>
      </c>
      <c r="F586" s="66" t="s">
        <v>943</v>
      </c>
      <c r="G586" s="67" t="s">
        <v>273</v>
      </c>
      <c r="H586" s="68">
        <v>2</v>
      </c>
      <c r="I586" s="70">
        <v>5</v>
      </c>
      <c r="J586" s="70">
        <v>-19</v>
      </c>
      <c r="K586" s="70">
        <v>-21</v>
      </c>
      <c r="L586" s="70">
        <v>27</v>
      </c>
      <c r="M586" s="70">
        <v>21</v>
      </c>
      <c r="N586" s="70">
        <v>4650</v>
      </c>
      <c r="O586" s="70">
        <v>13</v>
      </c>
      <c r="P586" s="71">
        <v>112</v>
      </c>
      <c r="Q586" s="71">
        <v>950</v>
      </c>
      <c r="R586" s="72">
        <v>1.1399999999999999</v>
      </c>
      <c r="S586" s="71">
        <v>1130</v>
      </c>
      <c r="T586" s="71">
        <v>350</v>
      </c>
      <c r="U586" s="73">
        <v>2.7</v>
      </c>
      <c r="V586" s="73">
        <v>0.6</v>
      </c>
      <c r="W586" s="72">
        <v>0.41</v>
      </c>
      <c r="X586" s="72">
        <v>0.54</v>
      </c>
      <c r="Y586" s="72">
        <v>0.15</v>
      </c>
      <c r="Z586" s="74">
        <v>9.9000000000000005E-2</v>
      </c>
      <c r="AA586" s="74">
        <v>5.0999999999999997E-2</v>
      </c>
      <c r="AB586" s="74">
        <v>1.4999999999999999E-2</v>
      </c>
      <c r="AC586" s="74">
        <v>7.8E-2</v>
      </c>
    </row>
    <row r="587" spans="2:29" x14ac:dyDescent="0.2">
      <c r="B587" s="66" t="s">
        <v>320</v>
      </c>
      <c r="C587" s="67" t="s">
        <v>257</v>
      </c>
      <c r="D587" s="68">
        <v>6</v>
      </c>
      <c r="F587" s="66" t="s">
        <v>888</v>
      </c>
      <c r="G587" s="67" t="s">
        <v>264</v>
      </c>
      <c r="H587" s="68">
        <v>182</v>
      </c>
      <c r="I587" s="70">
        <v>355</v>
      </c>
      <c r="J587" s="70">
        <v>-27</v>
      </c>
      <c r="K587" s="70">
        <v>-29</v>
      </c>
      <c r="L587" s="70">
        <v>28</v>
      </c>
      <c r="M587" s="70">
        <v>21</v>
      </c>
      <c r="N587" s="70">
        <v>5200</v>
      </c>
      <c r="O587" s="70">
        <v>28</v>
      </c>
      <c r="P587" s="71">
        <v>97</v>
      </c>
      <c r="Q587" s="71">
        <v>830</v>
      </c>
      <c r="R587" s="72">
        <v>0.96</v>
      </c>
      <c r="S587" s="71">
        <v>975</v>
      </c>
      <c r="T587" s="71">
        <v>120</v>
      </c>
      <c r="U587" s="73">
        <v>2.8</v>
      </c>
      <c r="V587" s="73">
        <v>0.4</v>
      </c>
      <c r="W587" s="72">
        <v>0.23</v>
      </c>
      <c r="X587" s="72">
        <v>0.32</v>
      </c>
      <c r="Y587" s="72">
        <v>0.23</v>
      </c>
      <c r="Z587" s="74">
        <v>0.13</v>
      </c>
      <c r="AA587" s="74">
        <v>0.06</v>
      </c>
      <c r="AB587" s="74">
        <v>1.9E-2</v>
      </c>
      <c r="AC587" s="74">
        <v>0.13</v>
      </c>
    </row>
    <row r="588" spans="2:29" x14ac:dyDescent="0.2">
      <c r="B588" s="66" t="s">
        <v>322</v>
      </c>
      <c r="C588" s="67" t="s">
        <v>257</v>
      </c>
      <c r="D588" s="68">
        <v>7</v>
      </c>
      <c r="F588" s="66" t="s">
        <v>889</v>
      </c>
      <c r="G588" s="67" t="s">
        <v>264</v>
      </c>
      <c r="H588" s="68">
        <v>183</v>
      </c>
      <c r="I588" s="70">
        <v>180</v>
      </c>
      <c r="J588" s="70">
        <v>-17</v>
      </c>
      <c r="K588" s="70">
        <v>-19</v>
      </c>
      <c r="L588" s="70">
        <v>28</v>
      </c>
      <c r="M588" s="70">
        <v>22</v>
      </c>
      <c r="N588" s="70">
        <v>4250</v>
      </c>
      <c r="O588" s="70">
        <v>23</v>
      </c>
      <c r="P588" s="71">
        <v>92</v>
      </c>
      <c r="Q588" s="71">
        <v>800</v>
      </c>
      <c r="R588" s="72">
        <v>0.95</v>
      </c>
      <c r="S588" s="71">
        <v>830</v>
      </c>
      <c r="T588" s="71">
        <v>180</v>
      </c>
      <c r="U588" s="73">
        <v>2.7</v>
      </c>
      <c r="V588" s="73">
        <v>0.4</v>
      </c>
      <c r="W588" s="72">
        <v>0.38</v>
      </c>
      <c r="X588" s="72">
        <v>0.53</v>
      </c>
      <c r="Y588" s="72">
        <v>0.12</v>
      </c>
      <c r="Z588" s="74">
        <v>7.3999999999999996E-2</v>
      </c>
      <c r="AA588" s="74">
        <v>3.9E-2</v>
      </c>
      <c r="AB588" s="74">
        <v>1.0999999999999999E-2</v>
      </c>
      <c r="AC588" s="74">
        <v>5.8999999999999997E-2</v>
      </c>
    </row>
    <row r="589" spans="2:29" x14ac:dyDescent="0.2">
      <c r="B589" s="66" t="s">
        <v>340</v>
      </c>
      <c r="C589" s="67" t="s">
        <v>257</v>
      </c>
      <c r="D589" s="68">
        <v>8</v>
      </c>
      <c r="F589" s="66" t="s">
        <v>462</v>
      </c>
      <c r="G589" s="67" t="s">
        <v>247</v>
      </c>
      <c r="H589" s="68">
        <v>115</v>
      </c>
      <c r="I589" s="76">
        <v>640</v>
      </c>
      <c r="J589" s="70">
        <v>-38</v>
      </c>
      <c r="K589" s="70">
        <v>-41</v>
      </c>
      <c r="L589" s="70">
        <v>27</v>
      </c>
      <c r="M589" s="70">
        <v>18</v>
      </c>
      <c r="N589" s="76">
        <v>6200</v>
      </c>
      <c r="O589" s="76">
        <v>18</v>
      </c>
      <c r="P589" s="77">
        <v>75</v>
      </c>
      <c r="Q589" s="77">
        <v>310</v>
      </c>
      <c r="R589" s="72">
        <v>0.49</v>
      </c>
      <c r="S589" s="77">
        <v>440</v>
      </c>
      <c r="T589" s="77">
        <v>110</v>
      </c>
      <c r="U589" s="73">
        <v>2.4</v>
      </c>
      <c r="V589" s="73">
        <v>0.1</v>
      </c>
      <c r="W589" s="72">
        <v>0.3</v>
      </c>
      <c r="X589" s="72">
        <v>0.4</v>
      </c>
      <c r="Y589" s="72">
        <v>0.12</v>
      </c>
      <c r="Z589" s="74">
        <v>0.06</v>
      </c>
      <c r="AA589" s="74">
        <v>0.02</v>
      </c>
      <c r="AB589" s="74">
        <v>0.01</v>
      </c>
      <c r="AC589" s="74">
        <v>0.06</v>
      </c>
    </row>
    <row r="590" spans="2:29" x14ac:dyDescent="0.2">
      <c r="B590" s="66" t="s">
        <v>345</v>
      </c>
      <c r="C590" s="67" t="s">
        <v>257</v>
      </c>
      <c r="D590" s="68">
        <v>9</v>
      </c>
      <c r="F590" s="66" t="s">
        <v>669</v>
      </c>
      <c r="G590" s="67" t="s">
        <v>252</v>
      </c>
      <c r="H590" s="68">
        <v>18</v>
      </c>
      <c r="I590" s="70">
        <v>175</v>
      </c>
      <c r="J590" s="70">
        <v>-38</v>
      </c>
      <c r="K590" s="70">
        <v>-40</v>
      </c>
      <c r="L590" s="70">
        <v>27</v>
      </c>
      <c r="M590" s="70">
        <v>19</v>
      </c>
      <c r="N590" s="70">
        <v>8100</v>
      </c>
      <c r="O590" s="70">
        <v>10</v>
      </c>
      <c r="P590" s="71">
        <v>65</v>
      </c>
      <c r="Q590" s="71">
        <v>325</v>
      </c>
      <c r="R590" s="72">
        <v>0.66</v>
      </c>
      <c r="S590" s="71">
        <v>500</v>
      </c>
      <c r="T590" s="71">
        <v>120</v>
      </c>
      <c r="U590" s="73">
        <v>2.5</v>
      </c>
      <c r="V590" s="73">
        <v>0.2</v>
      </c>
      <c r="W590" s="72">
        <v>0.37</v>
      </c>
      <c r="X590" s="72">
        <v>0.49</v>
      </c>
      <c r="Y590" s="72">
        <v>0.12</v>
      </c>
      <c r="Z590" s="74">
        <v>5.6000000000000001E-2</v>
      </c>
      <c r="AA590" s="74">
        <v>2.3E-2</v>
      </c>
      <c r="AB590" s="74">
        <v>6.0000000000000001E-3</v>
      </c>
      <c r="AC590" s="74">
        <v>5.8999999999999997E-2</v>
      </c>
    </row>
    <row r="591" spans="2:29" x14ac:dyDescent="0.2">
      <c r="B591" s="66" t="s">
        <v>352</v>
      </c>
      <c r="C591" s="67" t="s">
        <v>257</v>
      </c>
      <c r="D591" s="68">
        <v>10</v>
      </c>
      <c r="F591" s="66" t="s">
        <v>739</v>
      </c>
      <c r="G591" s="67" t="s">
        <v>261</v>
      </c>
      <c r="H591" s="68">
        <v>19</v>
      </c>
      <c r="I591" s="70">
        <v>185</v>
      </c>
      <c r="J591" s="70">
        <v>-20</v>
      </c>
      <c r="K591" s="70">
        <v>-23</v>
      </c>
      <c r="L591" s="70">
        <v>27</v>
      </c>
      <c r="M591" s="70">
        <v>21</v>
      </c>
      <c r="N591" s="70">
        <v>4600</v>
      </c>
      <c r="O591" s="70">
        <v>18</v>
      </c>
      <c r="P591" s="71">
        <v>123</v>
      </c>
      <c r="Q591" s="71">
        <v>1075</v>
      </c>
      <c r="R591" s="72">
        <v>1.22</v>
      </c>
      <c r="S591" s="71">
        <v>1175</v>
      </c>
      <c r="T591" s="71">
        <v>220</v>
      </c>
      <c r="U591" s="73">
        <v>3.1</v>
      </c>
      <c r="V591" s="73">
        <v>0.6</v>
      </c>
      <c r="W591" s="72">
        <v>0.39</v>
      </c>
      <c r="X591" s="72">
        <v>0.56000000000000005</v>
      </c>
      <c r="Y591" s="72">
        <v>0.24</v>
      </c>
      <c r="Z591" s="74">
        <v>0.13</v>
      </c>
      <c r="AA591" s="74">
        <v>6.3E-2</v>
      </c>
      <c r="AB591" s="74">
        <v>1.7999999999999999E-2</v>
      </c>
      <c r="AC591" s="74">
        <v>0.14000000000000001</v>
      </c>
    </row>
    <row r="592" spans="2:29" x14ac:dyDescent="0.2">
      <c r="B592" s="66" t="s">
        <v>358</v>
      </c>
      <c r="C592" s="67" t="s">
        <v>257</v>
      </c>
      <c r="D592" s="68">
        <v>11</v>
      </c>
      <c r="F592" s="66" t="s">
        <v>463</v>
      </c>
      <c r="G592" s="67" t="s">
        <v>247</v>
      </c>
      <c r="H592" s="68">
        <v>116</v>
      </c>
      <c r="I592" s="76">
        <v>709</v>
      </c>
      <c r="J592" s="70">
        <v>-37</v>
      </c>
      <c r="K592" s="70">
        <v>-40</v>
      </c>
      <c r="L592" s="70">
        <v>27</v>
      </c>
      <c r="M592" s="70">
        <v>19</v>
      </c>
      <c r="N592" s="76">
        <v>5600</v>
      </c>
      <c r="O592" s="76">
        <v>19</v>
      </c>
      <c r="P592" s="77">
        <v>90</v>
      </c>
      <c r="Q592" s="77">
        <v>400</v>
      </c>
      <c r="R592" s="72">
        <v>0.51</v>
      </c>
      <c r="S592" s="77">
        <v>500</v>
      </c>
      <c r="T592" s="77">
        <v>120</v>
      </c>
      <c r="U592" s="73">
        <v>1.8</v>
      </c>
      <c r="V592" s="73">
        <v>0.1</v>
      </c>
      <c r="W592" s="72">
        <v>0.32</v>
      </c>
      <c r="X592" s="72">
        <v>0.45</v>
      </c>
      <c r="Y592" s="72">
        <v>0.12</v>
      </c>
      <c r="Z592" s="74">
        <v>0.06</v>
      </c>
      <c r="AA592" s="74">
        <v>0.02</v>
      </c>
      <c r="AB592" s="74">
        <v>0.01</v>
      </c>
      <c r="AC592" s="74">
        <v>0.06</v>
      </c>
    </row>
    <row r="593" spans="2:29" x14ac:dyDescent="0.2">
      <c r="B593" s="66" t="s">
        <v>393</v>
      </c>
      <c r="C593" s="67" t="s">
        <v>257</v>
      </c>
      <c r="D593" s="68">
        <v>12</v>
      </c>
      <c r="F593" s="66" t="s">
        <v>622</v>
      </c>
      <c r="G593" s="67" t="s">
        <v>224</v>
      </c>
      <c r="H593" s="68">
        <v>75</v>
      </c>
      <c r="I593" s="70">
        <v>5</v>
      </c>
      <c r="J593" s="70">
        <v>-11</v>
      </c>
      <c r="K593" s="70">
        <v>-13</v>
      </c>
      <c r="L593" s="70">
        <v>29</v>
      </c>
      <c r="M593" s="70">
        <v>20</v>
      </c>
      <c r="N593" s="70">
        <v>3200</v>
      </c>
      <c r="O593" s="70">
        <v>10</v>
      </c>
      <c r="P593" s="71">
        <v>150</v>
      </c>
      <c r="Q593" s="71">
        <v>2050</v>
      </c>
      <c r="R593" s="72">
        <v>2.12</v>
      </c>
      <c r="S593" s="71">
        <v>2200</v>
      </c>
      <c r="T593" s="71">
        <v>160</v>
      </c>
      <c r="U593" s="73">
        <v>3.2</v>
      </c>
      <c r="V593" s="73">
        <v>0.7</v>
      </c>
      <c r="W593" s="72">
        <v>0.38</v>
      </c>
      <c r="X593" s="72">
        <v>0.56000000000000005</v>
      </c>
      <c r="Y593" s="72">
        <v>0.72</v>
      </c>
      <c r="Z593" s="74">
        <v>0.52</v>
      </c>
      <c r="AA593" s="74">
        <v>0.3</v>
      </c>
      <c r="AB593" s="74">
        <v>0.16</v>
      </c>
      <c r="AC593" s="74">
        <v>0.33</v>
      </c>
    </row>
    <row r="594" spans="2:29" x14ac:dyDescent="0.2">
      <c r="B594" s="66" t="s">
        <v>396</v>
      </c>
      <c r="C594" s="67" t="s">
        <v>257</v>
      </c>
      <c r="D594" s="68">
        <v>13</v>
      </c>
      <c r="F594" s="66" t="s">
        <v>473</v>
      </c>
      <c r="G594" s="67" t="s">
        <v>247</v>
      </c>
      <c r="H594" s="68">
        <v>121</v>
      </c>
      <c r="I594" s="76">
        <v>689</v>
      </c>
      <c r="J594" s="70">
        <v>-37</v>
      </c>
      <c r="K594" s="70">
        <v>-40</v>
      </c>
      <c r="L594" s="70">
        <v>27</v>
      </c>
      <c r="M594" s="70">
        <v>19</v>
      </c>
      <c r="N594" s="76">
        <v>5600</v>
      </c>
      <c r="O594" s="76">
        <v>20</v>
      </c>
      <c r="P594" s="77">
        <v>95</v>
      </c>
      <c r="Q594" s="77">
        <v>375</v>
      </c>
      <c r="R594" s="72">
        <v>0.49</v>
      </c>
      <c r="S594" s="77">
        <v>480</v>
      </c>
      <c r="T594" s="77">
        <v>150</v>
      </c>
      <c r="U594" s="73">
        <v>1.8</v>
      </c>
      <c r="V594" s="73">
        <v>0.1</v>
      </c>
      <c r="W594" s="72">
        <v>0.32</v>
      </c>
      <c r="X594" s="72">
        <v>0.45</v>
      </c>
      <c r="Y594" s="72">
        <v>0.12</v>
      </c>
      <c r="Z594" s="74">
        <v>0.06</v>
      </c>
      <c r="AA594" s="74">
        <v>0.02</v>
      </c>
      <c r="AB594" s="74">
        <v>0.01</v>
      </c>
      <c r="AC594" s="74">
        <v>0.06</v>
      </c>
    </row>
    <row r="595" spans="2:29" x14ac:dyDescent="0.2">
      <c r="B595" s="66" t="s">
        <v>401</v>
      </c>
      <c r="C595" s="67" t="s">
        <v>257</v>
      </c>
      <c r="D595" s="68">
        <v>14</v>
      </c>
      <c r="F595" s="66" t="s">
        <v>708</v>
      </c>
      <c r="G595" s="67" t="s">
        <v>258</v>
      </c>
      <c r="H595" s="68">
        <v>13</v>
      </c>
      <c r="I595" s="70">
        <v>10</v>
      </c>
      <c r="J595" s="70">
        <v>-24</v>
      </c>
      <c r="K595" s="70">
        <v>-27</v>
      </c>
      <c r="L595" s="70">
        <v>22</v>
      </c>
      <c r="M595" s="70">
        <v>18</v>
      </c>
      <c r="N595" s="70">
        <v>6300</v>
      </c>
      <c r="O595" s="70">
        <v>13</v>
      </c>
      <c r="P595" s="71">
        <v>86</v>
      </c>
      <c r="Q595" s="71">
        <v>800</v>
      </c>
      <c r="R595" s="72">
        <v>1.07</v>
      </c>
      <c r="S595" s="71">
        <v>1280</v>
      </c>
      <c r="T595" s="71">
        <v>450</v>
      </c>
      <c r="U595" s="73">
        <v>5.0999999999999996</v>
      </c>
      <c r="V595" s="73">
        <v>0.6</v>
      </c>
      <c r="W595" s="72">
        <v>0.56999999999999995</v>
      </c>
      <c r="X595" s="72">
        <v>0.87</v>
      </c>
      <c r="Y595" s="72">
        <v>0.15</v>
      </c>
      <c r="Z595" s="74">
        <v>9.6000000000000002E-2</v>
      </c>
      <c r="AA595" s="74">
        <v>5.1999999999999998E-2</v>
      </c>
      <c r="AB595" s="74">
        <v>1.4E-2</v>
      </c>
      <c r="AC595" s="74">
        <v>8.1000000000000003E-2</v>
      </c>
    </row>
    <row r="596" spans="2:29" x14ac:dyDescent="0.2">
      <c r="B596" s="66" t="s">
        <v>423</v>
      </c>
      <c r="C596" s="67" t="s">
        <v>257</v>
      </c>
      <c r="D596" s="68">
        <v>15</v>
      </c>
      <c r="F596" s="66" t="s">
        <v>891</v>
      </c>
      <c r="G596" s="67" t="s">
        <v>264</v>
      </c>
      <c r="H596" s="68">
        <v>184</v>
      </c>
      <c r="I596" s="70">
        <v>105</v>
      </c>
      <c r="J596" s="70">
        <v>-16</v>
      </c>
      <c r="K596" s="70">
        <v>-18</v>
      </c>
      <c r="L596" s="70">
        <v>30</v>
      </c>
      <c r="M596" s="70">
        <v>23</v>
      </c>
      <c r="N596" s="70">
        <v>3675</v>
      </c>
      <c r="O596" s="70">
        <v>23</v>
      </c>
      <c r="P596" s="71">
        <v>92</v>
      </c>
      <c r="Q596" s="71">
        <v>770</v>
      </c>
      <c r="R596" s="72">
        <v>0.9</v>
      </c>
      <c r="S596" s="71">
        <v>850</v>
      </c>
      <c r="T596" s="71">
        <v>160</v>
      </c>
      <c r="U596" s="73">
        <v>1</v>
      </c>
      <c r="V596" s="73">
        <v>0.4</v>
      </c>
      <c r="W596" s="72">
        <v>0.36</v>
      </c>
      <c r="X596" s="72">
        <v>0.46</v>
      </c>
      <c r="Y596" s="72">
        <v>0.41</v>
      </c>
      <c r="Z596" s="74">
        <v>0.2</v>
      </c>
      <c r="AA596" s="74">
        <v>7.1999999999999995E-2</v>
      </c>
      <c r="AB596" s="74">
        <v>2.1000000000000001E-2</v>
      </c>
      <c r="AC596" s="74">
        <v>0.3</v>
      </c>
    </row>
    <row r="597" spans="2:29" x14ac:dyDescent="0.2">
      <c r="B597" s="66" t="s">
        <v>453</v>
      </c>
      <c r="C597" s="67" t="s">
        <v>257</v>
      </c>
      <c r="D597" s="68">
        <v>16</v>
      </c>
      <c r="F597" s="66" t="s">
        <v>710</v>
      </c>
      <c r="G597" s="67" t="s">
        <v>258</v>
      </c>
      <c r="H597" s="68">
        <v>14</v>
      </c>
      <c r="I597" s="70">
        <v>65</v>
      </c>
      <c r="J597" s="70">
        <v>-14</v>
      </c>
      <c r="K597" s="70">
        <v>-16</v>
      </c>
      <c r="L597" s="70">
        <v>24</v>
      </c>
      <c r="M597" s="70">
        <v>20</v>
      </c>
      <c r="N597" s="70">
        <v>4800</v>
      </c>
      <c r="O597" s="70">
        <v>18</v>
      </c>
      <c r="P597" s="71">
        <v>118</v>
      </c>
      <c r="Q597" s="71">
        <v>1200</v>
      </c>
      <c r="R597" s="72">
        <v>1.41</v>
      </c>
      <c r="S597" s="71">
        <v>1575</v>
      </c>
      <c r="T597" s="71">
        <v>400</v>
      </c>
      <c r="U597" s="73">
        <v>2.9</v>
      </c>
      <c r="V597" s="73">
        <v>0.7</v>
      </c>
      <c r="W597" s="72">
        <v>0.6</v>
      </c>
      <c r="X597" s="72">
        <v>0.8</v>
      </c>
      <c r="Y597" s="72">
        <v>0.18</v>
      </c>
      <c r="Z597" s="74">
        <v>0.11</v>
      </c>
      <c r="AA597" s="74">
        <v>0.06</v>
      </c>
      <c r="AB597" s="74">
        <v>1.6E-2</v>
      </c>
      <c r="AC597" s="74">
        <v>0.09</v>
      </c>
    </row>
    <row r="598" spans="2:29" x14ac:dyDescent="0.2">
      <c r="B598" s="66" t="s">
        <v>470</v>
      </c>
      <c r="C598" s="67" t="s">
        <v>257</v>
      </c>
      <c r="D598" s="68">
        <v>17</v>
      </c>
      <c r="F598" s="66" t="s">
        <v>893</v>
      </c>
      <c r="G598" s="67" t="s">
        <v>264</v>
      </c>
      <c r="H598" s="68">
        <v>185</v>
      </c>
      <c r="I598" s="70">
        <v>310</v>
      </c>
      <c r="J598" s="70">
        <v>-18</v>
      </c>
      <c r="K598" s="70">
        <v>-20</v>
      </c>
      <c r="L598" s="70">
        <v>30</v>
      </c>
      <c r="M598" s="70">
        <v>23</v>
      </c>
      <c r="N598" s="70">
        <v>4250</v>
      </c>
      <c r="O598" s="70">
        <v>28</v>
      </c>
      <c r="P598" s="71">
        <v>108</v>
      </c>
      <c r="Q598" s="71">
        <v>820</v>
      </c>
      <c r="R598" s="72">
        <v>0.95</v>
      </c>
      <c r="S598" s="71">
        <v>1025</v>
      </c>
      <c r="T598" s="71">
        <v>160</v>
      </c>
      <c r="U598" s="73">
        <v>2.2000000000000002</v>
      </c>
      <c r="V598" s="73">
        <v>0.4</v>
      </c>
      <c r="W598" s="72">
        <v>0.35</v>
      </c>
      <c r="X598" s="72">
        <v>0.51</v>
      </c>
      <c r="Y598" s="72">
        <v>0.16</v>
      </c>
      <c r="Z598" s="74">
        <v>8.5999999999999993E-2</v>
      </c>
      <c r="AA598" s="74">
        <v>4.4999999999999998E-2</v>
      </c>
      <c r="AB598" s="74">
        <v>1.2E-2</v>
      </c>
      <c r="AC598" s="74">
        <v>9.6000000000000002E-2</v>
      </c>
    </row>
    <row r="599" spans="2:29" x14ac:dyDescent="0.2">
      <c r="B599" s="66" t="s">
        <v>472</v>
      </c>
      <c r="C599" s="67" t="s">
        <v>257</v>
      </c>
      <c r="D599" s="68">
        <v>18</v>
      </c>
      <c r="F599" s="66" t="s">
        <v>475</v>
      </c>
      <c r="G599" s="67" t="s">
        <v>247</v>
      </c>
      <c r="H599" s="68">
        <v>122</v>
      </c>
      <c r="I599" s="76">
        <v>646</v>
      </c>
      <c r="J599" s="70">
        <v>-37</v>
      </c>
      <c r="K599" s="70">
        <v>-40</v>
      </c>
      <c r="L599" s="70">
        <v>28</v>
      </c>
      <c r="M599" s="70">
        <v>20</v>
      </c>
      <c r="N599" s="76">
        <v>6100</v>
      </c>
      <c r="O599" s="76">
        <v>21</v>
      </c>
      <c r="P599" s="77">
        <v>75</v>
      </c>
      <c r="Q599" s="77">
        <v>320</v>
      </c>
      <c r="R599" s="72">
        <v>0.53</v>
      </c>
      <c r="S599" s="77">
        <v>440</v>
      </c>
      <c r="T599" s="77">
        <v>90</v>
      </c>
      <c r="U599" s="73">
        <v>1.9</v>
      </c>
      <c r="V599" s="73">
        <v>0.1</v>
      </c>
      <c r="W599" s="72">
        <v>0.25</v>
      </c>
      <c r="X599" s="72">
        <v>0.33</v>
      </c>
      <c r="Y599" s="72">
        <v>0.12</v>
      </c>
      <c r="Z599" s="74">
        <v>0.06</v>
      </c>
      <c r="AA599" s="74">
        <v>0.02</v>
      </c>
      <c r="AB599" s="74">
        <v>0.01</v>
      </c>
      <c r="AC599" s="74">
        <v>0.06</v>
      </c>
    </row>
    <row r="600" spans="2:29" x14ac:dyDescent="0.2">
      <c r="B600" s="66" t="s">
        <v>474</v>
      </c>
      <c r="C600" s="67" t="s">
        <v>257</v>
      </c>
      <c r="D600" s="68">
        <v>19</v>
      </c>
      <c r="F600" s="66" t="s">
        <v>696</v>
      </c>
      <c r="G600" s="67" t="s">
        <v>254</v>
      </c>
      <c r="H600" s="68">
        <v>14</v>
      </c>
      <c r="I600" s="70">
        <v>20</v>
      </c>
      <c r="J600" s="70">
        <v>-22</v>
      </c>
      <c r="K600" s="70">
        <v>-25</v>
      </c>
      <c r="L600" s="70">
        <v>27</v>
      </c>
      <c r="M600" s="70">
        <v>21</v>
      </c>
      <c r="N600" s="70">
        <v>4600</v>
      </c>
      <c r="O600" s="70">
        <v>20</v>
      </c>
      <c r="P600" s="71">
        <v>123</v>
      </c>
      <c r="Q600" s="71">
        <v>1000</v>
      </c>
      <c r="R600" s="72">
        <v>1.1499999999999999</v>
      </c>
      <c r="S600" s="71">
        <v>1160</v>
      </c>
      <c r="T600" s="71">
        <v>180</v>
      </c>
      <c r="U600" s="73">
        <v>2.5</v>
      </c>
      <c r="V600" s="73">
        <v>0.6</v>
      </c>
      <c r="W600" s="72">
        <v>0.45</v>
      </c>
      <c r="X600" s="72">
        <v>0.6</v>
      </c>
      <c r="Y600" s="72">
        <v>0.66</v>
      </c>
      <c r="Z600" s="74">
        <v>0.28999999999999998</v>
      </c>
      <c r="AA600" s="74">
        <v>0.12</v>
      </c>
      <c r="AB600" s="74">
        <v>3.5000000000000003E-2</v>
      </c>
      <c r="AC600" s="74">
        <v>0.41</v>
      </c>
    </row>
    <row r="601" spans="2:29" x14ac:dyDescent="0.2">
      <c r="B601" s="66" t="s">
        <v>488</v>
      </c>
      <c r="C601" s="67" t="s">
        <v>257</v>
      </c>
      <c r="D601" s="68">
        <v>20</v>
      </c>
      <c r="F601" s="66" t="s">
        <v>895</v>
      </c>
      <c r="G601" s="67" t="s">
        <v>264</v>
      </c>
      <c r="H601" s="68">
        <v>186</v>
      </c>
      <c r="I601" s="70">
        <v>225</v>
      </c>
      <c r="J601" s="70">
        <v>-16</v>
      </c>
      <c r="K601" s="70">
        <v>-18</v>
      </c>
      <c r="L601" s="70">
        <v>31</v>
      </c>
      <c r="M601" s="70">
        <v>23</v>
      </c>
      <c r="N601" s="70">
        <v>4000</v>
      </c>
      <c r="O601" s="70">
        <v>25</v>
      </c>
      <c r="P601" s="71">
        <v>108</v>
      </c>
      <c r="Q601" s="71">
        <v>900</v>
      </c>
      <c r="R601" s="72">
        <v>0.99</v>
      </c>
      <c r="S601" s="71">
        <v>975</v>
      </c>
      <c r="T601" s="71">
        <v>180</v>
      </c>
      <c r="U601" s="73">
        <v>1.4</v>
      </c>
      <c r="V601" s="73">
        <v>0.4</v>
      </c>
      <c r="W601" s="72">
        <v>0.33</v>
      </c>
      <c r="X601" s="72">
        <v>0.48</v>
      </c>
      <c r="Y601" s="72">
        <v>0.2</v>
      </c>
      <c r="Z601" s="74">
        <v>9.8000000000000004E-2</v>
      </c>
      <c r="AA601" s="74">
        <v>4.8000000000000001E-2</v>
      </c>
      <c r="AB601" s="74">
        <v>1.2999999999999999E-2</v>
      </c>
      <c r="AC601" s="74">
        <v>0.13</v>
      </c>
    </row>
    <row r="602" spans="2:29" x14ac:dyDescent="0.2">
      <c r="B602" s="66" t="s">
        <v>504</v>
      </c>
      <c r="C602" s="67" t="s">
        <v>257</v>
      </c>
      <c r="D602" s="68">
        <v>21</v>
      </c>
      <c r="F602" s="66" t="s">
        <v>465</v>
      </c>
      <c r="G602" s="67" t="s">
        <v>247</v>
      </c>
      <c r="H602" s="68">
        <v>117</v>
      </c>
      <c r="I602" s="76">
        <v>1044</v>
      </c>
      <c r="J602" s="70">
        <v>-33</v>
      </c>
      <c r="K602" s="70">
        <v>-36</v>
      </c>
      <c r="L602" s="70">
        <v>30</v>
      </c>
      <c r="M602" s="70">
        <v>18</v>
      </c>
      <c r="N602" s="76">
        <v>4800</v>
      </c>
      <c r="O602" s="76">
        <v>17</v>
      </c>
      <c r="P602" s="77">
        <v>95</v>
      </c>
      <c r="Q602" s="77">
        <v>330</v>
      </c>
      <c r="R602" s="72">
        <v>0.37</v>
      </c>
      <c r="S602" s="77">
        <v>440</v>
      </c>
      <c r="T602" s="77">
        <v>200</v>
      </c>
      <c r="U602" s="73">
        <v>1.4</v>
      </c>
      <c r="V602" s="73">
        <v>0.1</v>
      </c>
      <c r="W602" s="72">
        <v>0.59</v>
      </c>
      <c r="X602" s="72">
        <v>0.79</v>
      </c>
      <c r="Y602" s="72">
        <v>0.15</v>
      </c>
      <c r="Z602" s="74">
        <v>0.09</v>
      </c>
      <c r="AA602" s="74">
        <v>0.04</v>
      </c>
      <c r="AB602" s="74">
        <v>0.03</v>
      </c>
      <c r="AC602" s="74">
        <v>0.09</v>
      </c>
    </row>
    <row r="603" spans="2:29" x14ac:dyDescent="0.2">
      <c r="B603" s="66" t="s">
        <v>519</v>
      </c>
      <c r="C603" s="67" t="s">
        <v>257</v>
      </c>
      <c r="D603" s="68">
        <v>22</v>
      </c>
      <c r="F603" s="66" t="s">
        <v>948</v>
      </c>
      <c r="G603" s="67" t="s">
        <v>257</v>
      </c>
      <c r="H603" s="68">
        <v>92</v>
      </c>
      <c r="I603" s="70">
        <v>360</v>
      </c>
      <c r="J603" s="70">
        <v>-27</v>
      </c>
      <c r="K603" s="70">
        <v>-29</v>
      </c>
      <c r="L603" s="70">
        <v>27</v>
      </c>
      <c r="M603" s="70">
        <v>22</v>
      </c>
      <c r="N603" s="70">
        <v>5500</v>
      </c>
      <c r="O603" s="70">
        <v>23</v>
      </c>
      <c r="P603" s="71">
        <v>96</v>
      </c>
      <c r="Q603" s="71">
        <v>820</v>
      </c>
      <c r="R603" s="72">
        <v>1</v>
      </c>
      <c r="S603" s="71">
        <v>1170</v>
      </c>
      <c r="T603" s="71">
        <v>140</v>
      </c>
      <c r="U603" s="73">
        <v>3.4</v>
      </c>
      <c r="V603" s="73">
        <v>0.4</v>
      </c>
      <c r="W603" s="72">
        <v>0.27</v>
      </c>
      <c r="X603" s="72">
        <v>0.35</v>
      </c>
      <c r="Y603" s="72">
        <v>0.59</v>
      </c>
      <c r="Z603" s="74">
        <v>0.28000000000000003</v>
      </c>
      <c r="AA603" s="74">
        <v>0.13</v>
      </c>
      <c r="AB603" s="74">
        <v>3.9E-2</v>
      </c>
      <c r="AC603" s="74">
        <v>0.38</v>
      </c>
    </row>
    <row r="604" spans="2:29" x14ac:dyDescent="0.2">
      <c r="B604" s="66" t="s">
        <v>532</v>
      </c>
      <c r="C604" s="67" t="s">
        <v>257</v>
      </c>
      <c r="D604" s="68">
        <v>23</v>
      </c>
      <c r="F604" s="66" t="s">
        <v>949</v>
      </c>
      <c r="G604" s="67" t="s">
        <v>257</v>
      </c>
      <c r="H604" s="68">
        <v>93</v>
      </c>
      <c r="I604" s="70">
        <v>35</v>
      </c>
      <c r="J604" s="70">
        <v>-23</v>
      </c>
      <c r="K604" s="70">
        <v>-26</v>
      </c>
      <c r="L604" s="70">
        <v>29</v>
      </c>
      <c r="M604" s="70">
        <v>22</v>
      </c>
      <c r="N604" s="70">
        <v>4550</v>
      </c>
      <c r="O604" s="70">
        <v>23</v>
      </c>
      <c r="P604" s="71">
        <v>96</v>
      </c>
      <c r="Q604" s="71">
        <v>780</v>
      </c>
      <c r="R604" s="72">
        <v>0.89</v>
      </c>
      <c r="S604" s="71">
        <v>960</v>
      </c>
      <c r="T604" s="71">
        <v>180</v>
      </c>
      <c r="U604" s="73">
        <v>2.2999999999999998</v>
      </c>
      <c r="V604" s="73">
        <v>0.4</v>
      </c>
      <c r="W604" s="72">
        <v>0.31</v>
      </c>
      <c r="X604" s="72">
        <v>0.4</v>
      </c>
      <c r="Y604" s="72">
        <v>0.69</v>
      </c>
      <c r="Z604" s="74">
        <v>0.34</v>
      </c>
      <c r="AA604" s="74">
        <v>0.14000000000000001</v>
      </c>
      <c r="AB604" s="74">
        <v>4.8000000000000001E-2</v>
      </c>
      <c r="AC604" s="74">
        <v>0.43</v>
      </c>
    </row>
    <row r="605" spans="2:29" x14ac:dyDescent="0.2">
      <c r="B605" s="66" t="s">
        <v>535</v>
      </c>
      <c r="C605" s="67" t="s">
        <v>257</v>
      </c>
      <c r="D605" s="68">
        <v>24</v>
      </c>
      <c r="F605" s="66" t="s">
        <v>950</v>
      </c>
      <c r="G605" s="67" t="s">
        <v>257</v>
      </c>
      <c r="H605" s="68">
        <v>94</v>
      </c>
      <c r="I605" s="70">
        <v>115</v>
      </c>
      <c r="J605" s="70">
        <v>-25</v>
      </c>
      <c r="K605" s="70">
        <v>-28</v>
      </c>
      <c r="L605" s="70">
        <v>28</v>
      </c>
      <c r="M605" s="70">
        <v>22</v>
      </c>
      <c r="N605" s="70">
        <v>5200</v>
      </c>
      <c r="O605" s="70">
        <v>20</v>
      </c>
      <c r="P605" s="71">
        <v>107</v>
      </c>
      <c r="Q605" s="71">
        <v>940</v>
      </c>
      <c r="R605" s="72">
        <v>1.06</v>
      </c>
      <c r="S605" s="71">
        <v>1200</v>
      </c>
      <c r="T605" s="71">
        <v>180</v>
      </c>
      <c r="U605" s="73">
        <v>3.7</v>
      </c>
      <c r="V605" s="73">
        <v>0.6</v>
      </c>
      <c r="W605" s="72">
        <v>0.38</v>
      </c>
      <c r="X605" s="72">
        <v>0.53</v>
      </c>
      <c r="Y605" s="72">
        <v>0.59</v>
      </c>
      <c r="Z605" s="74">
        <v>0.28999999999999998</v>
      </c>
      <c r="AA605" s="74">
        <v>0.14000000000000001</v>
      </c>
      <c r="AB605" s="74">
        <v>4.7E-2</v>
      </c>
      <c r="AC605" s="74">
        <v>0.37</v>
      </c>
    </row>
    <row r="606" spans="2:29" x14ac:dyDescent="0.2">
      <c r="B606" s="66" t="s">
        <v>540</v>
      </c>
      <c r="C606" s="67" t="s">
        <v>257</v>
      </c>
      <c r="D606" s="68">
        <v>25</v>
      </c>
      <c r="F606" s="66" t="s">
        <v>671</v>
      </c>
      <c r="G606" s="67" t="s">
        <v>252</v>
      </c>
      <c r="H606" s="68">
        <v>19</v>
      </c>
      <c r="I606" s="70">
        <v>270</v>
      </c>
      <c r="J606" s="70">
        <v>-33</v>
      </c>
      <c r="K606" s="70">
        <v>-35</v>
      </c>
      <c r="L606" s="70">
        <v>30</v>
      </c>
      <c r="M606" s="70">
        <v>23</v>
      </c>
      <c r="N606" s="70">
        <v>5800</v>
      </c>
      <c r="O606" s="70">
        <v>28</v>
      </c>
      <c r="P606" s="71">
        <v>92</v>
      </c>
      <c r="Q606" s="71">
        <v>440</v>
      </c>
      <c r="R606" s="72">
        <v>0.57999999999999996</v>
      </c>
      <c r="S606" s="71">
        <v>500</v>
      </c>
      <c r="T606" s="71">
        <v>180</v>
      </c>
      <c r="U606" s="73">
        <v>2</v>
      </c>
      <c r="V606" s="73">
        <v>0.2</v>
      </c>
      <c r="W606" s="72">
        <v>0.31</v>
      </c>
      <c r="X606" s="72">
        <v>0.4</v>
      </c>
      <c r="Y606" s="72">
        <v>0.12</v>
      </c>
      <c r="Z606" s="74">
        <v>5.6000000000000001E-2</v>
      </c>
      <c r="AA606" s="74">
        <v>2.3E-2</v>
      </c>
      <c r="AB606" s="74">
        <v>6.0000000000000001E-3</v>
      </c>
      <c r="AC606" s="74">
        <v>5.8999999999999997E-2</v>
      </c>
    </row>
    <row r="607" spans="2:29" x14ac:dyDescent="0.2">
      <c r="B607" s="66" t="s">
        <v>546</v>
      </c>
      <c r="C607" s="67" t="s">
        <v>257</v>
      </c>
      <c r="D607" s="68">
        <v>26</v>
      </c>
      <c r="F607" s="66" t="s">
        <v>712</v>
      </c>
      <c r="G607" s="67" t="s">
        <v>258</v>
      </c>
      <c r="H607" s="68">
        <v>15</v>
      </c>
      <c r="I607" s="70">
        <v>25</v>
      </c>
      <c r="J607" s="70">
        <v>-17</v>
      </c>
      <c r="K607" s="70">
        <v>-20</v>
      </c>
      <c r="L607" s="70">
        <v>24</v>
      </c>
      <c r="M607" s="70">
        <v>19</v>
      </c>
      <c r="N607" s="70">
        <v>4850</v>
      </c>
      <c r="O607" s="70">
        <v>13</v>
      </c>
      <c r="P607" s="71">
        <v>102</v>
      </c>
      <c r="Q607" s="71">
        <v>1000</v>
      </c>
      <c r="R607" s="72">
        <v>1.19</v>
      </c>
      <c r="S607" s="71">
        <v>1275</v>
      </c>
      <c r="T607" s="71">
        <v>350</v>
      </c>
      <c r="U607" s="73">
        <v>3.5</v>
      </c>
      <c r="V607" s="73">
        <v>0.6</v>
      </c>
      <c r="W607" s="72">
        <v>0.62</v>
      </c>
      <c r="X607" s="72">
        <v>0.77</v>
      </c>
      <c r="Y607" s="72">
        <v>0.14000000000000001</v>
      </c>
      <c r="Z607" s="74">
        <v>8.8999999999999996E-2</v>
      </c>
      <c r="AA607" s="74">
        <v>4.8000000000000001E-2</v>
      </c>
      <c r="AB607" s="74">
        <v>1.2999999999999999E-2</v>
      </c>
      <c r="AC607" s="74">
        <v>8.1000000000000003E-2</v>
      </c>
    </row>
    <row r="608" spans="2:29" x14ac:dyDescent="0.2">
      <c r="B608" s="66" t="s">
        <v>591</v>
      </c>
      <c r="C608" s="67" t="s">
        <v>257</v>
      </c>
      <c r="D608" s="68">
        <v>27</v>
      </c>
      <c r="F608" s="66" t="s">
        <v>467</v>
      </c>
      <c r="G608" s="67" t="s">
        <v>247</v>
      </c>
      <c r="H608" s="68">
        <v>118</v>
      </c>
      <c r="I608" s="76">
        <v>820</v>
      </c>
      <c r="J608" s="70">
        <v>-32</v>
      </c>
      <c r="K608" s="70">
        <v>-34</v>
      </c>
      <c r="L608" s="70">
        <v>30</v>
      </c>
      <c r="M608" s="70">
        <v>19</v>
      </c>
      <c r="N608" s="76">
        <v>5700</v>
      </c>
      <c r="O608" s="76">
        <v>20</v>
      </c>
      <c r="P608" s="77">
        <v>97</v>
      </c>
      <c r="Q608" s="77">
        <v>370</v>
      </c>
      <c r="R608" s="72">
        <v>0.53</v>
      </c>
      <c r="S608" s="77">
        <v>450</v>
      </c>
      <c r="T608" s="77">
        <v>200</v>
      </c>
      <c r="U608" s="73">
        <v>2.2000000000000002</v>
      </c>
      <c r="V608" s="73">
        <v>0.1</v>
      </c>
      <c r="W608" s="72">
        <v>0.24</v>
      </c>
      <c r="X608" s="72">
        <v>0.36</v>
      </c>
      <c r="Y608" s="72">
        <v>0.12</v>
      </c>
      <c r="Z608" s="74">
        <v>5.6000000000000001E-2</v>
      </c>
      <c r="AA608" s="74">
        <v>2.3E-2</v>
      </c>
      <c r="AB608" s="74">
        <v>8.9999999999999993E-3</v>
      </c>
      <c r="AC608" s="74">
        <v>5.8999999999999997E-2</v>
      </c>
    </row>
    <row r="609" spans="2:29" x14ac:dyDescent="0.2">
      <c r="B609" s="66" t="s">
        <v>625</v>
      </c>
      <c r="C609" s="67" t="s">
        <v>257</v>
      </c>
      <c r="D609" s="68">
        <v>28</v>
      </c>
      <c r="F609" s="66" t="s">
        <v>623</v>
      </c>
      <c r="G609" s="67" t="s">
        <v>224</v>
      </c>
      <c r="H609" s="68">
        <v>76</v>
      </c>
      <c r="I609" s="70">
        <v>10</v>
      </c>
      <c r="J609" s="70">
        <v>-23</v>
      </c>
      <c r="K609" s="70">
        <v>-25</v>
      </c>
      <c r="L609" s="70">
        <v>23</v>
      </c>
      <c r="M609" s="70">
        <v>16</v>
      </c>
      <c r="N609" s="70">
        <v>4650</v>
      </c>
      <c r="O609" s="70">
        <v>13</v>
      </c>
      <c r="P609" s="71">
        <v>150</v>
      </c>
      <c r="Q609" s="71">
        <v>1300</v>
      </c>
      <c r="R609" s="72">
        <v>1.47</v>
      </c>
      <c r="S609" s="71">
        <v>1900</v>
      </c>
      <c r="T609" s="71">
        <v>180</v>
      </c>
      <c r="U609" s="73">
        <v>7.9</v>
      </c>
      <c r="V609" s="73">
        <v>0.8</v>
      </c>
      <c r="W609" s="72">
        <v>0.32</v>
      </c>
      <c r="X609" s="72">
        <v>0.43</v>
      </c>
      <c r="Y609" s="72">
        <v>0.3</v>
      </c>
      <c r="Z609" s="74">
        <v>0.19</v>
      </c>
      <c r="AA609" s="74">
        <v>0.11</v>
      </c>
      <c r="AB609" s="74">
        <v>6.3E-2</v>
      </c>
      <c r="AC609" s="74">
        <v>0.14000000000000001</v>
      </c>
    </row>
    <row r="610" spans="2:29" x14ac:dyDescent="0.2">
      <c r="B610" s="66" t="s">
        <v>632</v>
      </c>
      <c r="C610" s="67" t="s">
        <v>257</v>
      </c>
      <c r="D610" s="68">
        <v>29</v>
      </c>
      <c r="F610" s="66" t="s">
        <v>741</v>
      </c>
      <c r="G610" s="67" t="s">
        <v>261</v>
      </c>
      <c r="H610" s="68">
        <v>20</v>
      </c>
      <c r="I610" s="70">
        <v>25</v>
      </c>
      <c r="J610" s="70">
        <v>-21</v>
      </c>
      <c r="K610" s="70">
        <v>-23</v>
      </c>
      <c r="L610" s="70">
        <v>27</v>
      </c>
      <c r="M610" s="70">
        <v>21</v>
      </c>
      <c r="N610" s="70">
        <v>4400</v>
      </c>
      <c r="O610" s="70">
        <v>18</v>
      </c>
      <c r="P610" s="71">
        <v>128</v>
      </c>
      <c r="Q610" s="71">
        <v>1050</v>
      </c>
      <c r="R610" s="72">
        <v>1.2</v>
      </c>
      <c r="S610" s="71">
        <v>1250</v>
      </c>
      <c r="T610" s="71">
        <v>240</v>
      </c>
      <c r="U610" s="73">
        <v>1.8</v>
      </c>
      <c r="V610" s="73">
        <v>0.6</v>
      </c>
      <c r="W610" s="72">
        <v>0.39</v>
      </c>
      <c r="X610" s="72">
        <v>0.55000000000000004</v>
      </c>
      <c r="Y610" s="72">
        <v>0.22</v>
      </c>
      <c r="Z610" s="74">
        <v>0.12</v>
      </c>
      <c r="AA610" s="74">
        <v>6.5000000000000002E-2</v>
      </c>
      <c r="AB610" s="74">
        <v>1.7999999999999999E-2</v>
      </c>
      <c r="AC610" s="74">
        <v>0.12</v>
      </c>
    </row>
    <row r="611" spans="2:29" x14ac:dyDescent="0.2">
      <c r="B611" s="66" t="s">
        <v>638</v>
      </c>
      <c r="C611" s="67" t="s">
        <v>257</v>
      </c>
      <c r="D611" s="68">
        <v>30</v>
      </c>
      <c r="F611" s="66" t="s">
        <v>951</v>
      </c>
      <c r="G611" s="67" t="s">
        <v>257</v>
      </c>
      <c r="H611" s="68">
        <v>95</v>
      </c>
      <c r="I611" s="70">
        <v>105</v>
      </c>
      <c r="J611" s="70">
        <v>-31</v>
      </c>
      <c r="K611" s="70">
        <v>-33</v>
      </c>
      <c r="L611" s="70">
        <v>28</v>
      </c>
      <c r="M611" s="70">
        <v>21</v>
      </c>
      <c r="N611" s="70">
        <v>6000</v>
      </c>
      <c r="O611" s="70">
        <v>25</v>
      </c>
      <c r="P611" s="71">
        <v>91</v>
      </c>
      <c r="Q611" s="71">
        <v>570</v>
      </c>
      <c r="R611" s="72">
        <v>0.76</v>
      </c>
      <c r="S611" s="71">
        <v>900</v>
      </c>
      <c r="T611" s="71">
        <v>140</v>
      </c>
      <c r="U611" s="73">
        <v>3.5</v>
      </c>
      <c r="V611" s="73">
        <v>0.3</v>
      </c>
      <c r="W611" s="72">
        <v>0.26</v>
      </c>
      <c r="X611" s="72">
        <v>0.35</v>
      </c>
      <c r="Y611" s="72">
        <v>0.31</v>
      </c>
      <c r="Z611" s="74">
        <v>0.18</v>
      </c>
      <c r="AA611" s="74">
        <v>8.5999999999999993E-2</v>
      </c>
      <c r="AB611" s="74">
        <v>2.9000000000000001E-2</v>
      </c>
      <c r="AC611" s="74">
        <v>0.2</v>
      </c>
    </row>
    <row r="612" spans="2:29" x14ac:dyDescent="0.2">
      <c r="B612" s="66" t="s">
        <v>640</v>
      </c>
      <c r="C612" s="67" t="s">
        <v>257</v>
      </c>
      <c r="D612" s="68">
        <v>31</v>
      </c>
      <c r="F612" s="66" t="s">
        <v>952</v>
      </c>
      <c r="G612" s="67" t="s">
        <v>257</v>
      </c>
      <c r="H612" s="68">
        <v>96</v>
      </c>
      <c r="I612" s="70">
        <v>35</v>
      </c>
      <c r="J612" s="70">
        <v>-25</v>
      </c>
      <c r="K612" s="70">
        <v>-27</v>
      </c>
      <c r="L612" s="70">
        <v>27</v>
      </c>
      <c r="M612" s="70">
        <v>21</v>
      </c>
      <c r="N612" s="70">
        <v>5500</v>
      </c>
      <c r="O612" s="70">
        <v>23</v>
      </c>
      <c r="P612" s="71">
        <v>91</v>
      </c>
      <c r="Q612" s="71">
        <v>660</v>
      </c>
      <c r="R612" s="72">
        <v>0.85</v>
      </c>
      <c r="S612" s="71">
        <v>925</v>
      </c>
      <c r="T612" s="71">
        <v>180</v>
      </c>
      <c r="U612" s="73">
        <v>3.2</v>
      </c>
      <c r="V612" s="73">
        <v>0.6</v>
      </c>
      <c r="W612" s="72">
        <v>0.41</v>
      </c>
      <c r="X612" s="72">
        <v>0.57999999999999996</v>
      </c>
      <c r="Y612" s="72">
        <v>0.98</v>
      </c>
      <c r="Z612" s="74">
        <v>0.54</v>
      </c>
      <c r="AA612" s="74">
        <v>0.25</v>
      </c>
      <c r="AB612" s="74">
        <v>8.4000000000000005E-2</v>
      </c>
      <c r="AC612" s="74">
        <v>0.56000000000000005</v>
      </c>
    </row>
    <row r="613" spans="2:29" x14ac:dyDescent="0.2">
      <c r="B613" s="66" t="s">
        <v>652</v>
      </c>
      <c r="C613" s="67" t="s">
        <v>257</v>
      </c>
      <c r="D613" s="68">
        <v>32</v>
      </c>
      <c r="F613" s="66" t="s">
        <v>953</v>
      </c>
      <c r="G613" s="67" t="s">
        <v>257</v>
      </c>
      <c r="H613" s="68">
        <v>97</v>
      </c>
      <c r="I613" s="70">
        <v>25</v>
      </c>
      <c r="J613" s="70">
        <v>-24</v>
      </c>
      <c r="K613" s="70">
        <v>-26</v>
      </c>
      <c r="L613" s="70">
        <v>30</v>
      </c>
      <c r="M613" s="70">
        <v>23</v>
      </c>
      <c r="N613" s="70">
        <v>4600</v>
      </c>
      <c r="O613" s="70">
        <v>23</v>
      </c>
      <c r="P613" s="71">
        <v>91</v>
      </c>
      <c r="Q613" s="71">
        <v>820</v>
      </c>
      <c r="R613" s="72">
        <v>0.92</v>
      </c>
      <c r="S613" s="71">
        <v>1020</v>
      </c>
      <c r="T613" s="71">
        <v>180</v>
      </c>
      <c r="U613" s="73">
        <v>2.5</v>
      </c>
      <c r="V613" s="73">
        <v>0.4</v>
      </c>
      <c r="W613" s="72">
        <v>0.31</v>
      </c>
      <c r="X613" s="72">
        <v>0.4</v>
      </c>
      <c r="Y613" s="72">
        <v>0.68</v>
      </c>
      <c r="Z613" s="74">
        <v>0.34</v>
      </c>
      <c r="AA613" s="74">
        <v>0.14000000000000001</v>
      </c>
      <c r="AB613" s="74">
        <v>4.7E-2</v>
      </c>
      <c r="AC613" s="74">
        <v>0.43</v>
      </c>
    </row>
    <row r="614" spans="2:29" x14ac:dyDescent="0.2">
      <c r="B614" s="66" t="s">
        <v>654</v>
      </c>
      <c r="C614" s="67" t="s">
        <v>257</v>
      </c>
      <c r="D614" s="68">
        <v>33</v>
      </c>
      <c r="F614" s="66" t="s">
        <v>954</v>
      </c>
      <c r="G614" s="67" t="s">
        <v>257</v>
      </c>
      <c r="H614" s="68">
        <v>98</v>
      </c>
      <c r="I614" s="70">
        <v>310</v>
      </c>
      <c r="J614" s="70">
        <v>-26</v>
      </c>
      <c r="K614" s="70">
        <v>-28</v>
      </c>
      <c r="L614" s="70">
        <v>26</v>
      </c>
      <c r="M614" s="70">
        <v>21</v>
      </c>
      <c r="N614" s="70">
        <v>5500</v>
      </c>
      <c r="O614" s="70">
        <v>25</v>
      </c>
      <c r="P614" s="71">
        <v>91</v>
      </c>
      <c r="Q614" s="71">
        <v>740</v>
      </c>
      <c r="R614" s="72">
        <v>0.9</v>
      </c>
      <c r="S614" s="71">
        <v>1025</v>
      </c>
      <c r="T614" s="71">
        <v>180</v>
      </c>
      <c r="U614" s="73">
        <v>4.4000000000000004</v>
      </c>
      <c r="V614" s="73">
        <v>0.6</v>
      </c>
      <c r="W614" s="72">
        <v>0.41</v>
      </c>
      <c r="X614" s="72">
        <v>0.57999999999999996</v>
      </c>
      <c r="Y614" s="72">
        <v>0.64</v>
      </c>
      <c r="Z614" s="74">
        <v>0.36</v>
      </c>
      <c r="AA614" s="74">
        <v>0.18</v>
      </c>
      <c r="AB614" s="74">
        <v>0.06</v>
      </c>
      <c r="AC614" s="74">
        <v>0.34</v>
      </c>
    </row>
    <row r="615" spans="2:29" x14ac:dyDescent="0.2">
      <c r="B615" s="66" t="s">
        <v>691</v>
      </c>
      <c r="C615" s="67" t="s">
        <v>257</v>
      </c>
      <c r="D615" s="68">
        <v>34</v>
      </c>
      <c r="F615" s="66" t="s">
        <v>955</v>
      </c>
      <c r="G615" s="67" t="s">
        <v>257</v>
      </c>
      <c r="H615" s="68">
        <v>99</v>
      </c>
      <c r="I615" s="70">
        <v>35</v>
      </c>
      <c r="J615" s="70">
        <v>-24</v>
      </c>
      <c r="K615" s="70">
        <v>-27</v>
      </c>
      <c r="L615" s="70">
        <v>30</v>
      </c>
      <c r="M615" s="70">
        <v>23</v>
      </c>
      <c r="N615" s="70">
        <v>4550</v>
      </c>
      <c r="O615" s="70">
        <v>20</v>
      </c>
      <c r="P615" s="71">
        <v>91</v>
      </c>
      <c r="Q615" s="71">
        <v>840</v>
      </c>
      <c r="R615" s="72">
        <v>0.95</v>
      </c>
      <c r="S615" s="71">
        <v>1030</v>
      </c>
      <c r="T615" s="71">
        <v>160</v>
      </c>
      <c r="U615" s="73">
        <v>2.2999999999999998</v>
      </c>
      <c r="V615" s="73">
        <v>0.4</v>
      </c>
      <c r="W615" s="72">
        <v>0.27</v>
      </c>
      <c r="X615" s="72">
        <v>0.35</v>
      </c>
      <c r="Y615" s="72">
        <v>0.59</v>
      </c>
      <c r="Z615" s="74">
        <v>0.28999999999999998</v>
      </c>
      <c r="AA615" s="74">
        <v>0.12</v>
      </c>
      <c r="AB615" s="74">
        <v>4.2000000000000003E-2</v>
      </c>
      <c r="AC615" s="74">
        <v>0.37</v>
      </c>
    </row>
    <row r="616" spans="2:29" x14ac:dyDescent="0.2">
      <c r="B616" s="66" t="s">
        <v>695</v>
      </c>
      <c r="C616" s="67" t="s">
        <v>257</v>
      </c>
      <c r="D616" s="68">
        <v>35</v>
      </c>
      <c r="F616" s="66" t="s">
        <v>896</v>
      </c>
      <c r="G616" s="67" t="s">
        <v>264</v>
      </c>
      <c r="H616" s="68">
        <v>187</v>
      </c>
      <c r="I616" s="70">
        <v>120</v>
      </c>
      <c r="J616" s="70">
        <v>-23</v>
      </c>
      <c r="K616" s="70">
        <v>-25</v>
      </c>
      <c r="L616" s="70">
        <v>30</v>
      </c>
      <c r="M616" s="70">
        <v>23</v>
      </c>
      <c r="N616" s="70">
        <v>4450</v>
      </c>
      <c r="O616" s="70">
        <v>25</v>
      </c>
      <c r="P616" s="71">
        <v>97</v>
      </c>
      <c r="Q616" s="71">
        <v>740</v>
      </c>
      <c r="R616" s="72">
        <v>0.86</v>
      </c>
      <c r="S616" s="71">
        <v>850</v>
      </c>
      <c r="T616" s="71">
        <v>120</v>
      </c>
      <c r="U616" s="73">
        <v>1.7</v>
      </c>
      <c r="V616" s="73">
        <v>0.4</v>
      </c>
      <c r="W616" s="72">
        <v>0.28000000000000003</v>
      </c>
      <c r="X616" s="72">
        <v>0.4</v>
      </c>
      <c r="Y616" s="72">
        <v>0.25</v>
      </c>
      <c r="Z616" s="74">
        <v>0.14000000000000001</v>
      </c>
      <c r="AA616" s="74">
        <v>7.0999999999999994E-2</v>
      </c>
      <c r="AB616" s="74">
        <v>0.02</v>
      </c>
      <c r="AC616" s="74">
        <v>0.13</v>
      </c>
    </row>
    <row r="617" spans="2:29" x14ac:dyDescent="0.2">
      <c r="B617" s="66" t="s">
        <v>701</v>
      </c>
      <c r="C617" s="67" t="s">
        <v>257</v>
      </c>
      <c r="D617" s="68">
        <v>36</v>
      </c>
      <c r="F617" s="66" t="s">
        <v>956</v>
      </c>
      <c r="G617" s="67" t="s">
        <v>257</v>
      </c>
      <c r="H617" s="68">
        <v>100</v>
      </c>
      <c r="I617" s="70">
        <v>35</v>
      </c>
      <c r="J617" s="70">
        <v>-24</v>
      </c>
      <c r="K617" s="70">
        <v>-26</v>
      </c>
      <c r="L617" s="70">
        <v>29</v>
      </c>
      <c r="M617" s="70">
        <v>23</v>
      </c>
      <c r="N617" s="70">
        <v>4450</v>
      </c>
      <c r="O617" s="70">
        <v>23</v>
      </c>
      <c r="P617" s="71">
        <v>86</v>
      </c>
      <c r="Q617" s="71">
        <v>880</v>
      </c>
      <c r="R617" s="72">
        <v>0.99</v>
      </c>
      <c r="S617" s="71">
        <v>1010</v>
      </c>
      <c r="T617" s="71">
        <v>180</v>
      </c>
      <c r="U617" s="73">
        <v>2.2000000000000002</v>
      </c>
      <c r="V617" s="73">
        <v>0.4</v>
      </c>
      <c r="W617" s="72">
        <v>0.31</v>
      </c>
      <c r="X617" s="72">
        <v>0.41</v>
      </c>
      <c r="Y617" s="72">
        <v>0.69</v>
      </c>
      <c r="Z617" s="74">
        <v>0.34</v>
      </c>
      <c r="AA617" s="74">
        <v>0.14000000000000001</v>
      </c>
      <c r="AB617" s="74">
        <v>4.8000000000000001E-2</v>
      </c>
      <c r="AC617" s="74">
        <v>0.43</v>
      </c>
    </row>
    <row r="618" spans="2:29" x14ac:dyDescent="0.2">
      <c r="B618" s="66" t="s">
        <v>707</v>
      </c>
      <c r="C618" s="67" t="s">
        <v>257</v>
      </c>
      <c r="D618" s="68">
        <v>37</v>
      </c>
      <c r="F618" s="66" t="s">
        <v>957</v>
      </c>
      <c r="G618" s="67" t="s">
        <v>257</v>
      </c>
      <c r="H618" s="68">
        <v>101</v>
      </c>
      <c r="I618" s="70">
        <v>95</v>
      </c>
      <c r="J618" s="70">
        <v>-25</v>
      </c>
      <c r="K618" s="70">
        <v>-27</v>
      </c>
      <c r="L618" s="70">
        <v>29</v>
      </c>
      <c r="M618" s="70">
        <v>23</v>
      </c>
      <c r="N618" s="70">
        <v>5000</v>
      </c>
      <c r="O618" s="70">
        <v>23</v>
      </c>
      <c r="P618" s="71">
        <v>96</v>
      </c>
      <c r="Q618" s="71">
        <v>830</v>
      </c>
      <c r="R618" s="72">
        <v>0.97</v>
      </c>
      <c r="S618" s="71">
        <v>1025</v>
      </c>
      <c r="T618" s="71">
        <v>160</v>
      </c>
      <c r="U618" s="73">
        <v>2.7</v>
      </c>
      <c r="V618" s="73">
        <v>0.4</v>
      </c>
      <c r="W618" s="72">
        <v>0.28999999999999998</v>
      </c>
      <c r="X618" s="72">
        <v>0.37</v>
      </c>
      <c r="Y618" s="72">
        <v>0.64</v>
      </c>
      <c r="Z618" s="74">
        <v>0.3</v>
      </c>
      <c r="AA618" s="74">
        <v>0.13</v>
      </c>
      <c r="AB618" s="74">
        <v>4.3999999999999997E-2</v>
      </c>
      <c r="AC618" s="74">
        <v>0.4</v>
      </c>
    </row>
    <row r="619" spans="2:29" x14ac:dyDescent="0.2">
      <c r="B619" s="66" t="s">
        <v>713</v>
      </c>
      <c r="C619" s="67" t="s">
        <v>257</v>
      </c>
      <c r="D619" s="68">
        <v>38</v>
      </c>
      <c r="F619" s="66" t="s">
        <v>958</v>
      </c>
      <c r="G619" s="67" t="s">
        <v>257</v>
      </c>
      <c r="H619" s="68">
        <v>102</v>
      </c>
      <c r="I619" s="70">
        <v>230</v>
      </c>
      <c r="J619" s="70">
        <v>-27</v>
      </c>
      <c r="K619" s="70">
        <v>-30</v>
      </c>
      <c r="L619" s="70">
        <v>27</v>
      </c>
      <c r="M619" s="70">
        <v>22</v>
      </c>
      <c r="N619" s="70">
        <v>5300</v>
      </c>
      <c r="O619" s="70">
        <v>25</v>
      </c>
      <c r="P619" s="71">
        <v>96</v>
      </c>
      <c r="Q619" s="71">
        <v>810</v>
      </c>
      <c r="R619" s="72">
        <v>0.99</v>
      </c>
      <c r="S619" s="71">
        <v>1025</v>
      </c>
      <c r="T619" s="71">
        <v>160</v>
      </c>
      <c r="U619" s="73">
        <v>2.8</v>
      </c>
      <c r="V619" s="73">
        <v>0.4</v>
      </c>
      <c r="W619" s="72">
        <v>0.25</v>
      </c>
      <c r="X619" s="72">
        <v>0.33</v>
      </c>
      <c r="Y619" s="72">
        <v>0.63</v>
      </c>
      <c r="Z619" s="74">
        <v>0.28999999999999998</v>
      </c>
      <c r="AA619" s="74">
        <v>0.14000000000000001</v>
      </c>
      <c r="AB619" s="74">
        <v>0.04</v>
      </c>
      <c r="AC619" s="74">
        <v>0.41</v>
      </c>
    </row>
    <row r="620" spans="2:29" x14ac:dyDescent="0.2">
      <c r="B620" s="66" t="s">
        <v>718</v>
      </c>
      <c r="C620" s="67" t="s">
        <v>257</v>
      </c>
      <c r="D620" s="68">
        <v>39</v>
      </c>
      <c r="F620" s="66" t="s">
        <v>959</v>
      </c>
      <c r="G620" s="67" t="s">
        <v>257</v>
      </c>
      <c r="H620" s="68">
        <v>103</v>
      </c>
      <c r="I620" s="70">
        <v>15</v>
      </c>
      <c r="J620" s="70">
        <v>-23</v>
      </c>
      <c r="K620" s="70">
        <v>-26</v>
      </c>
      <c r="L620" s="70">
        <v>30</v>
      </c>
      <c r="M620" s="70">
        <v>23</v>
      </c>
      <c r="N620" s="70">
        <v>4550</v>
      </c>
      <c r="O620" s="70">
        <v>23</v>
      </c>
      <c r="P620" s="71">
        <v>96</v>
      </c>
      <c r="Q620" s="71">
        <v>810</v>
      </c>
      <c r="R620" s="72">
        <v>0.91</v>
      </c>
      <c r="S620" s="71">
        <v>1050</v>
      </c>
      <c r="T620" s="71">
        <v>160</v>
      </c>
      <c r="U620" s="73">
        <v>2.5</v>
      </c>
      <c r="V620" s="73">
        <v>0.4</v>
      </c>
      <c r="W620" s="72">
        <v>0.31</v>
      </c>
      <c r="X620" s="72">
        <v>0.4</v>
      </c>
      <c r="Y620" s="72">
        <v>0.69</v>
      </c>
      <c r="Z620" s="74">
        <v>0.34</v>
      </c>
      <c r="AA620" s="74">
        <v>0.14000000000000001</v>
      </c>
      <c r="AB620" s="74">
        <v>4.8000000000000001E-2</v>
      </c>
      <c r="AC620" s="74">
        <v>0.43</v>
      </c>
    </row>
    <row r="621" spans="2:29" x14ac:dyDescent="0.2">
      <c r="B621" s="66" t="s">
        <v>726</v>
      </c>
      <c r="C621" s="67" t="s">
        <v>257</v>
      </c>
      <c r="D621" s="68">
        <v>40</v>
      </c>
      <c r="F621" s="66" t="s">
        <v>960</v>
      </c>
      <c r="G621" s="67" t="s">
        <v>257</v>
      </c>
      <c r="H621" s="68">
        <v>104</v>
      </c>
      <c r="I621" s="70">
        <v>45</v>
      </c>
      <c r="J621" s="70">
        <v>-23</v>
      </c>
      <c r="K621" s="70">
        <v>-26</v>
      </c>
      <c r="L621" s="70">
        <v>30</v>
      </c>
      <c r="M621" s="70">
        <v>23</v>
      </c>
      <c r="N621" s="70">
        <v>4500</v>
      </c>
      <c r="O621" s="70">
        <v>23</v>
      </c>
      <c r="P621" s="71">
        <v>96</v>
      </c>
      <c r="Q621" s="71">
        <v>790</v>
      </c>
      <c r="R621" s="72">
        <v>0.89</v>
      </c>
      <c r="S621" s="71">
        <v>950</v>
      </c>
      <c r="T621" s="71">
        <v>160</v>
      </c>
      <c r="U621" s="73">
        <v>2.5</v>
      </c>
      <c r="V621" s="73">
        <v>0.4</v>
      </c>
      <c r="W621" s="72">
        <v>0.31</v>
      </c>
      <c r="X621" s="72">
        <v>0.4</v>
      </c>
      <c r="Y621" s="72">
        <v>0.69</v>
      </c>
      <c r="Z621" s="74">
        <v>0.34</v>
      </c>
      <c r="AA621" s="74">
        <v>0.14000000000000001</v>
      </c>
      <c r="AB621" s="74">
        <v>4.8000000000000001E-2</v>
      </c>
      <c r="AC621" s="74">
        <v>0.43</v>
      </c>
    </row>
    <row r="622" spans="2:29" x14ac:dyDescent="0.2">
      <c r="B622" s="66" t="s">
        <v>728</v>
      </c>
      <c r="C622" s="67" t="s">
        <v>257</v>
      </c>
      <c r="D622" s="68">
        <v>41</v>
      </c>
      <c r="F622" s="66" t="s">
        <v>961</v>
      </c>
      <c r="G622" s="67" t="s">
        <v>257</v>
      </c>
      <c r="H622" s="68">
        <v>105</v>
      </c>
      <c r="I622" s="70">
        <v>65</v>
      </c>
      <c r="J622" s="70">
        <v>-25</v>
      </c>
      <c r="K622" s="70">
        <v>-28</v>
      </c>
      <c r="L622" s="70">
        <v>28</v>
      </c>
      <c r="M622" s="70">
        <v>22</v>
      </c>
      <c r="N622" s="70">
        <v>5100</v>
      </c>
      <c r="O622" s="70">
        <v>20</v>
      </c>
      <c r="P622" s="71">
        <v>102</v>
      </c>
      <c r="Q622" s="71">
        <v>890</v>
      </c>
      <c r="R622" s="72">
        <v>1.01</v>
      </c>
      <c r="S622" s="71">
        <v>1200</v>
      </c>
      <c r="T622" s="71">
        <v>200</v>
      </c>
      <c r="U622" s="73">
        <v>3.5</v>
      </c>
      <c r="V622" s="73">
        <v>0.6</v>
      </c>
      <c r="W622" s="72">
        <v>0.37</v>
      </c>
      <c r="X622" s="72">
        <v>0.49</v>
      </c>
      <c r="Y622" s="72">
        <v>0.59</v>
      </c>
      <c r="Z622" s="74">
        <v>0.28000000000000003</v>
      </c>
      <c r="AA622" s="74">
        <v>0.13</v>
      </c>
      <c r="AB622" s="74">
        <v>4.2999999999999997E-2</v>
      </c>
      <c r="AC622" s="74">
        <v>0.37</v>
      </c>
    </row>
    <row r="623" spans="2:29" x14ac:dyDescent="0.2">
      <c r="B623" s="66" t="s">
        <v>754</v>
      </c>
      <c r="C623" s="67" t="s">
        <v>257</v>
      </c>
      <c r="D623" s="68">
        <v>42</v>
      </c>
      <c r="F623" s="66" t="s">
        <v>469</v>
      </c>
      <c r="G623" s="67" t="s">
        <v>247</v>
      </c>
      <c r="H623" s="68">
        <v>119</v>
      </c>
      <c r="I623" s="76">
        <v>710</v>
      </c>
      <c r="J623" s="70">
        <v>-32</v>
      </c>
      <c r="K623" s="70">
        <v>-35</v>
      </c>
      <c r="L623" s="70">
        <v>28</v>
      </c>
      <c r="M623" s="70">
        <v>19</v>
      </c>
      <c r="N623" s="76">
        <v>5500</v>
      </c>
      <c r="O623" s="76">
        <v>23</v>
      </c>
      <c r="P623" s="77">
        <v>97</v>
      </c>
      <c r="Q623" s="77">
        <v>410</v>
      </c>
      <c r="R623" s="72">
        <v>0.52</v>
      </c>
      <c r="S623" s="77">
        <v>540</v>
      </c>
      <c r="T623" s="77">
        <v>120</v>
      </c>
      <c r="U623" s="73">
        <v>1.7</v>
      </c>
      <c r="V623" s="73">
        <v>0.1</v>
      </c>
      <c r="W623" s="72">
        <v>0.32</v>
      </c>
      <c r="X623" s="72">
        <v>0.45</v>
      </c>
      <c r="Y623" s="72">
        <v>0.12</v>
      </c>
      <c r="Z623" s="74">
        <v>5.6000000000000001E-2</v>
      </c>
      <c r="AA623" s="74">
        <v>2.3E-2</v>
      </c>
      <c r="AB623" s="74">
        <v>8.9999999999999993E-3</v>
      </c>
      <c r="AC623" s="74">
        <v>5.8999999999999997E-2</v>
      </c>
    </row>
    <row r="624" spans="2:29" x14ac:dyDescent="0.2">
      <c r="B624" s="66" t="s">
        <v>755</v>
      </c>
      <c r="C624" s="67" t="s">
        <v>257</v>
      </c>
      <c r="D624" s="68">
        <v>43</v>
      </c>
      <c r="F624" s="66" t="s">
        <v>962</v>
      </c>
      <c r="G624" s="67" t="s">
        <v>278</v>
      </c>
      <c r="H624" s="68">
        <v>27</v>
      </c>
      <c r="I624" s="70">
        <v>545</v>
      </c>
      <c r="J624" s="70">
        <v>-34</v>
      </c>
      <c r="K624" s="70">
        <v>-36</v>
      </c>
      <c r="L624" s="70">
        <v>30</v>
      </c>
      <c r="M624" s="70">
        <v>21</v>
      </c>
      <c r="N624" s="70">
        <v>5900</v>
      </c>
      <c r="O624" s="70">
        <v>25</v>
      </c>
      <c r="P624" s="71">
        <v>92</v>
      </c>
      <c r="Q624" s="71">
        <v>300</v>
      </c>
      <c r="R624" s="72">
        <v>0.41</v>
      </c>
      <c r="S624" s="71">
        <v>390</v>
      </c>
      <c r="T624" s="71">
        <v>180</v>
      </c>
      <c r="U624" s="73">
        <v>1.5</v>
      </c>
      <c r="V624" s="73">
        <v>0.1</v>
      </c>
      <c r="W624" s="72">
        <v>0.33</v>
      </c>
      <c r="X624" s="72">
        <v>0.42</v>
      </c>
      <c r="Y624" s="72">
        <v>0.12</v>
      </c>
      <c r="Z624" s="74">
        <v>5.6000000000000001E-2</v>
      </c>
      <c r="AA624" s="74">
        <v>2.3E-2</v>
      </c>
      <c r="AB624" s="74">
        <v>6.0000000000000001E-3</v>
      </c>
      <c r="AC624" s="74">
        <v>5.8999999999999997E-2</v>
      </c>
    </row>
    <row r="625" spans="2:29" x14ac:dyDescent="0.2">
      <c r="B625" s="66" t="s">
        <v>759</v>
      </c>
      <c r="C625" s="67" t="s">
        <v>257</v>
      </c>
      <c r="D625" s="68">
        <v>44</v>
      </c>
      <c r="F625" s="66" t="s">
        <v>897</v>
      </c>
      <c r="G625" s="67" t="s">
        <v>264</v>
      </c>
      <c r="H625" s="68">
        <v>188</v>
      </c>
      <c r="I625" s="70">
        <v>360</v>
      </c>
      <c r="J625" s="70">
        <v>-18</v>
      </c>
      <c r="K625" s="70">
        <v>-20</v>
      </c>
      <c r="L625" s="70">
        <v>29</v>
      </c>
      <c r="M625" s="70">
        <v>23</v>
      </c>
      <c r="N625" s="70">
        <v>4350</v>
      </c>
      <c r="O625" s="70">
        <v>28</v>
      </c>
      <c r="P625" s="71">
        <v>124</v>
      </c>
      <c r="Q625" s="71">
        <v>820</v>
      </c>
      <c r="R625" s="72">
        <v>0.95</v>
      </c>
      <c r="S625" s="71">
        <v>1050</v>
      </c>
      <c r="T625" s="71">
        <v>160</v>
      </c>
      <c r="U625" s="73">
        <v>2.2999999999999998</v>
      </c>
      <c r="V625" s="73">
        <v>0.4</v>
      </c>
      <c r="W625" s="72">
        <v>0.33</v>
      </c>
      <c r="X625" s="72">
        <v>0.48</v>
      </c>
      <c r="Y625" s="72">
        <v>0.16</v>
      </c>
      <c r="Z625" s="74">
        <v>8.5000000000000006E-2</v>
      </c>
      <c r="AA625" s="74">
        <v>4.5999999999999999E-2</v>
      </c>
      <c r="AB625" s="74">
        <v>1.2E-2</v>
      </c>
      <c r="AC625" s="74">
        <v>9.0999999999999998E-2</v>
      </c>
    </row>
    <row r="626" spans="2:29" x14ac:dyDescent="0.2">
      <c r="B626" s="66" t="s">
        <v>761</v>
      </c>
      <c r="C626" s="67" t="s">
        <v>257</v>
      </c>
      <c r="D626" s="68">
        <v>45</v>
      </c>
      <c r="F626" s="66" t="s">
        <v>471</v>
      </c>
      <c r="G626" s="67" t="s">
        <v>247</v>
      </c>
      <c r="H626" s="68">
        <v>120</v>
      </c>
      <c r="I626" s="76">
        <v>973</v>
      </c>
      <c r="J626" s="70">
        <v>-32</v>
      </c>
      <c r="K626" s="70">
        <v>-34</v>
      </c>
      <c r="L626" s="70">
        <v>28</v>
      </c>
      <c r="M626" s="70">
        <v>18</v>
      </c>
      <c r="N626" s="76">
        <v>5300</v>
      </c>
      <c r="O626" s="76">
        <v>17</v>
      </c>
      <c r="P626" s="77">
        <v>80</v>
      </c>
      <c r="Q626" s="77">
        <v>305</v>
      </c>
      <c r="R626" s="72">
        <v>0.33</v>
      </c>
      <c r="S626" s="77">
        <v>430</v>
      </c>
      <c r="T626" s="77">
        <v>220</v>
      </c>
      <c r="U626" s="73">
        <v>1.3</v>
      </c>
      <c r="V626" s="73">
        <v>0.1</v>
      </c>
      <c r="W626" s="72">
        <v>0.4</v>
      </c>
      <c r="X626" s="72">
        <v>0.52</v>
      </c>
      <c r="Y626" s="72">
        <v>0.14000000000000001</v>
      </c>
      <c r="Z626" s="74">
        <v>7.0000000000000007E-2</v>
      </c>
      <c r="AA626" s="74">
        <v>0.03</v>
      </c>
      <c r="AB626" s="74">
        <v>0.02</v>
      </c>
      <c r="AC626" s="74">
        <v>7.0000000000000007E-2</v>
      </c>
    </row>
    <row r="627" spans="2:29" x14ac:dyDescent="0.2">
      <c r="B627" s="66" t="s">
        <v>764</v>
      </c>
      <c r="C627" s="67" t="s">
        <v>257</v>
      </c>
      <c r="D627" s="68">
        <v>46</v>
      </c>
      <c r="F627" s="66" t="s">
        <v>899</v>
      </c>
      <c r="G627" s="67" t="s">
        <v>264</v>
      </c>
      <c r="H627" s="68">
        <v>189</v>
      </c>
      <c r="I627" s="70">
        <v>225</v>
      </c>
      <c r="J627" s="70">
        <v>-17</v>
      </c>
      <c r="K627" s="70">
        <v>-19</v>
      </c>
      <c r="L627" s="70">
        <v>31</v>
      </c>
      <c r="M627" s="70">
        <v>23</v>
      </c>
      <c r="N627" s="70">
        <v>3950</v>
      </c>
      <c r="O627" s="70">
        <v>25</v>
      </c>
      <c r="P627" s="71">
        <v>103</v>
      </c>
      <c r="Q627" s="71">
        <v>770</v>
      </c>
      <c r="R627" s="72">
        <v>0.88</v>
      </c>
      <c r="S627" s="71">
        <v>950</v>
      </c>
      <c r="T627" s="71">
        <v>180</v>
      </c>
      <c r="U627" s="73">
        <v>1.9</v>
      </c>
      <c r="V627" s="73">
        <v>0.4</v>
      </c>
      <c r="W627" s="72">
        <v>0.36</v>
      </c>
      <c r="X627" s="72">
        <v>0.5</v>
      </c>
      <c r="Y627" s="72">
        <v>0.17</v>
      </c>
      <c r="Z627" s="74">
        <v>8.6999999999999994E-2</v>
      </c>
      <c r="AA627" s="74">
        <v>4.4999999999999998E-2</v>
      </c>
      <c r="AB627" s="74">
        <v>1.2E-2</v>
      </c>
      <c r="AC627" s="74">
        <v>0.11</v>
      </c>
    </row>
    <row r="628" spans="2:29" x14ac:dyDescent="0.2">
      <c r="B628" s="66" t="s">
        <v>766</v>
      </c>
      <c r="C628" s="67" t="s">
        <v>257</v>
      </c>
      <c r="D628" s="68">
        <v>47</v>
      </c>
      <c r="F628" s="66" t="s">
        <v>901</v>
      </c>
      <c r="G628" s="67" t="s">
        <v>264</v>
      </c>
      <c r="H628" s="68">
        <v>190</v>
      </c>
      <c r="I628" s="70">
        <v>205</v>
      </c>
      <c r="J628" s="70">
        <v>-27</v>
      </c>
      <c r="K628" s="70">
        <v>-29</v>
      </c>
      <c r="L628" s="70">
        <v>29</v>
      </c>
      <c r="M628" s="70">
        <v>21</v>
      </c>
      <c r="N628" s="70">
        <v>5250</v>
      </c>
      <c r="O628" s="70">
        <v>28</v>
      </c>
      <c r="P628" s="71">
        <v>97</v>
      </c>
      <c r="Q628" s="71">
        <v>700</v>
      </c>
      <c r="R628" s="72">
        <v>0.86</v>
      </c>
      <c r="S628" s="71">
        <v>910</v>
      </c>
      <c r="T628" s="71">
        <v>140</v>
      </c>
      <c r="U628" s="73">
        <v>2.2000000000000002</v>
      </c>
      <c r="V628" s="73">
        <v>0.4</v>
      </c>
      <c r="W628" s="72">
        <v>0.25</v>
      </c>
      <c r="X628" s="72">
        <v>0.35</v>
      </c>
      <c r="Y628" s="72">
        <v>0.23</v>
      </c>
      <c r="Z628" s="74">
        <v>0.12</v>
      </c>
      <c r="AA628" s="74">
        <v>5.8999999999999997E-2</v>
      </c>
      <c r="AB628" s="74">
        <v>1.7999999999999999E-2</v>
      </c>
      <c r="AC628" s="74">
        <v>0.14000000000000001</v>
      </c>
    </row>
    <row r="629" spans="2:29" x14ac:dyDescent="0.2">
      <c r="B629" s="66" t="s">
        <v>767</v>
      </c>
      <c r="C629" s="67" t="s">
        <v>257</v>
      </c>
      <c r="D629" s="68">
        <v>48</v>
      </c>
      <c r="F629" s="66" t="s">
        <v>903</v>
      </c>
      <c r="G629" s="67" t="s">
        <v>264</v>
      </c>
      <c r="H629" s="68">
        <v>191</v>
      </c>
      <c r="I629" s="70">
        <v>275</v>
      </c>
      <c r="J629" s="70">
        <v>-28</v>
      </c>
      <c r="K629" s="70">
        <v>-30</v>
      </c>
      <c r="L629" s="70">
        <v>29</v>
      </c>
      <c r="M629" s="70">
        <v>21</v>
      </c>
      <c r="N629" s="70">
        <v>5400</v>
      </c>
      <c r="O629" s="70">
        <v>25</v>
      </c>
      <c r="P629" s="71">
        <v>97</v>
      </c>
      <c r="Q629" s="71">
        <v>650</v>
      </c>
      <c r="R629" s="72">
        <v>0.79</v>
      </c>
      <c r="S629" s="71">
        <v>875</v>
      </c>
      <c r="T629" s="71">
        <v>200</v>
      </c>
      <c r="U629" s="73">
        <v>2.5</v>
      </c>
      <c r="V629" s="73">
        <v>0.4</v>
      </c>
      <c r="W629" s="72">
        <v>0.28999999999999998</v>
      </c>
      <c r="X629" s="72">
        <v>0.46</v>
      </c>
      <c r="Y629" s="72">
        <v>0.15</v>
      </c>
      <c r="Z629" s="74">
        <v>9.0999999999999998E-2</v>
      </c>
      <c r="AA629" s="74">
        <v>4.4999999999999998E-2</v>
      </c>
      <c r="AB629" s="74">
        <v>1.4E-2</v>
      </c>
      <c r="AC629" s="74">
        <v>7.8E-2</v>
      </c>
    </row>
    <row r="630" spans="2:29" x14ac:dyDescent="0.2">
      <c r="B630" s="66" t="s">
        <v>769</v>
      </c>
      <c r="C630" s="67" t="s">
        <v>257</v>
      </c>
      <c r="D630" s="68">
        <v>49</v>
      </c>
      <c r="F630" s="66" t="s">
        <v>477</v>
      </c>
      <c r="G630" s="67" t="s">
        <v>247</v>
      </c>
      <c r="H630" s="68">
        <v>123</v>
      </c>
      <c r="I630" s="76">
        <v>755</v>
      </c>
      <c r="J630" s="70">
        <v>-32</v>
      </c>
      <c r="K630" s="70">
        <v>-34</v>
      </c>
      <c r="L630" s="70">
        <v>33</v>
      </c>
      <c r="M630" s="70">
        <v>19</v>
      </c>
      <c r="N630" s="76">
        <v>4900</v>
      </c>
      <c r="O630" s="76">
        <v>20</v>
      </c>
      <c r="P630" s="77">
        <v>86</v>
      </c>
      <c r="Q630" s="77">
        <v>230</v>
      </c>
      <c r="R630" s="72">
        <v>0.23</v>
      </c>
      <c r="S630" s="77">
        <v>325</v>
      </c>
      <c r="T630" s="77">
        <v>220</v>
      </c>
      <c r="U630" s="73">
        <v>1.3</v>
      </c>
      <c r="V630" s="73">
        <v>0.1</v>
      </c>
      <c r="W630" s="72">
        <v>0.43</v>
      </c>
      <c r="X630" s="72">
        <v>0.56999999999999995</v>
      </c>
      <c r="Y630" s="72">
        <v>0.12</v>
      </c>
      <c r="Z630" s="74">
        <v>5.6000000000000001E-2</v>
      </c>
      <c r="AA630" s="74">
        <v>2.3E-2</v>
      </c>
      <c r="AB630" s="74">
        <v>1.0999999999999999E-2</v>
      </c>
      <c r="AC630" s="74">
        <v>5.8999999999999997E-2</v>
      </c>
    </row>
    <row r="631" spans="2:29" x14ac:dyDescent="0.2">
      <c r="B631" s="66" t="s">
        <v>771</v>
      </c>
      <c r="C631" s="67" t="s">
        <v>257</v>
      </c>
      <c r="D631" s="68">
        <v>50</v>
      </c>
      <c r="F631" s="66" t="s">
        <v>944</v>
      </c>
      <c r="G631" s="67" t="s">
        <v>273</v>
      </c>
      <c r="H631" s="68">
        <v>3</v>
      </c>
      <c r="I631" s="70">
        <v>10</v>
      </c>
      <c r="J631" s="70">
        <v>-20</v>
      </c>
      <c r="K631" s="70">
        <v>-22</v>
      </c>
      <c r="L631" s="70">
        <v>27</v>
      </c>
      <c r="M631" s="70">
        <v>21</v>
      </c>
      <c r="N631" s="70">
        <v>4650</v>
      </c>
      <c r="O631" s="70">
        <v>13</v>
      </c>
      <c r="P631" s="71">
        <v>112</v>
      </c>
      <c r="Q631" s="71">
        <v>825</v>
      </c>
      <c r="R631" s="72">
        <v>1.03</v>
      </c>
      <c r="S631" s="71">
        <v>1060</v>
      </c>
      <c r="T631" s="71">
        <v>350</v>
      </c>
      <c r="U631" s="73">
        <v>3.1</v>
      </c>
      <c r="V631" s="73">
        <v>0.6</v>
      </c>
      <c r="W631" s="72">
        <v>0.52</v>
      </c>
      <c r="X631" s="72">
        <v>0.68</v>
      </c>
      <c r="Y631" s="72">
        <v>0.19</v>
      </c>
      <c r="Z631" s="74">
        <v>0.12</v>
      </c>
      <c r="AA631" s="74">
        <v>5.7000000000000002E-2</v>
      </c>
      <c r="AB631" s="74">
        <v>1.7000000000000001E-2</v>
      </c>
      <c r="AC631" s="74">
        <v>0.1</v>
      </c>
    </row>
    <row r="632" spans="2:29" x14ac:dyDescent="0.2">
      <c r="B632" s="66" t="s">
        <v>774</v>
      </c>
      <c r="C632" s="67" t="s">
        <v>257</v>
      </c>
      <c r="D632" s="68">
        <v>51</v>
      </c>
      <c r="F632" s="66" t="s">
        <v>479</v>
      </c>
      <c r="G632" s="67" t="s">
        <v>247</v>
      </c>
      <c r="H632" s="68">
        <v>124</v>
      </c>
      <c r="I632" s="76">
        <v>1093</v>
      </c>
      <c r="J632" s="70">
        <v>-34</v>
      </c>
      <c r="K632" s="70">
        <v>-37</v>
      </c>
      <c r="L632" s="70">
        <v>27</v>
      </c>
      <c r="M632" s="70">
        <v>19</v>
      </c>
      <c r="N632" s="76">
        <v>5700</v>
      </c>
      <c r="O632" s="76">
        <v>15</v>
      </c>
      <c r="P632" s="77">
        <v>95</v>
      </c>
      <c r="Q632" s="77">
        <v>395</v>
      </c>
      <c r="R632" s="72">
        <v>0.55000000000000004</v>
      </c>
      <c r="S632" s="77">
        <v>530</v>
      </c>
      <c r="T632" s="77">
        <v>160</v>
      </c>
      <c r="U632" s="73">
        <v>1.7</v>
      </c>
      <c r="V632" s="73">
        <v>0.1</v>
      </c>
      <c r="W632" s="72">
        <v>0.33</v>
      </c>
      <c r="X632" s="72">
        <v>0.44</v>
      </c>
      <c r="Y632" s="72">
        <v>0.15</v>
      </c>
      <c r="Z632" s="74">
        <v>0.08</v>
      </c>
      <c r="AA632" s="74">
        <v>0.04</v>
      </c>
      <c r="AB632" s="74">
        <v>0.02</v>
      </c>
      <c r="AC632" s="74">
        <v>0.09</v>
      </c>
    </row>
    <row r="633" spans="2:29" x14ac:dyDescent="0.2">
      <c r="B633" s="66" t="s">
        <v>780</v>
      </c>
      <c r="C633" s="67" t="s">
        <v>257</v>
      </c>
      <c r="D633" s="68">
        <v>52</v>
      </c>
      <c r="F633" s="66" t="s">
        <v>904</v>
      </c>
      <c r="G633" s="67" t="s">
        <v>264</v>
      </c>
      <c r="H633" s="68">
        <v>192</v>
      </c>
      <c r="I633" s="70">
        <v>340</v>
      </c>
      <c r="J633" s="70">
        <v>-27</v>
      </c>
      <c r="K633" s="70">
        <v>-29</v>
      </c>
      <c r="L633" s="70">
        <v>28</v>
      </c>
      <c r="M633" s="70">
        <v>21</v>
      </c>
      <c r="N633" s="70">
        <v>5200</v>
      </c>
      <c r="O633" s="70">
        <v>28</v>
      </c>
      <c r="P633" s="71">
        <v>97</v>
      </c>
      <c r="Q633" s="71">
        <v>840</v>
      </c>
      <c r="R633" s="72">
        <v>0.97</v>
      </c>
      <c r="S633" s="71">
        <v>975</v>
      </c>
      <c r="T633" s="71">
        <v>120</v>
      </c>
      <c r="U633" s="73">
        <v>2.8</v>
      </c>
      <c r="V633" s="73">
        <v>0.4</v>
      </c>
      <c r="W633" s="72">
        <v>0.23</v>
      </c>
      <c r="X633" s="72">
        <v>0.32</v>
      </c>
      <c r="Y633" s="72">
        <v>0.22</v>
      </c>
      <c r="Z633" s="74">
        <v>0.12</v>
      </c>
      <c r="AA633" s="74">
        <v>5.8999999999999997E-2</v>
      </c>
      <c r="AB633" s="74">
        <v>1.9E-2</v>
      </c>
      <c r="AC633" s="74">
        <v>0.12</v>
      </c>
    </row>
    <row r="634" spans="2:29" x14ac:dyDescent="0.2">
      <c r="B634" s="66" t="s">
        <v>781</v>
      </c>
      <c r="C634" s="67" t="s">
        <v>257</v>
      </c>
      <c r="D634" s="68">
        <v>53</v>
      </c>
      <c r="F634" s="66" t="s">
        <v>624</v>
      </c>
      <c r="G634" s="67" t="s">
        <v>224</v>
      </c>
      <c r="H634" s="68">
        <v>77</v>
      </c>
      <c r="I634" s="70">
        <v>90</v>
      </c>
      <c r="J634" s="70">
        <v>-8</v>
      </c>
      <c r="K634" s="70">
        <v>-10</v>
      </c>
      <c r="L634" s="70">
        <v>29</v>
      </c>
      <c r="M634" s="70">
        <v>20</v>
      </c>
      <c r="N634" s="70">
        <v>3050</v>
      </c>
      <c r="O634" s="70">
        <v>10</v>
      </c>
      <c r="P634" s="71">
        <v>128</v>
      </c>
      <c r="Q634" s="71">
        <v>1500</v>
      </c>
      <c r="R634" s="72">
        <v>1.58</v>
      </c>
      <c r="S634" s="71">
        <v>1575</v>
      </c>
      <c r="T634" s="71">
        <v>160</v>
      </c>
      <c r="U634" s="73">
        <v>2.4</v>
      </c>
      <c r="V634" s="73">
        <v>0.3</v>
      </c>
      <c r="W634" s="72">
        <v>0.36</v>
      </c>
      <c r="X634" s="72">
        <v>0.47</v>
      </c>
      <c r="Y634" s="72">
        <v>1</v>
      </c>
      <c r="Z634" s="74">
        <v>0.69</v>
      </c>
      <c r="AA634" s="74">
        <v>0.33</v>
      </c>
      <c r="AB634" s="74">
        <v>0.17</v>
      </c>
      <c r="AC634" s="74">
        <v>0.51</v>
      </c>
    </row>
    <row r="635" spans="2:29" x14ac:dyDescent="0.2">
      <c r="B635" s="66" t="s">
        <v>783</v>
      </c>
      <c r="C635" s="67" t="s">
        <v>257</v>
      </c>
      <c r="D635" s="68">
        <v>54</v>
      </c>
      <c r="F635" s="66" t="s">
        <v>963</v>
      </c>
      <c r="G635" s="67" t="s">
        <v>257</v>
      </c>
      <c r="H635" s="68">
        <v>106</v>
      </c>
      <c r="I635" s="70">
        <v>185</v>
      </c>
      <c r="J635" s="70">
        <v>-24</v>
      </c>
      <c r="K635" s="70">
        <v>-26</v>
      </c>
      <c r="L635" s="70">
        <v>29</v>
      </c>
      <c r="M635" s="70">
        <v>22</v>
      </c>
      <c r="N635" s="70">
        <v>4725</v>
      </c>
      <c r="O635" s="70">
        <v>23</v>
      </c>
      <c r="P635" s="71">
        <v>96</v>
      </c>
      <c r="Q635" s="71">
        <v>990</v>
      </c>
      <c r="R635" s="72">
        <v>1.0900000000000001</v>
      </c>
      <c r="S635" s="71">
        <v>1260</v>
      </c>
      <c r="T635" s="71">
        <v>160</v>
      </c>
      <c r="U635" s="73">
        <v>2.4</v>
      </c>
      <c r="V635" s="73">
        <v>0.4</v>
      </c>
      <c r="W635" s="72">
        <v>0.31</v>
      </c>
      <c r="X635" s="72">
        <v>0.41</v>
      </c>
      <c r="Y635" s="72">
        <v>0.44</v>
      </c>
      <c r="Z635" s="74">
        <v>0.23</v>
      </c>
      <c r="AA635" s="74">
        <v>9.9000000000000005E-2</v>
      </c>
      <c r="AB635" s="74">
        <v>3.4000000000000002E-2</v>
      </c>
      <c r="AC635" s="74">
        <v>0.26</v>
      </c>
    </row>
    <row r="636" spans="2:29" x14ac:dyDescent="0.2">
      <c r="B636" s="66" t="s">
        <v>785</v>
      </c>
      <c r="C636" s="67" t="s">
        <v>257</v>
      </c>
      <c r="D636" s="68">
        <v>55</v>
      </c>
      <c r="F636" s="66" t="s">
        <v>480</v>
      </c>
      <c r="G636" s="67" t="s">
        <v>247</v>
      </c>
      <c r="H636" s="68">
        <v>125</v>
      </c>
      <c r="I636" s="76">
        <v>1113</v>
      </c>
      <c r="J636" s="70">
        <v>-36</v>
      </c>
      <c r="K636" s="70">
        <v>-40</v>
      </c>
      <c r="L636" s="70">
        <v>27</v>
      </c>
      <c r="M636" s="70">
        <v>19</v>
      </c>
      <c r="N636" s="76">
        <v>6100</v>
      </c>
      <c r="O636" s="76">
        <v>15</v>
      </c>
      <c r="P636" s="77">
        <v>95</v>
      </c>
      <c r="Q636" s="77">
        <v>370</v>
      </c>
      <c r="R636" s="72">
        <v>0.6</v>
      </c>
      <c r="S636" s="77">
        <v>500</v>
      </c>
      <c r="T636" s="77">
        <v>80</v>
      </c>
      <c r="U636" s="73">
        <v>2.9</v>
      </c>
      <c r="V636" s="73">
        <v>0.1</v>
      </c>
      <c r="W636" s="72">
        <v>0.28000000000000003</v>
      </c>
      <c r="X636" s="72">
        <v>0.37</v>
      </c>
      <c r="Y636" s="72">
        <v>0.12</v>
      </c>
      <c r="Z636" s="74">
        <v>0.06</v>
      </c>
      <c r="AA636" s="74">
        <v>0.02</v>
      </c>
      <c r="AB636" s="74">
        <v>0.01</v>
      </c>
      <c r="AC636" s="74">
        <v>0.06</v>
      </c>
    </row>
    <row r="637" spans="2:29" x14ac:dyDescent="0.2">
      <c r="B637" s="66" t="s">
        <v>786</v>
      </c>
      <c r="C637" s="67" t="s">
        <v>257</v>
      </c>
      <c r="D637" s="68">
        <v>56</v>
      </c>
      <c r="F637" s="66" t="s">
        <v>672</v>
      </c>
      <c r="G637" s="67" t="s">
        <v>252</v>
      </c>
      <c r="H637" s="68">
        <v>20</v>
      </c>
      <c r="I637" s="70">
        <v>335</v>
      </c>
      <c r="J637" s="70">
        <v>-36</v>
      </c>
      <c r="K637" s="70">
        <v>-38</v>
      </c>
      <c r="L637" s="70">
        <v>29</v>
      </c>
      <c r="M637" s="70">
        <v>22</v>
      </c>
      <c r="N637" s="70">
        <v>6200</v>
      </c>
      <c r="O637" s="70">
        <v>20</v>
      </c>
      <c r="P637" s="71">
        <v>92</v>
      </c>
      <c r="Q637" s="71">
        <v>370</v>
      </c>
      <c r="R637" s="72">
        <v>0.57999999999999996</v>
      </c>
      <c r="S637" s="71">
        <v>500</v>
      </c>
      <c r="T637" s="71">
        <v>120</v>
      </c>
      <c r="U637" s="73">
        <v>2</v>
      </c>
      <c r="V637" s="73">
        <v>0.2</v>
      </c>
      <c r="W637" s="72">
        <v>0.3</v>
      </c>
      <c r="X637" s="72">
        <v>0.38</v>
      </c>
      <c r="Y637" s="72">
        <v>0.12</v>
      </c>
      <c r="Z637" s="74">
        <v>5.6000000000000001E-2</v>
      </c>
      <c r="AA637" s="74">
        <v>2.3E-2</v>
      </c>
      <c r="AB637" s="74">
        <v>6.0000000000000001E-3</v>
      </c>
      <c r="AC637" s="74">
        <v>5.8999999999999997E-2</v>
      </c>
    </row>
    <row r="638" spans="2:29" x14ac:dyDescent="0.2">
      <c r="B638" s="66" t="s">
        <v>791</v>
      </c>
      <c r="C638" s="67" t="s">
        <v>257</v>
      </c>
      <c r="D638" s="68">
        <v>57</v>
      </c>
      <c r="F638" s="66" t="s">
        <v>964</v>
      </c>
      <c r="G638" s="67" t="s">
        <v>278</v>
      </c>
      <c r="H638" s="68">
        <v>28</v>
      </c>
      <c r="I638" s="70">
        <v>750</v>
      </c>
      <c r="J638" s="70">
        <v>-32</v>
      </c>
      <c r="K638" s="70">
        <v>-34</v>
      </c>
      <c r="L638" s="70">
        <v>32</v>
      </c>
      <c r="M638" s="70">
        <v>20</v>
      </c>
      <c r="N638" s="70">
        <v>5400</v>
      </c>
      <c r="O638" s="70">
        <v>33</v>
      </c>
      <c r="P638" s="71">
        <v>81</v>
      </c>
      <c r="Q638" s="71">
        <v>260</v>
      </c>
      <c r="R638" s="72">
        <v>0.34</v>
      </c>
      <c r="S638" s="71">
        <v>350</v>
      </c>
      <c r="T638" s="71">
        <v>240</v>
      </c>
      <c r="U638" s="73">
        <v>1.4</v>
      </c>
      <c r="V638" s="73">
        <v>0.1</v>
      </c>
      <c r="W638" s="72">
        <v>0.46</v>
      </c>
      <c r="X638" s="72">
        <v>0.62</v>
      </c>
      <c r="Y638" s="72">
        <v>0.12</v>
      </c>
      <c r="Z638" s="74">
        <v>5.6000000000000001E-2</v>
      </c>
      <c r="AA638" s="74">
        <v>2.3E-2</v>
      </c>
      <c r="AB638" s="74">
        <v>6.0000000000000001E-3</v>
      </c>
      <c r="AC638" s="74">
        <v>5.8999999999999997E-2</v>
      </c>
    </row>
    <row r="639" spans="2:29" x14ac:dyDescent="0.2">
      <c r="B639" s="66" t="s">
        <v>792</v>
      </c>
      <c r="C639" s="67" t="s">
        <v>257</v>
      </c>
      <c r="D639" s="68">
        <v>58</v>
      </c>
      <c r="F639" s="66" t="s">
        <v>742</v>
      </c>
      <c r="G639" s="67" t="s">
        <v>261</v>
      </c>
      <c r="H639" s="68">
        <v>21</v>
      </c>
      <c r="I639" s="70">
        <v>5</v>
      </c>
      <c r="J639" s="70">
        <v>-16</v>
      </c>
      <c r="K639" s="70">
        <v>-18</v>
      </c>
      <c r="L639" s="70">
        <v>27</v>
      </c>
      <c r="M639" s="70">
        <v>21</v>
      </c>
      <c r="N639" s="70">
        <v>4650</v>
      </c>
      <c r="O639" s="70">
        <v>13</v>
      </c>
      <c r="P639" s="71">
        <v>123</v>
      </c>
      <c r="Q639" s="71">
        <v>1200</v>
      </c>
      <c r="R639" s="72">
        <v>1.36</v>
      </c>
      <c r="S639" s="71">
        <v>1475</v>
      </c>
      <c r="T639" s="71">
        <v>300</v>
      </c>
      <c r="U639" s="73">
        <v>2.2999999999999998</v>
      </c>
      <c r="V639" s="73">
        <v>0.6</v>
      </c>
      <c r="W639" s="72">
        <v>0.47</v>
      </c>
      <c r="X639" s="72">
        <v>0.59</v>
      </c>
      <c r="Y639" s="72">
        <v>0.2</v>
      </c>
      <c r="Z639" s="74">
        <v>0.12</v>
      </c>
      <c r="AA639" s="74">
        <v>6.2E-2</v>
      </c>
      <c r="AB639" s="74">
        <v>1.7000000000000001E-2</v>
      </c>
      <c r="AC639" s="74">
        <v>0.1</v>
      </c>
    </row>
    <row r="640" spans="2:29" x14ac:dyDescent="0.2">
      <c r="B640" s="66" t="s">
        <v>805</v>
      </c>
      <c r="C640" s="67" t="s">
        <v>257</v>
      </c>
      <c r="D640" s="68">
        <v>59</v>
      </c>
      <c r="F640" s="66" t="s">
        <v>482</v>
      </c>
      <c r="G640" s="67" t="s">
        <v>247</v>
      </c>
      <c r="H640" s="68">
        <v>126</v>
      </c>
      <c r="I640" s="76">
        <v>945</v>
      </c>
      <c r="J640" s="70">
        <v>-34</v>
      </c>
      <c r="K640" s="70">
        <v>-37</v>
      </c>
      <c r="L640" s="70">
        <v>27</v>
      </c>
      <c r="M640" s="70">
        <v>19</v>
      </c>
      <c r="N640" s="76">
        <v>5700</v>
      </c>
      <c r="O640" s="76">
        <v>18</v>
      </c>
      <c r="P640" s="77">
        <v>95</v>
      </c>
      <c r="Q640" s="77">
        <v>390</v>
      </c>
      <c r="R640" s="72">
        <v>0.56000000000000005</v>
      </c>
      <c r="S640" s="77">
        <v>545</v>
      </c>
      <c r="T640" s="77">
        <v>180</v>
      </c>
      <c r="U640" s="73">
        <v>2.1</v>
      </c>
      <c r="V640" s="73">
        <v>0.1</v>
      </c>
      <c r="W640" s="72">
        <v>0.3</v>
      </c>
      <c r="X640" s="72">
        <v>0.41</v>
      </c>
      <c r="Y640" s="72">
        <v>0.12</v>
      </c>
      <c r="Z640" s="74">
        <v>0.06</v>
      </c>
      <c r="AA640" s="74">
        <v>0.03</v>
      </c>
      <c r="AB640" s="74">
        <v>0.02</v>
      </c>
      <c r="AC640" s="74">
        <v>0.06</v>
      </c>
    </row>
    <row r="641" spans="2:29" x14ac:dyDescent="0.2">
      <c r="B641" s="66" t="s">
        <v>806</v>
      </c>
      <c r="C641" s="67" t="s">
        <v>257</v>
      </c>
      <c r="D641" s="68">
        <v>60</v>
      </c>
      <c r="F641" s="66" t="s">
        <v>484</v>
      </c>
      <c r="G641" s="67" t="s">
        <v>247</v>
      </c>
      <c r="H641" s="68">
        <v>127</v>
      </c>
      <c r="I641" s="76">
        <v>815</v>
      </c>
      <c r="J641" s="70">
        <v>-31</v>
      </c>
      <c r="K641" s="70">
        <v>-33</v>
      </c>
      <c r="L641" s="70">
        <v>31</v>
      </c>
      <c r="M641" s="70">
        <v>19</v>
      </c>
      <c r="N641" s="76">
        <v>4800</v>
      </c>
      <c r="O641" s="76">
        <v>20</v>
      </c>
      <c r="P641" s="77">
        <v>92</v>
      </c>
      <c r="Q641" s="77">
        <v>260</v>
      </c>
      <c r="R641" s="72">
        <v>0.26</v>
      </c>
      <c r="S641" s="77">
        <v>370</v>
      </c>
      <c r="T641" s="77">
        <v>200</v>
      </c>
      <c r="U641" s="73">
        <v>1.2</v>
      </c>
      <c r="V641" s="73">
        <v>0.1</v>
      </c>
      <c r="W641" s="72">
        <v>0.56999999999999995</v>
      </c>
      <c r="X641" s="72">
        <v>0.75</v>
      </c>
      <c r="Y641" s="72">
        <v>0.12</v>
      </c>
      <c r="Z641" s="74">
        <v>5.8999999999999997E-2</v>
      </c>
      <c r="AA641" s="74">
        <v>3.2000000000000001E-2</v>
      </c>
      <c r="AB641" s="74">
        <v>1.7999999999999999E-2</v>
      </c>
      <c r="AC641" s="74">
        <v>6.4000000000000001E-2</v>
      </c>
    </row>
    <row r="642" spans="2:29" x14ac:dyDescent="0.2">
      <c r="B642" s="66" t="s">
        <v>807</v>
      </c>
      <c r="C642" s="67" t="s">
        <v>257</v>
      </c>
      <c r="D642" s="68">
        <v>61</v>
      </c>
      <c r="F642" s="66" t="s">
        <v>965</v>
      </c>
      <c r="G642" s="67" t="s">
        <v>257</v>
      </c>
      <c r="H642" s="68">
        <v>107</v>
      </c>
      <c r="I642" s="70">
        <v>65</v>
      </c>
      <c r="J642" s="70">
        <v>-26</v>
      </c>
      <c r="K642" s="70">
        <v>-28</v>
      </c>
      <c r="L642" s="70">
        <v>27</v>
      </c>
      <c r="M642" s="70">
        <v>21</v>
      </c>
      <c r="N642" s="70">
        <v>5450</v>
      </c>
      <c r="O642" s="70">
        <v>20</v>
      </c>
      <c r="P642" s="71">
        <v>96</v>
      </c>
      <c r="Q642" s="71">
        <v>700</v>
      </c>
      <c r="R642" s="72">
        <v>0.88</v>
      </c>
      <c r="S642" s="71">
        <v>1000</v>
      </c>
      <c r="T642" s="71">
        <v>180</v>
      </c>
      <c r="U642" s="73">
        <v>3.4</v>
      </c>
      <c r="V642" s="73">
        <v>0.4</v>
      </c>
      <c r="W642" s="72">
        <v>0.4</v>
      </c>
      <c r="X642" s="72">
        <v>0.56000000000000005</v>
      </c>
      <c r="Y642" s="72">
        <v>0.84</v>
      </c>
      <c r="Z642" s="74">
        <v>0.46</v>
      </c>
      <c r="AA642" s="74">
        <v>0.22</v>
      </c>
      <c r="AB642" s="74">
        <v>7.2999999999999995E-2</v>
      </c>
      <c r="AC642" s="74">
        <v>0.46</v>
      </c>
    </row>
    <row r="643" spans="2:29" x14ac:dyDescent="0.2">
      <c r="B643" s="66" t="s">
        <v>808</v>
      </c>
      <c r="C643" s="67" t="s">
        <v>257</v>
      </c>
      <c r="D643" s="68">
        <v>62</v>
      </c>
      <c r="F643" s="66" t="s">
        <v>744</v>
      </c>
      <c r="G643" s="67" t="s">
        <v>261</v>
      </c>
      <c r="H643" s="68">
        <v>22</v>
      </c>
      <c r="I643" s="70">
        <v>25</v>
      </c>
      <c r="J643" s="70">
        <v>-21</v>
      </c>
      <c r="K643" s="70">
        <v>-24</v>
      </c>
      <c r="L643" s="70">
        <v>27</v>
      </c>
      <c r="M643" s="70">
        <v>21</v>
      </c>
      <c r="N643" s="70">
        <v>4500</v>
      </c>
      <c r="O643" s="70">
        <v>18</v>
      </c>
      <c r="P643" s="71">
        <v>118</v>
      </c>
      <c r="Q643" s="71">
        <v>875</v>
      </c>
      <c r="R643" s="72">
        <v>1.05</v>
      </c>
      <c r="S643" s="71">
        <v>1150</v>
      </c>
      <c r="T643" s="71">
        <v>260</v>
      </c>
      <c r="U643" s="73">
        <v>2.2000000000000002</v>
      </c>
      <c r="V643" s="73">
        <v>0.6</v>
      </c>
      <c r="W643" s="72">
        <v>0.4</v>
      </c>
      <c r="X643" s="72">
        <v>0.55000000000000004</v>
      </c>
      <c r="Y643" s="72">
        <v>0.19</v>
      </c>
      <c r="Z643" s="74">
        <v>0.11</v>
      </c>
      <c r="AA643" s="74">
        <v>5.7000000000000002E-2</v>
      </c>
      <c r="AB643" s="74">
        <v>1.6E-2</v>
      </c>
      <c r="AC643" s="74">
        <v>9.7000000000000003E-2</v>
      </c>
    </row>
    <row r="644" spans="2:29" x14ac:dyDescent="0.2">
      <c r="B644" s="66" t="s">
        <v>809</v>
      </c>
      <c r="C644" s="67" t="s">
        <v>257</v>
      </c>
      <c r="D644" s="68">
        <v>63</v>
      </c>
      <c r="F644" s="66" t="s">
        <v>905</v>
      </c>
      <c r="G644" s="67" t="s">
        <v>264</v>
      </c>
      <c r="H644" s="68">
        <v>193</v>
      </c>
      <c r="I644" s="70">
        <v>340</v>
      </c>
      <c r="J644" s="70">
        <v>-18</v>
      </c>
      <c r="K644" s="70">
        <v>-20</v>
      </c>
      <c r="L644" s="70">
        <v>29</v>
      </c>
      <c r="M644" s="70">
        <v>23</v>
      </c>
      <c r="N644" s="70">
        <v>4350</v>
      </c>
      <c r="O644" s="70">
        <v>28</v>
      </c>
      <c r="P644" s="71">
        <v>124</v>
      </c>
      <c r="Q644" s="71">
        <v>820</v>
      </c>
      <c r="R644" s="72">
        <v>0.95</v>
      </c>
      <c r="S644" s="71">
        <v>1010</v>
      </c>
      <c r="T644" s="71">
        <v>160</v>
      </c>
      <c r="U644" s="73">
        <v>2.1</v>
      </c>
      <c r="V644" s="73">
        <v>0.4</v>
      </c>
      <c r="W644" s="72">
        <v>0.34</v>
      </c>
      <c r="X644" s="72">
        <v>0.47</v>
      </c>
      <c r="Y644" s="72">
        <v>0.17</v>
      </c>
      <c r="Z644" s="74">
        <v>8.8999999999999996E-2</v>
      </c>
      <c r="AA644" s="74">
        <v>4.7E-2</v>
      </c>
      <c r="AB644" s="74">
        <v>1.2999999999999999E-2</v>
      </c>
      <c r="AC644" s="74">
        <v>0.1</v>
      </c>
    </row>
    <row r="645" spans="2:29" x14ac:dyDescent="0.2">
      <c r="B645" s="66" t="s">
        <v>810</v>
      </c>
      <c r="C645" s="67" t="s">
        <v>257</v>
      </c>
      <c r="D645" s="68">
        <v>64</v>
      </c>
      <c r="F645" s="66" t="s">
        <v>626</v>
      </c>
      <c r="G645" s="67" t="s">
        <v>224</v>
      </c>
      <c r="H645" s="68">
        <v>78</v>
      </c>
      <c r="I645" s="70">
        <v>515</v>
      </c>
      <c r="J645" s="70">
        <v>-36</v>
      </c>
      <c r="K645" s="70">
        <v>-38</v>
      </c>
      <c r="L645" s="70">
        <v>26</v>
      </c>
      <c r="M645" s="70">
        <v>18</v>
      </c>
      <c r="N645" s="70">
        <v>6000</v>
      </c>
      <c r="O645" s="70">
        <v>15</v>
      </c>
      <c r="P645" s="71">
        <v>64</v>
      </c>
      <c r="Q645" s="71">
        <v>320</v>
      </c>
      <c r="R645" s="72">
        <v>0.49</v>
      </c>
      <c r="S645" s="71">
        <v>450</v>
      </c>
      <c r="T645" s="71">
        <v>100</v>
      </c>
      <c r="U645" s="73">
        <v>2.2999999999999998</v>
      </c>
      <c r="V645" s="73">
        <v>0.1</v>
      </c>
      <c r="W645" s="72">
        <v>0.32</v>
      </c>
      <c r="X645" s="72">
        <v>0.4</v>
      </c>
      <c r="Y645" s="72">
        <v>0.12</v>
      </c>
      <c r="Z645" s="74">
        <v>0.06</v>
      </c>
      <c r="AA645" s="74">
        <v>3.1E-2</v>
      </c>
      <c r="AB645" s="74">
        <v>1.7999999999999999E-2</v>
      </c>
      <c r="AC645" s="74">
        <v>5.8999999999999997E-2</v>
      </c>
    </row>
    <row r="646" spans="2:29" x14ac:dyDescent="0.2">
      <c r="B646" s="66" t="s">
        <v>824</v>
      </c>
      <c r="C646" s="67" t="s">
        <v>257</v>
      </c>
      <c r="D646" s="68">
        <v>65</v>
      </c>
      <c r="F646" s="66" t="s">
        <v>906</v>
      </c>
      <c r="G646" s="67" t="s">
        <v>264</v>
      </c>
      <c r="H646" s="68">
        <v>194</v>
      </c>
      <c r="I646" s="70">
        <v>300</v>
      </c>
      <c r="J646" s="70">
        <v>-30</v>
      </c>
      <c r="K646" s="70">
        <v>-33</v>
      </c>
      <c r="L646" s="70">
        <v>30</v>
      </c>
      <c r="M646" s="70">
        <v>21</v>
      </c>
      <c r="N646" s="70">
        <v>5400</v>
      </c>
      <c r="O646" s="70">
        <v>25</v>
      </c>
      <c r="P646" s="71">
        <v>92</v>
      </c>
      <c r="Q646" s="71">
        <v>650</v>
      </c>
      <c r="R646" s="72">
        <v>0.82</v>
      </c>
      <c r="S646" s="71">
        <v>875</v>
      </c>
      <c r="T646" s="71">
        <v>120</v>
      </c>
      <c r="U646" s="73">
        <v>2.6</v>
      </c>
      <c r="V646" s="73">
        <v>0.4</v>
      </c>
      <c r="W646" s="72">
        <v>0.27</v>
      </c>
      <c r="X646" s="72">
        <v>0.37</v>
      </c>
      <c r="Y646" s="72">
        <v>0.3</v>
      </c>
      <c r="Z646" s="74">
        <v>0.14000000000000001</v>
      </c>
      <c r="AA646" s="74">
        <v>6.8000000000000005E-2</v>
      </c>
      <c r="AB646" s="74">
        <v>2.1000000000000001E-2</v>
      </c>
      <c r="AC646" s="74">
        <v>0.19</v>
      </c>
    </row>
    <row r="647" spans="2:29" x14ac:dyDescent="0.2">
      <c r="B647" s="66" t="s">
        <v>826</v>
      </c>
      <c r="C647" s="67" t="s">
        <v>257</v>
      </c>
      <c r="D647" s="68">
        <v>66</v>
      </c>
      <c r="F647" s="66" t="s">
        <v>966</v>
      </c>
      <c r="G647" s="67" t="s">
        <v>257</v>
      </c>
      <c r="H647" s="68">
        <v>108</v>
      </c>
      <c r="I647" s="70">
        <v>240</v>
      </c>
      <c r="J647" s="70">
        <v>-30</v>
      </c>
      <c r="K647" s="70">
        <v>-32</v>
      </c>
      <c r="L647" s="70">
        <v>30</v>
      </c>
      <c r="M647" s="70">
        <v>21</v>
      </c>
      <c r="N647" s="70">
        <v>5100</v>
      </c>
      <c r="O647" s="70">
        <v>23</v>
      </c>
      <c r="P647" s="71">
        <v>102</v>
      </c>
      <c r="Q647" s="71">
        <v>730</v>
      </c>
      <c r="R647" s="72">
        <v>0.88</v>
      </c>
      <c r="S647" s="71">
        <v>940</v>
      </c>
      <c r="T647" s="71">
        <v>100</v>
      </c>
      <c r="U647" s="73">
        <v>2.5</v>
      </c>
      <c r="V647" s="73">
        <v>0.4</v>
      </c>
      <c r="W647" s="72">
        <v>0.24</v>
      </c>
      <c r="X647" s="72">
        <v>0.32</v>
      </c>
      <c r="Y647" s="72">
        <v>0.59</v>
      </c>
      <c r="Z647" s="74">
        <v>0.26</v>
      </c>
      <c r="AA647" s="74">
        <v>0.1</v>
      </c>
      <c r="AB647" s="74">
        <v>3.4000000000000002E-2</v>
      </c>
      <c r="AC647" s="74">
        <v>0.38</v>
      </c>
    </row>
    <row r="648" spans="2:29" x14ac:dyDescent="0.2">
      <c r="B648" s="66" t="s">
        <v>827</v>
      </c>
      <c r="C648" s="67" t="s">
        <v>257</v>
      </c>
      <c r="D648" s="68">
        <v>67</v>
      </c>
      <c r="F648" s="66" t="s">
        <v>627</v>
      </c>
      <c r="G648" s="67" t="s">
        <v>224</v>
      </c>
      <c r="H648" s="68">
        <v>79</v>
      </c>
      <c r="I648" s="70">
        <v>60</v>
      </c>
      <c r="J648" s="70">
        <v>-20</v>
      </c>
      <c r="K648" s="70">
        <v>-22</v>
      </c>
      <c r="L648" s="70">
        <v>25</v>
      </c>
      <c r="M648" s="70">
        <v>16</v>
      </c>
      <c r="N648" s="70">
        <v>4400</v>
      </c>
      <c r="O648" s="70">
        <v>13</v>
      </c>
      <c r="P648" s="71">
        <v>128</v>
      </c>
      <c r="Q648" s="71">
        <v>950</v>
      </c>
      <c r="R648" s="72">
        <v>1.08</v>
      </c>
      <c r="S648" s="71">
        <v>1150</v>
      </c>
      <c r="T648" s="71">
        <v>200</v>
      </c>
      <c r="U648" s="73">
        <v>5.4</v>
      </c>
      <c r="V648" s="73">
        <v>0.6</v>
      </c>
      <c r="W648" s="72">
        <v>0.27</v>
      </c>
      <c r="X648" s="72">
        <v>0.36</v>
      </c>
      <c r="Y648" s="72">
        <v>0.34</v>
      </c>
      <c r="Z648" s="74">
        <v>0.21</v>
      </c>
      <c r="AA648" s="74">
        <v>0.11</v>
      </c>
      <c r="AB648" s="74">
        <v>6.5000000000000002E-2</v>
      </c>
      <c r="AC648" s="74">
        <v>0.16</v>
      </c>
    </row>
    <row r="649" spans="2:29" x14ac:dyDescent="0.2">
      <c r="B649" s="66" t="s">
        <v>837</v>
      </c>
      <c r="C649" s="67" t="s">
        <v>257</v>
      </c>
      <c r="D649" s="68">
        <v>68</v>
      </c>
      <c r="F649" s="66" t="s">
        <v>967</v>
      </c>
      <c r="G649" s="67" t="s">
        <v>270</v>
      </c>
      <c r="H649" s="68">
        <v>5</v>
      </c>
      <c r="I649" s="70">
        <v>690</v>
      </c>
      <c r="J649" s="70">
        <v>-41</v>
      </c>
      <c r="K649" s="70">
        <v>-43</v>
      </c>
      <c r="L649" s="70">
        <v>25</v>
      </c>
      <c r="M649" s="70">
        <v>16</v>
      </c>
      <c r="N649" s="70">
        <v>7200</v>
      </c>
      <c r="O649" s="70">
        <v>8</v>
      </c>
      <c r="P649" s="71">
        <v>38</v>
      </c>
      <c r="Q649" s="71">
        <v>200</v>
      </c>
      <c r="R649" s="72">
        <v>0.51</v>
      </c>
      <c r="S649" s="71">
        <v>340</v>
      </c>
      <c r="T649" s="71">
        <v>40</v>
      </c>
      <c r="U649" s="73">
        <v>2.9</v>
      </c>
      <c r="V649" s="73">
        <v>0.1</v>
      </c>
      <c r="W649" s="72">
        <v>0.19</v>
      </c>
      <c r="X649" s="72">
        <v>0.28999999999999998</v>
      </c>
      <c r="Y649" s="72">
        <v>0.19</v>
      </c>
      <c r="Z649" s="74">
        <v>0.11</v>
      </c>
      <c r="AA649" s="74">
        <v>6.5000000000000002E-2</v>
      </c>
      <c r="AB649" s="74">
        <v>4.1000000000000002E-2</v>
      </c>
      <c r="AC649" s="74">
        <v>9.9000000000000005E-2</v>
      </c>
    </row>
    <row r="650" spans="2:29" x14ac:dyDescent="0.2">
      <c r="B650" s="66" t="s">
        <v>846</v>
      </c>
      <c r="C650" s="67" t="s">
        <v>257</v>
      </c>
      <c r="D650" s="68">
        <v>69</v>
      </c>
      <c r="F650" s="66" t="s">
        <v>908</v>
      </c>
      <c r="G650" s="67" t="s">
        <v>264</v>
      </c>
      <c r="H650" s="68">
        <v>195</v>
      </c>
      <c r="I650" s="70">
        <v>280</v>
      </c>
      <c r="J650" s="70">
        <v>-18</v>
      </c>
      <c r="K650" s="70">
        <v>-20</v>
      </c>
      <c r="L650" s="70">
        <v>30</v>
      </c>
      <c r="M650" s="70">
        <v>23</v>
      </c>
      <c r="N650" s="70">
        <v>4200</v>
      </c>
      <c r="O650" s="70">
        <v>28</v>
      </c>
      <c r="P650" s="71">
        <v>108</v>
      </c>
      <c r="Q650" s="71">
        <v>820</v>
      </c>
      <c r="R650" s="72">
        <v>0.93</v>
      </c>
      <c r="S650" s="71">
        <v>975</v>
      </c>
      <c r="T650" s="71">
        <v>160</v>
      </c>
      <c r="U650" s="73">
        <v>1.9</v>
      </c>
      <c r="V650" s="73">
        <v>0.4</v>
      </c>
      <c r="W650" s="72">
        <v>0.33</v>
      </c>
      <c r="X650" s="72">
        <v>0.48</v>
      </c>
      <c r="Y650" s="72">
        <v>0.18</v>
      </c>
      <c r="Z650" s="74">
        <v>9.5000000000000001E-2</v>
      </c>
      <c r="AA650" s="74">
        <v>4.8000000000000001E-2</v>
      </c>
      <c r="AB650" s="74">
        <v>1.2999999999999999E-2</v>
      </c>
      <c r="AC650" s="74">
        <v>0.12</v>
      </c>
    </row>
    <row r="651" spans="2:29" x14ac:dyDescent="0.2">
      <c r="B651" s="66" t="s">
        <v>853</v>
      </c>
      <c r="C651" s="67" t="s">
        <v>257</v>
      </c>
      <c r="D651" s="68">
        <v>70</v>
      </c>
      <c r="F651" s="66" t="s">
        <v>674</v>
      </c>
      <c r="G651" s="67" t="s">
        <v>252</v>
      </c>
      <c r="H651" s="68">
        <v>21</v>
      </c>
      <c r="I651" s="70">
        <v>270</v>
      </c>
      <c r="J651" s="70">
        <v>-36</v>
      </c>
      <c r="K651" s="70">
        <v>-38</v>
      </c>
      <c r="L651" s="70">
        <v>28</v>
      </c>
      <c r="M651" s="70">
        <v>21</v>
      </c>
      <c r="N651" s="70">
        <v>6750</v>
      </c>
      <c r="O651" s="70">
        <v>15</v>
      </c>
      <c r="P651" s="71">
        <v>81</v>
      </c>
      <c r="Q651" s="71">
        <v>330</v>
      </c>
      <c r="R651" s="72">
        <v>0.59</v>
      </c>
      <c r="S651" s="71">
        <v>450</v>
      </c>
      <c r="T651" s="71">
        <v>160</v>
      </c>
      <c r="U651" s="73">
        <v>2.1</v>
      </c>
      <c r="V651" s="73">
        <v>0.2</v>
      </c>
      <c r="W651" s="72">
        <v>0.33</v>
      </c>
      <c r="X651" s="72">
        <v>0.44</v>
      </c>
      <c r="Y651" s="72">
        <v>0.12</v>
      </c>
      <c r="Z651" s="74">
        <v>5.6000000000000001E-2</v>
      </c>
      <c r="AA651" s="74">
        <v>2.3E-2</v>
      </c>
      <c r="AB651" s="74">
        <v>6.0000000000000001E-3</v>
      </c>
      <c r="AC651" s="74">
        <v>5.8999999999999997E-2</v>
      </c>
    </row>
    <row r="652" spans="2:29" x14ac:dyDescent="0.2">
      <c r="B652" s="66" t="s">
        <v>854</v>
      </c>
      <c r="C652" s="67" t="s">
        <v>257</v>
      </c>
      <c r="D652" s="68">
        <v>71</v>
      </c>
      <c r="F652" s="66" t="s">
        <v>909</v>
      </c>
      <c r="G652" s="67" t="s">
        <v>264</v>
      </c>
      <c r="H652" s="68">
        <v>196</v>
      </c>
      <c r="I652" s="70">
        <v>205</v>
      </c>
      <c r="J652" s="70">
        <v>-16</v>
      </c>
      <c r="K652" s="70">
        <v>-18</v>
      </c>
      <c r="L652" s="70">
        <v>31</v>
      </c>
      <c r="M652" s="70">
        <v>23</v>
      </c>
      <c r="N652" s="70">
        <v>3900</v>
      </c>
      <c r="O652" s="70">
        <v>23</v>
      </c>
      <c r="P652" s="71">
        <v>103</v>
      </c>
      <c r="Q652" s="71">
        <v>810</v>
      </c>
      <c r="R652" s="72">
        <v>0.95</v>
      </c>
      <c r="S652" s="71">
        <v>900</v>
      </c>
      <c r="T652" s="71">
        <v>180</v>
      </c>
      <c r="U652" s="73">
        <v>2.1</v>
      </c>
      <c r="V652" s="73">
        <v>0.4</v>
      </c>
      <c r="W652" s="72">
        <v>0.41</v>
      </c>
      <c r="X652" s="72">
        <v>0.55000000000000004</v>
      </c>
      <c r="Y652" s="72">
        <v>0.14000000000000001</v>
      </c>
      <c r="Z652" s="74">
        <v>7.8E-2</v>
      </c>
      <c r="AA652" s="74">
        <v>4.2000000000000003E-2</v>
      </c>
      <c r="AB652" s="74">
        <v>1.0999999999999999E-2</v>
      </c>
      <c r="AC652" s="74">
        <v>0.08</v>
      </c>
    </row>
    <row r="653" spans="2:29" x14ac:dyDescent="0.2">
      <c r="B653" s="66" t="s">
        <v>856</v>
      </c>
      <c r="C653" s="67" t="s">
        <v>257</v>
      </c>
      <c r="D653" s="68">
        <v>72</v>
      </c>
      <c r="F653" s="66" t="s">
        <v>968</v>
      </c>
      <c r="G653" s="67" t="s">
        <v>257</v>
      </c>
      <c r="H653" s="68">
        <v>109</v>
      </c>
      <c r="I653" s="70">
        <v>330</v>
      </c>
      <c r="J653" s="70">
        <v>-26</v>
      </c>
      <c r="K653" s="70">
        <v>-28</v>
      </c>
      <c r="L653" s="70">
        <v>28</v>
      </c>
      <c r="M653" s="70">
        <v>22</v>
      </c>
      <c r="N653" s="70">
        <v>5300</v>
      </c>
      <c r="O653" s="70">
        <v>20</v>
      </c>
      <c r="P653" s="71">
        <v>107</v>
      </c>
      <c r="Q653" s="71">
        <v>950</v>
      </c>
      <c r="R653" s="72">
        <v>1.06</v>
      </c>
      <c r="S653" s="71">
        <v>1230</v>
      </c>
      <c r="T653" s="71">
        <v>160</v>
      </c>
      <c r="U653" s="73">
        <v>3.3</v>
      </c>
      <c r="V653" s="73">
        <v>0.6</v>
      </c>
      <c r="W653" s="72">
        <v>0.28000000000000003</v>
      </c>
      <c r="X653" s="72">
        <v>0.37</v>
      </c>
      <c r="Y653" s="72">
        <v>0.35</v>
      </c>
      <c r="Z653" s="74">
        <v>0.2</v>
      </c>
      <c r="AA653" s="74">
        <v>9.7000000000000003E-2</v>
      </c>
      <c r="AB653" s="74">
        <v>3.3000000000000002E-2</v>
      </c>
      <c r="AC653" s="74">
        <v>0.19</v>
      </c>
    </row>
    <row r="654" spans="2:29" x14ac:dyDescent="0.2">
      <c r="B654" s="66" t="s">
        <v>864</v>
      </c>
      <c r="C654" s="67" t="s">
        <v>257</v>
      </c>
      <c r="D654" s="68">
        <v>73</v>
      </c>
      <c r="F654" s="66" t="s">
        <v>676</v>
      </c>
      <c r="G654" s="67" t="s">
        <v>252</v>
      </c>
      <c r="H654" s="68">
        <v>22</v>
      </c>
      <c r="I654" s="70">
        <v>205</v>
      </c>
      <c r="J654" s="70">
        <v>-42</v>
      </c>
      <c r="K654" s="70">
        <v>-45</v>
      </c>
      <c r="L654" s="70">
        <v>26</v>
      </c>
      <c r="M654" s="70">
        <v>19</v>
      </c>
      <c r="N654" s="70">
        <v>7850</v>
      </c>
      <c r="O654" s="70">
        <v>10</v>
      </c>
      <c r="P654" s="71">
        <v>76</v>
      </c>
      <c r="Q654" s="71">
        <v>350</v>
      </c>
      <c r="R654" s="72">
        <v>0.64</v>
      </c>
      <c r="S654" s="71">
        <v>540</v>
      </c>
      <c r="T654" s="71">
        <v>100</v>
      </c>
      <c r="U654" s="73">
        <v>2.4</v>
      </c>
      <c r="V654" s="73">
        <v>0.2</v>
      </c>
      <c r="W654" s="72">
        <v>0.37</v>
      </c>
      <c r="X654" s="72">
        <v>0.49</v>
      </c>
      <c r="Y654" s="72">
        <v>0.12</v>
      </c>
      <c r="Z654" s="74">
        <v>5.6000000000000001E-2</v>
      </c>
      <c r="AA654" s="74">
        <v>2.3E-2</v>
      </c>
      <c r="AB654" s="74">
        <v>6.0000000000000001E-3</v>
      </c>
      <c r="AC654" s="74">
        <v>5.8999999999999997E-2</v>
      </c>
    </row>
    <row r="655" spans="2:29" x14ac:dyDescent="0.2">
      <c r="B655" s="66" t="s">
        <v>865</v>
      </c>
      <c r="C655" s="67" t="s">
        <v>257</v>
      </c>
      <c r="D655" s="68">
        <v>74</v>
      </c>
      <c r="F655" s="66" t="s">
        <v>486</v>
      </c>
      <c r="G655" s="67" t="s">
        <v>247</v>
      </c>
      <c r="H655" s="68">
        <v>128</v>
      </c>
      <c r="I655" s="76">
        <v>649</v>
      </c>
      <c r="J655" s="70">
        <v>-37</v>
      </c>
      <c r="K655" s="70">
        <v>-40</v>
      </c>
      <c r="L655" s="70">
        <v>27</v>
      </c>
      <c r="M655" s="70">
        <v>19</v>
      </c>
      <c r="N655" s="76">
        <v>6000</v>
      </c>
      <c r="O655" s="76">
        <v>17</v>
      </c>
      <c r="P655" s="77">
        <v>75</v>
      </c>
      <c r="Q655" s="77">
        <v>360</v>
      </c>
      <c r="R655" s="72">
        <v>0.54</v>
      </c>
      <c r="S655" s="77">
        <v>480</v>
      </c>
      <c r="T655" s="77">
        <v>110</v>
      </c>
      <c r="U655" s="73">
        <v>1.8</v>
      </c>
      <c r="V655" s="73">
        <v>0.1</v>
      </c>
      <c r="W655" s="72">
        <v>0.32</v>
      </c>
      <c r="X655" s="72">
        <v>0.43</v>
      </c>
      <c r="Y655" s="72">
        <v>0.12</v>
      </c>
      <c r="Z655" s="74">
        <v>0.06</v>
      </c>
      <c r="AA655" s="74">
        <v>0.02</v>
      </c>
      <c r="AB655" s="74">
        <v>0.01</v>
      </c>
      <c r="AC655" s="74">
        <v>0.06</v>
      </c>
    </row>
    <row r="656" spans="2:29" x14ac:dyDescent="0.2">
      <c r="B656" s="66" t="s">
        <v>869</v>
      </c>
      <c r="C656" s="67" t="s">
        <v>257</v>
      </c>
      <c r="D656" s="68">
        <v>75</v>
      </c>
      <c r="F656" s="66" t="s">
        <v>487</v>
      </c>
      <c r="G656" s="67" t="s">
        <v>247</v>
      </c>
      <c r="H656" s="68">
        <v>129</v>
      </c>
      <c r="I656" s="76">
        <v>896</v>
      </c>
      <c r="J656" s="70">
        <v>-34</v>
      </c>
      <c r="K656" s="70">
        <v>-38</v>
      </c>
      <c r="L656" s="70">
        <v>28</v>
      </c>
      <c r="M656" s="70">
        <v>19</v>
      </c>
      <c r="N656" s="76">
        <v>5450</v>
      </c>
      <c r="O656" s="76">
        <v>19</v>
      </c>
      <c r="P656" s="77">
        <v>80</v>
      </c>
      <c r="Q656" s="77">
        <v>315</v>
      </c>
      <c r="R656" s="72">
        <v>0.44</v>
      </c>
      <c r="S656" s="77">
        <v>400</v>
      </c>
      <c r="T656" s="77">
        <v>220</v>
      </c>
      <c r="U656" s="73">
        <v>1.8</v>
      </c>
      <c r="V656" s="73">
        <v>0.1</v>
      </c>
      <c r="W656" s="72">
        <v>0.31</v>
      </c>
      <c r="X656" s="72">
        <v>0.42</v>
      </c>
      <c r="Y656" s="72">
        <v>0.12</v>
      </c>
      <c r="Z656" s="74">
        <v>0.06</v>
      </c>
      <c r="AA656" s="74">
        <v>0.02</v>
      </c>
      <c r="AB656" s="74">
        <v>0.01</v>
      </c>
      <c r="AC656" s="74">
        <v>0.06</v>
      </c>
    </row>
    <row r="657" spans="2:29" x14ac:dyDescent="0.2">
      <c r="B657" s="66" t="s">
        <v>612</v>
      </c>
      <c r="C657" s="67" t="s">
        <v>257</v>
      </c>
      <c r="D657" s="68">
        <v>76</v>
      </c>
      <c r="F657" s="66" t="s">
        <v>910</v>
      </c>
      <c r="G657" s="67" t="s">
        <v>264</v>
      </c>
      <c r="H657" s="68">
        <v>197</v>
      </c>
      <c r="I657" s="70">
        <v>210</v>
      </c>
      <c r="J657" s="70">
        <v>-31</v>
      </c>
      <c r="K657" s="70">
        <v>-33</v>
      </c>
      <c r="L657" s="70">
        <v>28</v>
      </c>
      <c r="M657" s="70">
        <v>21</v>
      </c>
      <c r="N657" s="70">
        <v>5650</v>
      </c>
      <c r="O657" s="70">
        <v>20</v>
      </c>
      <c r="P657" s="71">
        <v>108</v>
      </c>
      <c r="Q657" s="71">
        <v>560</v>
      </c>
      <c r="R657" s="72">
        <v>0.76</v>
      </c>
      <c r="S657" s="71">
        <v>710</v>
      </c>
      <c r="T657" s="71">
        <v>160</v>
      </c>
      <c r="U657" s="73">
        <v>2.9</v>
      </c>
      <c r="V657" s="73">
        <v>0.4</v>
      </c>
      <c r="W657" s="72">
        <v>0.3</v>
      </c>
      <c r="X657" s="72">
        <v>0.39</v>
      </c>
      <c r="Y657" s="72">
        <v>0.12</v>
      </c>
      <c r="Z657" s="74">
        <v>5.6000000000000001E-2</v>
      </c>
      <c r="AA657" s="74">
        <v>2.3E-2</v>
      </c>
      <c r="AB657" s="74">
        <v>6.0000000000000001E-3</v>
      </c>
      <c r="AC657" s="74">
        <v>5.8999999999999997E-2</v>
      </c>
    </row>
    <row r="658" spans="2:29" x14ac:dyDescent="0.2">
      <c r="B658" s="66" t="s">
        <v>887</v>
      </c>
      <c r="C658" s="67" t="s">
        <v>257</v>
      </c>
      <c r="D658" s="68">
        <v>77</v>
      </c>
      <c r="F658" s="66" t="s">
        <v>969</v>
      </c>
      <c r="G658" s="67" t="s">
        <v>257</v>
      </c>
      <c r="H658" s="68">
        <v>110</v>
      </c>
      <c r="I658" s="70">
        <v>50</v>
      </c>
      <c r="J658" s="70">
        <v>-26</v>
      </c>
      <c r="K658" s="70">
        <v>-28</v>
      </c>
      <c r="L658" s="70">
        <v>30</v>
      </c>
      <c r="M658" s="70">
        <v>23</v>
      </c>
      <c r="N658" s="70">
        <v>4850</v>
      </c>
      <c r="O658" s="70">
        <v>23</v>
      </c>
      <c r="P658" s="71">
        <v>91</v>
      </c>
      <c r="Q658" s="71">
        <v>800</v>
      </c>
      <c r="R658" s="72">
        <v>0.93</v>
      </c>
      <c r="S658" s="71">
        <v>950</v>
      </c>
      <c r="T658" s="71">
        <v>160</v>
      </c>
      <c r="U658" s="73">
        <v>2.4</v>
      </c>
      <c r="V658" s="73">
        <v>0.4</v>
      </c>
      <c r="W658" s="72">
        <v>0.3</v>
      </c>
      <c r="X658" s="72">
        <v>0.4</v>
      </c>
      <c r="Y658" s="72">
        <v>0.63</v>
      </c>
      <c r="Z658" s="74">
        <v>0.3</v>
      </c>
      <c r="AA658" s="74">
        <v>0.14000000000000001</v>
      </c>
      <c r="AB658" s="74">
        <v>4.2999999999999997E-2</v>
      </c>
      <c r="AC658" s="74">
        <v>0.41</v>
      </c>
    </row>
    <row r="659" spans="2:29" x14ac:dyDescent="0.2">
      <c r="B659" s="66" t="s">
        <v>890</v>
      </c>
      <c r="C659" s="67" t="s">
        <v>257</v>
      </c>
      <c r="D659" s="68">
        <v>78</v>
      </c>
      <c r="F659" s="66" t="s">
        <v>945</v>
      </c>
      <c r="G659" s="67" t="s">
        <v>273</v>
      </c>
      <c r="H659" s="68">
        <v>4</v>
      </c>
      <c r="I659" s="70">
        <v>10</v>
      </c>
      <c r="J659" s="70">
        <v>-20</v>
      </c>
      <c r="K659" s="70">
        <v>-22</v>
      </c>
      <c r="L659" s="70">
        <v>27</v>
      </c>
      <c r="M659" s="70">
        <v>20</v>
      </c>
      <c r="N659" s="70">
        <v>4800</v>
      </c>
      <c r="O659" s="70">
        <v>13</v>
      </c>
      <c r="P659" s="71">
        <v>96</v>
      </c>
      <c r="Q659" s="71">
        <v>800</v>
      </c>
      <c r="R659" s="72">
        <v>1.01</v>
      </c>
      <c r="S659" s="71">
        <v>1100</v>
      </c>
      <c r="T659" s="71">
        <v>350</v>
      </c>
      <c r="U659" s="73">
        <v>3.2</v>
      </c>
      <c r="V659" s="73">
        <v>0.6</v>
      </c>
      <c r="W659" s="72">
        <v>0.61</v>
      </c>
      <c r="X659" s="72">
        <v>0.77</v>
      </c>
      <c r="Y659" s="72">
        <v>0.22</v>
      </c>
      <c r="Z659" s="74">
        <v>0.13</v>
      </c>
      <c r="AA659" s="74">
        <v>5.8000000000000003E-2</v>
      </c>
      <c r="AB659" s="74">
        <v>1.7999999999999999E-2</v>
      </c>
      <c r="AC659" s="74">
        <v>0.12</v>
      </c>
    </row>
    <row r="660" spans="2:29" x14ac:dyDescent="0.2">
      <c r="B660" s="66" t="s">
        <v>892</v>
      </c>
      <c r="C660" s="67" t="s">
        <v>257</v>
      </c>
      <c r="D660" s="68">
        <v>79</v>
      </c>
      <c r="F660" s="66" t="s">
        <v>911</v>
      </c>
      <c r="G660" s="67" t="s">
        <v>264</v>
      </c>
      <c r="H660" s="68">
        <v>198</v>
      </c>
      <c r="I660" s="70">
        <v>215</v>
      </c>
      <c r="J660" s="70">
        <v>-17</v>
      </c>
      <c r="K660" s="70">
        <v>-19</v>
      </c>
      <c r="L660" s="70">
        <v>30</v>
      </c>
      <c r="M660" s="70">
        <v>23</v>
      </c>
      <c r="N660" s="70">
        <v>4000</v>
      </c>
      <c r="O660" s="70">
        <v>25</v>
      </c>
      <c r="P660" s="71">
        <v>103</v>
      </c>
      <c r="Q660" s="71">
        <v>880</v>
      </c>
      <c r="R660" s="72">
        <v>0.98</v>
      </c>
      <c r="S660" s="71">
        <v>980</v>
      </c>
      <c r="T660" s="71">
        <v>160</v>
      </c>
      <c r="U660" s="73">
        <v>1.3</v>
      </c>
      <c r="V660" s="73">
        <v>0.4</v>
      </c>
      <c r="W660" s="72">
        <v>0.31</v>
      </c>
      <c r="X660" s="72">
        <v>0.44</v>
      </c>
      <c r="Y660" s="72">
        <v>0.2</v>
      </c>
      <c r="Z660" s="74">
        <v>0.1</v>
      </c>
      <c r="AA660" s="74">
        <v>0.05</v>
      </c>
      <c r="AB660" s="74">
        <v>1.2999999999999999E-2</v>
      </c>
      <c r="AC660" s="74">
        <v>0.14000000000000001</v>
      </c>
    </row>
    <row r="661" spans="2:29" x14ac:dyDescent="0.2">
      <c r="B661" s="66" t="s">
        <v>894</v>
      </c>
      <c r="C661" s="67" t="s">
        <v>257</v>
      </c>
      <c r="D661" s="68">
        <v>80</v>
      </c>
      <c r="F661" s="66" t="s">
        <v>912</v>
      </c>
      <c r="G661" s="67" t="s">
        <v>264</v>
      </c>
      <c r="H661" s="68">
        <v>199</v>
      </c>
      <c r="I661" s="70">
        <v>300</v>
      </c>
      <c r="J661" s="70">
        <v>-34</v>
      </c>
      <c r="K661" s="70">
        <v>-36</v>
      </c>
      <c r="L661" s="70">
        <v>30</v>
      </c>
      <c r="M661" s="70">
        <v>21</v>
      </c>
      <c r="N661" s="70">
        <v>6200</v>
      </c>
      <c r="O661" s="70">
        <v>18</v>
      </c>
      <c r="P661" s="71">
        <v>103</v>
      </c>
      <c r="Q661" s="71">
        <v>560</v>
      </c>
      <c r="R661" s="72">
        <v>0.75</v>
      </c>
      <c r="S661" s="71">
        <v>875</v>
      </c>
      <c r="T661" s="71">
        <v>100</v>
      </c>
      <c r="U661" s="73">
        <v>3.1</v>
      </c>
      <c r="V661" s="73">
        <v>0.3</v>
      </c>
      <c r="W661" s="72">
        <v>0.25</v>
      </c>
      <c r="X661" s="72">
        <v>0.35</v>
      </c>
      <c r="Y661" s="72">
        <v>0.17</v>
      </c>
      <c r="Z661" s="74">
        <v>8.8999999999999996E-2</v>
      </c>
      <c r="AA661" s="74">
        <v>4.4999999999999998E-2</v>
      </c>
      <c r="AB661" s="74">
        <v>1.2999999999999999E-2</v>
      </c>
      <c r="AC661" s="74">
        <v>0.11</v>
      </c>
    </row>
    <row r="662" spans="2:29" x14ac:dyDescent="0.2">
      <c r="B662" s="66" t="s">
        <v>898</v>
      </c>
      <c r="C662" s="67" t="s">
        <v>257</v>
      </c>
      <c r="D662" s="68">
        <v>81</v>
      </c>
      <c r="F662" s="66" t="s">
        <v>913</v>
      </c>
      <c r="G662" s="67" t="s">
        <v>264</v>
      </c>
      <c r="H662" s="68">
        <v>200</v>
      </c>
      <c r="I662" s="70">
        <v>295</v>
      </c>
      <c r="J662" s="70">
        <v>-34</v>
      </c>
      <c r="K662" s="70">
        <v>-36</v>
      </c>
      <c r="L662" s="70">
        <v>30</v>
      </c>
      <c r="M662" s="70">
        <v>21</v>
      </c>
      <c r="N662" s="70">
        <v>6200</v>
      </c>
      <c r="O662" s="70">
        <v>18</v>
      </c>
      <c r="P662" s="71">
        <v>97</v>
      </c>
      <c r="Q662" s="71">
        <v>560</v>
      </c>
      <c r="R662" s="72">
        <v>0.75</v>
      </c>
      <c r="S662" s="71">
        <v>875</v>
      </c>
      <c r="T662" s="71">
        <v>100</v>
      </c>
      <c r="U662" s="73">
        <v>2.9</v>
      </c>
      <c r="V662" s="73">
        <v>0.3</v>
      </c>
      <c r="W662" s="72">
        <v>0.27</v>
      </c>
      <c r="X662" s="72">
        <v>0.37</v>
      </c>
      <c r="Y662" s="72">
        <v>0.19</v>
      </c>
      <c r="Z662" s="74">
        <v>9.2999999999999999E-2</v>
      </c>
      <c r="AA662" s="74">
        <v>4.7E-2</v>
      </c>
      <c r="AB662" s="74">
        <v>1.2999999999999999E-2</v>
      </c>
      <c r="AC662" s="74">
        <v>0.12</v>
      </c>
    </row>
    <row r="663" spans="2:29" x14ac:dyDescent="0.2">
      <c r="B663" s="66" t="s">
        <v>902</v>
      </c>
      <c r="C663" s="67" t="s">
        <v>257</v>
      </c>
      <c r="D663" s="68">
        <v>82</v>
      </c>
      <c r="F663" s="66" t="s">
        <v>489</v>
      </c>
      <c r="G663" s="67" t="s">
        <v>247</v>
      </c>
      <c r="H663" s="68">
        <v>130</v>
      </c>
      <c r="I663" s="76">
        <v>700</v>
      </c>
      <c r="J663" s="70">
        <v>-37</v>
      </c>
      <c r="K663" s="70">
        <v>-40</v>
      </c>
      <c r="L663" s="70">
        <v>27</v>
      </c>
      <c r="M663" s="70">
        <v>19</v>
      </c>
      <c r="N663" s="76">
        <v>5800</v>
      </c>
      <c r="O663" s="76">
        <v>21</v>
      </c>
      <c r="P663" s="77">
        <v>95</v>
      </c>
      <c r="Q663" s="77">
        <v>350</v>
      </c>
      <c r="R663" s="72">
        <v>0.52</v>
      </c>
      <c r="S663" s="77">
        <v>465</v>
      </c>
      <c r="T663" s="77">
        <v>150</v>
      </c>
      <c r="U663" s="73">
        <v>1.9</v>
      </c>
      <c r="V663" s="73">
        <v>0.1</v>
      </c>
      <c r="W663" s="72">
        <v>0.3</v>
      </c>
      <c r="X663" s="72">
        <v>0.4</v>
      </c>
      <c r="Y663" s="72">
        <v>0.12</v>
      </c>
      <c r="Z663" s="74">
        <v>0.06</v>
      </c>
      <c r="AA663" s="74">
        <v>0.02</v>
      </c>
      <c r="AB663" s="74">
        <v>0.01</v>
      </c>
      <c r="AC663" s="74">
        <v>0.06</v>
      </c>
    </row>
    <row r="664" spans="2:29" x14ac:dyDescent="0.2">
      <c r="B664" s="66" t="s">
        <v>907</v>
      </c>
      <c r="C664" s="67" t="s">
        <v>257</v>
      </c>
      <c r="D664" s="68">
        <v>83</v>
      </c>
      <c r="F664" s="66" t="s">
        <v>629</v>
      </c>
      <c r="G664" s="67" t="s">
        <v>224</v>
      </c>
      <c r="H664" s="68">
        <v>80</v>
      </c>
      <c r="I664" s="70">
        <v>10</v>
      </c>
      <c r="J664" s="70">
        <v>-2</v>
      </c>
      <c r="K664" s="70">
        <v>-4</v>
      </c>
      <c r="L664" s="70">
        <v>19</v>
      </c>
      <c r="M664" s="70">
        <v>16</v>
      </c>
      <c r="N664" s="70">
        <v>3300</v>
      </c>
      <c r="O664" s="70">
        <v>13</v>
      </c>
      <c r="P664" s="71">
        <v>193</v>
      </c>
      <c r="Q664" s="71">
        <v>3275</v>
      </c>
      <c r="R664" s="72">
        <v>3.36</v>
      </c>
      <c r="S664" s="71">
        <v>3300</v>
      </c>
      <c r="T664" s="71">
        <v>300</v>
      </c>
      <c r="U664" s="73">
        <v>1.1000000000000001</v>
      </c>
      <c r="V664" s="73">
        <v>0.4</v>
      </c>
      <c r="W664" s="72">
        <v>0.54</v>
      </c>
      <c r="X664" s="72">
        <v>0.68</v>
      </c>
      <c r="Y664" s="72">
        <v>1.2</v>
      </c>
      <c r="Z664" s="74">
        <v>0.94</v>
      </c>
      <c r="AA664" s="74">
        <v>0.47</v>
      </c>
      <c r="AB664" s="74">
        <v>0.21</v>
      </c>
      <c r="AC664" s="74">
        <v>0.52</v>
      </c>
    </row>
    <row r="665" spans="2:29" x14ac:dyDescent="0.2">
      <c r="B665" s="66" t="s">
        <v>918</v>
      </c>
      <c r="C665" s="67" t="s">
        <v>257</v>
      </c>
      <c r="D665" s="68">
        <v>84</v>
      </c>
      <c r="F665" s="66" t="s">
        <v>915</v>
      </c>
      <c r="G665" s="67" t="s">
        <v>264</v>
      </c>
      <c r="H665" s="68">
        <v>201</v>
      </c>
      <c r="I665" s="70">
        <v>105</v>
      </c>
      <c r="J665" s="70">
        <v>-18</v>
      </c>
      <c r="K665" s="70">
        <v>-20</v>
      </c>
      <c r="L665" s="70">
        <v>31</v>
      </c>
      <c r="M665" s="70">
        <v>23</v>
      </c>
      <c r="N665" s="70">
        <v>3650</v>
      </c>
      <c r="O665" s="70">
        <v>25</v>
      </c>
      <c r="P665" s="71">
        <v>97</v>
      </c>
      <c r="Q665" s="71">
        <v>720</v>
      </c>
      <c r="R665" s="72">
        <v>0.86</v>
      </c>
      <c r="S665" s="71">
        <v>820</v>
      </c>
      <c r="T665" s="71">
        <v>160</v>
      </c>
      <c r="U665" s="73">
        <v>0.9</v>
      </c>
      <c r="V665" s="73">
        <v>0.4</v>
      </c>
      <c r="W665" s="72">
        <v>0.39</v>
      </c>
      <c r="X665" s="72">
        <v>0.52</v>
      </c>
      <c r="Y665" s="72">
        <v>0.26</v>
      </c>
      <c r="Z665" s="74">
        <v>0.13</v>
      </c>
      <c r="AA665" s="74">
        <v>5.5E-2</v>
      </c>
      <c r="AB665" s="74">
        <v>1.4999999999999999E-2</v>
      </c>
      <c r="AC665" s="74">
        <v>0.17</v>
      </c>
    </row>
    <row r="666" spans="2:29" x14ac:dyDescent="0.2">
      <c r="B666" s="66" t="s">
        <v>926</v>
      </c>
      <c r="C666" s="67" t="s">
        <v>257</v>
      </c>
      <c r="D666" s="68">
        <v>85</v>
      </c>
      <c r="F666" s="66" t="s">
        <v>631</v>
      </c>
      <c r="G666" s="67" t="s">
        <v>224</v>
      </c>
      <c r="H666" s="68">
        <v>81</v>
      </c>
      <c r="I666" s="70">
        <v>440</v>
      </c>
      <c r="J666" s="70">
        <v>-17</v>
      </c>
      <c r="K666" s="70">
        <v>-20</v>
      </c>
      <c r="L666" s="70">
        <v>33</v>
      </c>
      <c r="M666" s="70">
        <v>20</v>
      </c>
      <c r="N666" s="70">
        <v>3700</v>
      </c>
      <c r="O666" s="70">
        <v>10</v>
      </c>
      <c r="P666" s="71">
        <v>54</v>
      </c>
      <c r="Q666" s="71">
        <v>580</v>
      </c>
      <c r="R666" s="72">
        <v>0.65</v>
      </c>
      <c r="S666" s="71">
        <v>700</v>
      </c>
      <c r="T666" s="71">
        <v>60</v>
      </c>
      <c r="U666" s="73">
        <v>4.0999999999999996</v>
      </c>
      <c r="V666" s="73">
        <v>0.1</v>
      </c>
      <c r="W666" s="72">
        <v>0.26</v>
      </c>
      <c r="X666" s="72">
        <v>0.35</v>
      </c>
      <c r="Y666" s="72">
        <v>0.27</v>
      </c>
      <c r="Z666" s="74">
        <v>0.16</v>
      </c>
      <c r="AA666" s="74">
        <v>8.1000000000000003E-2</v>
      </c>
      <c r="AB666" s="74">
        <v>4.4999999999999998E-2</v>
      </c>
      <c r="AC666" s="74">
        <v>0.14000000000000001</v>
      </c>
    </row>
    <row r="667" spans="2:29" x14ac:dyDescent="0.2">
      <c r="B667" s="66" t="s">
        <v>928</v>
      </c>
      <c r="C667" s="67" t="s">
        <v>257</v>
      </c>
      <c r="D667" s="68">
        <v>86</v>
      </c>
      <c r="F667" s="66" t="s">
        <v>916</v>
      </c>
      <c r="G667" s="67" t="s">
        <v>264</v>
      </c>
      <c r="H667" s="68">
        <v>202</v>
      </c>
      <c r="I667" s="70">
        <v>80</v>
      </c>
      <c r="J667" s="70">
        <v>-21</v>
      </c>
      <c r="K667" s="70">
        <v>-23</v>
      </c>
      <c r="L667" s="70">
        <v>29</v>
      </c>
      <c r="M667" s="70">
        <v>23</v>
      </c>
      <c r="N667" s="70">
        <v>4250</v>
      </c>
      <c r="O667" s="70">
        <v>23</v>
      </c>
      <c r="P667" s="71">
        <v>103</v>
      </c>
      <c r="Q667" s="71">
        <v>760</v>
      </c>
      <c r="R667" s="72">
        <v>0.89</v>
      </c>
      <c r="S667" s="71">
        <v>850</v>
      </c>
      <c r="T667" s="71">
        <v>160</v>
      </c>
      <c r="U667" s="73">
        <v>1.6</v>
      </c>
      <c r="V667" s="73">
        <v>0.4</v>
      </c>
      <c r="W667" s="72">
        <v>0.35</v>
      </c>
      <c r="X667" s="72">
        <v>0.47</v>
      </c>
      <c r="Y667" s="72">
        <v>0.25</v>
      </c>
      <c r="Z667" s="74">
        <v>0.13</v>
      </c>
      <c r="AA667" s="74">
        <v>7.0000000000000007E-2</v>
      </c>
      <c r="AB667" s="74">
        <v>1.9E-2</v>
      </c>
      <c r="AC667" s="74">
        <v>0.14000000000000001</v>
      </c>
    </row>
    <row r="668" spans="2:29" x14ac:dyDescent="0.2">
      <c r="B668" s="66" t="s">
        <v>931</v>
      </c>
      <c r="C668" s="67" t="s">
        <v>257</v>
      </c>
      <c r="D668" s="68">
        <v>87</v>
      </c>
      <c r="F668" s="66" t="s">
        <v>491</v>
      </c>
      <c r="G668" s="67" t="s">
        <v>247</v>
      </c>
      <c r="H668" s="68">
        <v>131</v>
      </c>
      <c r="I668" s="76">
        <v>872</v>
      </c>
      <c r="J668" s="70">
        <v>-34</v>
      </c>
      <c r="K668" s="70">
        <v>-38</v>
      </c>
      <c r="L668" s="70">
        <v>28</v>
      </c>
      <c r="M668" s="70">
        <v>19</v>
      </c>
      <c r="N668" s="76">
        <v>5450</v>
      </c>
      <c r="O668" s="76">
        <v>18</v>
      </c>
      <c r="P668" s="77">
        <v>75</v>
      </c>
      <c r="Q668" s="77">
        <v>325</v>
      </c>
      <c r="R668" s="72">
        <v>0.48</v>
      </c>
      <c r="S668" s="77">
        <v>405</v>
      </c>
      <c r="T668" s="77">
        <v>220</v>
      </c>
      <c r="U668" s="73">
        <v>1.8</v>
      </c>
      <c r="V668" s="73">
        <v>0.1</v>
      </c>
      <c r="W668" s="72">
        <v>0.31</v>
      </c>
      <c r="X668" s="72">
        <v>0.42</v>
      </c>
      <c r="Y668" s="72">
        <v>0.12</v>
      </c>
      <c r="Z668" s="74">
        <v>0.06</v>
      </c>
      <c r="AA668" s="74">
        <v>0.02</v>
      </c>
      <c r="AB668" s="74">
        <v>0.01</v>
      </c>
      <c r="AC668" s="74">
        <v>0.06</v>
      </c>
    </row>
    <row r="669" spans="2:29" x14ac:dyDescent="0.2">
      <c r="B669" s="66" t="s">
        <v>933</v>
      </c>
      <c r="C669" s="67" t="s">
        <v>257</v>
      </c>
      <c r="D669" s="68">
        <v>88</v>
      </c>
      <c r="F669" s="66" t="s">
        <v>970</v>
      </c>
      <c r="G669" s="67" t="s">
        <v>257</v>
      </c>
      <c r="H669" s="68">
        <v>111</v>
      </c>
      <c r="I669" s="70">
        <v>25</v>
      </c>
      <c r="J669" s="70">
        <v>-25</v>
      </c>
      <c r="K669" s="70">
        <v>-28</v>
      </c>
      <c r="L669" s="70">
        <v>29</v>
      </c>
      <c r="M669" s="70">
        <v>23</v>
      </c>
      <c r="N669" s="70">
        <v>4950</v>
      </c>
      <c r="O669" s="70">
        <v>20</v>
      </c>
      <c r="P669" s="71">
        <v>107</v>
      </c>
      <c r="Q669" s="71">
        <v>860</v>
      </c>
      <c r="R669" s="72">
        <v>0.98</v>
      </c>
      <c r="S669" s="71">
        <v>1050</v>
      </c>
      <c r="T669" s="71">
        <v>180</v>
      </c>
      <c r="U669" s="73">
        <v>2.8</v>
      </c>
      <c r="V669" s="73">
        <v>0.4</v>
      </c>
      <c r="W669" s="72">
        <v>0.33</v>
      </c>
      <c r="X669" s="72">
        <v>0.43</v>
      </c>
      <c r="Y669" s="72">
        <v>0.64</v>
      </c>
      <c r="Z669" s="74">
        <v>0.31</v>
      </c>
      <c r="AA669" s="74">
        <v>0.12</v>
      </c>
      <c r="AB669" s="74">
        <v>4.2999999999999997E-2</v>
      </c>
      <c r="AC669" s="74">
        <v>0.4</v>
      </c>
    </row>
    <row r="670" spans="2:29" x14ac:dyDescent="0.2">
      <c r="B670" s="66" t="s">
        <v>935</v>
      </c>
      <c r="C670" s="67" t="s">
        <v>257</v>
      </c>
      <c r="D670" s="68">
        <v>89</v>
      </c>
      <c r="F670" s="66" t="s">
        <v>917</v>
      </c>
      <c r="G670" s="67" t="s">
        <v>264</v>
      </c>
      <c r="H670" s="68">
        <v>203</v>
      </c>
      <c r="I670" s="70">
        <v>330</v>
      </c>
      <c r="J670" s="70">
        <v>-27</v>
      </c>
      <c r="K670" s="70">
        <v>-29</v>
      </c>
      <c r="L670" s="70">
        <v>28</v>
      </c>
      <c r="M670" s="70">
        <v>21</v>
      </c>
      <c r="N670" s="70">
        <v>5300</v>
      </c>
      <c r="O670" s="70">
        <v>28</v>
      </c>
      <c r="P670" s="71">
        <v>103</v>
      </c>
      <c r="Q670" s="71">
        <v>780</v>
      </c>
      <c r="R670" s="72">
        <v>0.92</v>
      </c>
      <c r="S670" s="71">
        <v>975</v>
      </c>
      <c r="T670" s="71">
        <v>120</v>
      </c>
      <c r="U670" s="73">
        <v>2.7</v>
      </c>
      <c r="V670" s="73">
        <v>0.4</v>
      </c>
      <c r="W670" s="72">
        <v>0.24</v>
      </c>
      <c r="X670" s="72">
        <v>0.32</v>
      </c>
      <c r="Y670" s="72">
        <v>0.25</v>
      </c>
      <c r="Z670" s="74">
        <v>0.14000000000000001</v>
      </c>
      <c r="AA670" s="74">
        <v>6.4000000000000001E-2</v>
      </c>
      <c r="AB670" s="74">
        <v>0.02</v>
      </c>
      <c r="AC670" s="74">
        <v>0.15</v>
      </c>
    </row>
    <row r="671" spans="2:29" x14ac:dyDescent="0.2">
      <c r="B671" s="66" t="s">
        <v>940</v>
      </c>
      <c r="C671" s="67" t="s">
        <v>257</v>
      </c>
      <c r="D671" s="68">
        <v>90</v>
      </c>
      <c r="F671" s="66" t="s">
        <v>745</v>
      </c>
      <c r="G671" s="67" t="s">
        <v>261</v>
      </c>
      <c r="H671" s="68">
        <v>23</v>
      </c>
      <c r="I671" s="70">
        <v>25</v>
      </c>
      <c r="J671" s="70">
        <v>-21</v>
      </c>
      <c r="K671" s="70">
        <v>-23</v>
      </c>
      <c r="L671" s="70">
        <v>27</v>
      </c>
      <c r="M671" s="70">
        <v>21</v>
      </c>
      <c r="N671" s="70">
        <v>4650</v>
      </c>
      <c r="O671" s="70">
        <v>18</v>
      </c>
      <c r="P671" s="71">
        <v>123</v>
      </c>
      <c r="Q671" s="71">
        <v>1000</v>
      </c>
      <c r="R671" s="72">
        <v>1.1599999999999999</v>
      </c>
      <c r="S671" s="71">
        <v>1175</v>
      </c>
      <c r="T671" s="71">
        <v>240</v>
      </c>
      <c r="U671" s="73">
        <v>2</v>
      </c>
      <c r="V671" s="73">
        <v>0.6</v>
      </c>
      <c r="W671" s="72">
        <v>0.37</v>
      </c>
      <c r="X671" s="72">
        <v>0.53</v>
      </c>
      <c r="Y671" s="72">
        <v>0.21</v>
      </c>
      <c r="Z671" s="74">
        <v>0.12</v>
      </c>
      <c r="AA671" s="74">
        <v>6.2E-2</v>
      </c>
      <c r="AB671" s="74">
        <v>1.7000000000000001E-2</v>
      </c>
      <c r="AC671" s="74">
        <v>0.12</v>
      </c>
    </row>
    <row r="672" spans="2:29" x14ac:dyDescent="0.2">
      <c r="B672" s="66" t="s">
        <v>947</v>
      </c>
      <c r="C672" s="67" t="s">
        <v>257</v>
      </c>
      <c r="D672" s="68">
        <v>91</v>
      </c>
      <c r="F672" s="66" t="s">
        <v>760</v>
      </c>
      <c r="G672" s="67" t="s">
        <v>265</v>
      </c>
      <c r="H672" s="68">
        <v>14</v>
      </c>
      <c r="I672" s="70">
        <v>1340</v>
      </c>
      <c r="J672" s="70">
        <v>-49</v>
      </c>
      <c r="K672" s="70">
        <v>-51</v>
      </c>
      <c r="L672" s="70">
        <v>26</v>
      </c>
      <c r="M672" s="70">
        <v>16</v>
      </c>
      <c r="N672" s="70">
        <v>7900</v>
      </c>
      <c r="O672" s="70">
        <v>5</v>
      </c>
      <c r="P672" s="71">
        <v>44</v>
      </c>
      <c r="Q672" s="71">
        <v>315</v>
      </c>
      <c r="R672" s="72">
        <v>0.75</v>
      </c>
      <c r="S672" s="71">
        <v>640</v>
      </c>
      <c r="T672" s="71">
        <v>40</v>
      </c>
      <c r="U672" s="73">
        <v>4.3</v>
      </c>
      <c r="V672" s="73">
        <v>0.1</v>
      </c>
      <c r="W672" s="72">
        <v>0.28999999999999998</v>
      </c>
      <c r="X672" s="72">
        <v>0.44</v>
      </c>
      <c r="Y672" s="72">
        <v>0.51</v>
      </c>
      <c r="Z672" s="74">
        <v>0.31</v>
      </c>
      <c r="AA672" s="74">
        <v>0.16</v>
      </c>
      <c r="AB672" s="74">
        <v>8.6999999999999994E-2</v>
      </c>
      <c r="AC672" s="74">
        <v>0.24</v>
      </c>
    </row>
    <row r="673" spans="2:29" x14ac:dyDescent="0.2">
      <c r="B673" s="66" t="s">
        <v>948</v>
      </c>
      <c r="C673" s="67" t="s">
        <v>257</v>
      </c>
      <c r="D673" s="68">
        <v>92</v>
      </c>
      <c r="F673" s="66" t="s">
        <v>493</v>
      </c>
      <c r="G673" s="67" t="s">
        <v>247</v>
      </c>
      <c r="H673" s="68">
        <v>132</v>
      </c>
      <c r="I673" s="76">
        <v>1215</v>
      </c>
      <c r="J673" s="70">
        <v>-31</v>
      </c>
      <c r="K673" s="70">
        <v>-33</v>
      </c>
      <c r="L673" s="70">
        <v>28</v>
      </c>
      <c r="M673" s="70">
        <v>17</v>
      </c>
      <c r="N673" s="76">
        <v>5600</v>
      </c>
      <c r="O673" s="76">
        <v>20</v>
      </c>
      <c r="P673" s="77">
        <v>97</v>
      </c>
      <c r="Q673" s="77">
        <v>350</v>
      </c>
      <c r="R673" s="72">
        <v>0.48</v>
      </c>
      <c r="S673" s="77">
        <v>600</v>
      </c>
      <c r="T673" s="77">
        <v>180</v>
      </c>
      <c r="U673" s="73">
        <v>1.4</v>
      </c>
      <c r="V673" s="73">
        <v>0.1</v>
      </c>
      <c r="W673" s="72">
        <v>0.51</v>
      </c>
      <c r="X673" s="72">
        <v>0.65</v>
      </c>
      <c r="Y673" s="72">
        <v>0.15</v>
      </c>
      <c r="Z673" s="74">
        <v>9.0999999999999998E-2</v>
      </c>
      <c r="AA673" s="74">
        <v>4.4999999999999998E-2</v>
      </c>
      <c r="AB673" s="74">
        <v>2.5000000000000001E-2</v>
      </c>
      <c r="AC673" s="74">
        <v>9.1999999999999998E-2</v>
      </c>
    </row>
    <row r="674" spans="2:29" x14ac:dyDescent="0.2">
      <c r="B674" s="66" t="s">
        <v>949</v>
      </c>
      <c r="C674" s="67" t="s">
        <v>257</v>
      </c>
      <c r="D674" s="68">
        <v>93</v>
      </c>
      <c r="F674" s="66" t="s">
        <v>714</v>
      </c>
      <c r="G674" s="67" t="s">
        <v>258</v>
      </c>
      <c r="H674" s="68">
        <v>16</v>
      </c>
      <c r="I674" s="70">
        <v>425</v>
      </c>
      <c r="J674" s="70">
        <v>-35</v>
      </c>
      <c r="K674" s="70">
        <v>-37</v>
      </c>
      <c r="L674" s="70">
        <v>23</v>
      </c>
      <c r="M674" s="70">
        <v>18</v>
      </c>
      <c r="N674" s="70">
        <v>7850</v>
      </c>
      <c r="O674" s="70">
        <v>15</v>
      </c>
      <c r="P674" s="71">
        <v>70</v>
      </c>
      <c r="Q674" s="71">
        <v>500</v>
      </c>
      <c r="R674" s="72">
        <v>0.85</v>
      </c>
      <c r="S674" s="71">
        <v>950</v>
      </c>
      <c r="T674" s="71">
        <v>120</v>
      </c>
      <c r="U674" s="73">
        <v>4.5999999999999996</v>
      </c>
      <c r="V674" s="73">
        <v>0.4</v>
      </c>
      <c r="W674" s="72">
        <v>0.31</v>
      </c>
      <c r="X674" s="72">
        <v>0.4</v>
      </c>
      <c r="Y674" s="72">
        <v>0.12</v>
      </c>
      <c r="Z674" s="74">
        <v>6.8000000000000005E-2</v>
      </c>
      <c r="AA674" s="74">
        <v>3.4000000000000002E-2</v>
      </c>
      <c r="AB674" s="74">
        <v>1.0999999999999999E-2</v>
      </c>
      <c r="AC674" s="74">
        <v>5.8999999999999997E-2</v>
      </c>
    </row>
    <row r="675" spans="2:29" x14ac:dyDescent="0.2">
      <c r="B675" s="66" t="s">
        <v>950</v>
      </c>
      <c r="C675" s="67" t="s">
        <v>257</v>
      </c>
      <c r="D675" s="68">
        <v>94</v>
      </c>
      <c r="F675" s="66" t="s">
        <v>494</v>
      </c>
      <c r="G675" s="67" t="s">
        <v>247</v>
      </c>
      <c r="H675" s="68">
        <v>133</v>
      </c>
      <c r="I675" s="76">
        <v>603</v>
      </c>
      <c r="J675" s="70">
        <v>-38</v>
      </c>
      <c r="K675" s="70">
        <v>-40</v>
      </c>
      <c r="L675" s="70">
        <v>28</v>
      </c>
      <c r="M675" s="70">
        <v>20</v>
      </c>
      <c r="N675" s="76">
        <v>6000</v>
      </c>
      <c r="O675" s="76">
        <v>21</v>
      </c>
      <c r="P675" s="77">
        <v>80</v>
      </c>
      <c r="Q675" s="77">
        <v>320</v>
      </c>
      <c r="R675" s="72">
        <v>0.51</v>
      </c>
      <c r="S675" s="77">
        <v>450</v>
      </c>
      <c r="T675" s="77">
        <v>90</v>
      </c>
      <c r="U675" s="73">
        <v>1.9</v>
      </c>
      <c r="V675" s="73">
        <v>0.1</v>
      </c>
      <c r="W675" s="72">
        <v>0.24</v>
      </c>
      <c r="X675" s="72">
        <v>0.32</v>
      </c>
      <c r="Y675" s="72">
        <v>0.12</v>
      </c>
      <c r="Z675" s="74">
        <v>0.06</v>
      </c>
      <c r="AA675" s="74">
        <v>0.02</v>
      </c>
      <c r="AB675" s="74">
        <v>0.01</v>
      </c>
      <c r="AC675" s="74">
        <v>0.06</v>
      </c>
    </row>
    <row r="676" spans="2:29" x14ac:dyDescent="0.2">
      <c r="B676" s="66" t="s">
        <v>951</v>
      </c>
      <c r="C676" s="67" t="s">
        <v>257</v>
      </c>
      <c r="D676" s="68">
        <v>95</v>
      </c>
      <c r="F676" s="66" t="s">
        <v>633</v>
      </c>
      <c r="G676" s="67" t="s">
        <v>224</v>
      </c>
      <c r="H676" s="68">
        <v>82</v>
      </c>
      <c r="I676" s="70">
        <v>5</v>
      </c>
      <c r="J676" s="70">
        <v>-2</v>
      </c>
      <c r="K676" s="70">
        <v>-4</v>
      </c>
      <c r="L676" s="70">
        <v>19</v>
      </c>
      <c r="M676" s="70">
        <v>16</v>
      </c>
      <c r="N676" s="70">
        <v>3150</v>
      </c>
      <c r="O676" s="70">
        <v>13</v>
      </c>
      <c r="P676" s="71">
        <v>161</v>
      </c>
      <c r="Q676" s="71">
        <v>3175</v>
      </c>
      <c r="R676" s="72">
        <v>3.26</v>
      </c>
      <c r="S676" s="71">
        <v>3200</v>
      </c>
      <c r="T676" s="71">
        <v>280</v>
      </c>
      <c r="U676" s="73">
        <v>1</v>
      </c>
      <c r="V676" s="73">
        <v>0.4</v>
      </c>
      <c r="W676" s="72">
        <v>0.54</v>
      </c>
      <c r="X676" s="72">
        <v>0.68</v>
      </c>
      <c r="Y676" s="72">
        <v>1.2</v>
      </c>
      <c r="Z676" s="74">
        <v>0.94</v>
      </c>
      <c r="AA676" s="74">
        <v>0.48</v>
      </c>
      <c r="AB676" s="74">
        <v>0.21</v>
      </c>
      <c r="AC676" s="74">
        <v>0.52</v>
      </c>
    </row>
    <row r="677" spans="2:29" x14ac:dyDescent="0.2">
      <c r="B677" s="66" t="s">
        <v>952</v>
      </c>
      <c r="C677" s="67" t="s">
        <v>257</v>
      </c>
      <c r="D677" s="68">
        <v>96</v>
      </c>
      <c r="F677" s="66" t="s">
        <v>971</v>
      </c>
      <c r="G677" s="67" t="s">
        <v>278</v>
      </c>
      <c r="H677" s="68">
        <v>29</v>
      </c>
      <c r="I677" s="70">
        <v>265</v>
      </c>
      <c r="J677" s="70">
        <v>-44</v>
      </c>
      <c r="K677" s="70">
        <v>-46</v>
      </c>
      <c r="L677" s="70">
        <v>26</v>
      </c>
      <c r="M677" s="70">
        <v>19</v>
      </c>
      <c r="N677" s="70">
        <v>7850</v>
      </c>
      <c r="O677" s="70">
        <v>8</v>
      </c>
      <c r="P677" s="71">
        <v>54</v>
      </c>
      <c r="Q677" s="71">
        <v>300</v>
      </c>
      <c r="R677" s="72">
        <v>0.59</v>
      </c>
      <c r="S677" s="71">
        <v>360</v>
      </c>
      <c r="T677" s="71">
        <v>100</v>
      </c>
      <c r="U677" s="73">
        <v>2</v>
      </c>
      <c r="V677" s="73">
        <v>0.1</v>
      </c>
      <c r="W677" s="72">
        <v>0.33</v>
      </c>
      <c r="X677" s="72">
        <v>0.44</v>
      </c>
      <c r="Y677" s="72">
        <v>0.12</v>
      </c>
      <c r="Z677" s="74">
        <v>5.6000000000000001E-2</v>
      </c>
      <c r="AA677" s="74">
        <v>2.3E-2</v>
      </c>
      <c r="AB677" s="74">
        <v>6.0000000000000001E-3</v>
      </c>
      <c r="AC677" s="74">
        <v>5.8999999999999997E-2</v>
      </c>
    </row>
    <row r="678" spans="2:29" x14ac:dyDescent="0.2">
      <c r="B678" s="66" t="s">
        <v>953</v>
      </c>
      <c r="C678" s="67" t="s">
        <v>257</v>
      </c>
      <c r="D678" s="68">
        <v>97</v>
      </c>
      <c r="F678" s="66" t="s">
        <v>919</v>
      </c>
      <c r="G678" s="67" t="s">
        <v>264</v>
      </c>
      <c r="H678" s="68">
        <v>204</v>
      </c>
      <c r="I678" s="70">
        <v>275</v>
      </c>
      <c r="J678" s="70">
        <v>-22</v>
      </c>
      <c r="K678" s="70">
        <v>-24</v>
      </c>
      <c r="L678" s="70">
        <v>30</v>
      </c>
      <c r="M678" s="70">
        <v>23</v>
      </c>
      <c r="N678" s="70">
        <v>4400</v>
      </c>
      <c r="O678" s="70">
        <v>25</v>
      </c>
      <c r="P678" s="71">
        <v>103</v>
      </c>
      <c r="Q678" s="71">
        <v>700</v>
      </c>
      <c r="R678" s="72">
        <v>0.82</v>
      </c>
      <c r="S678" s="71">
        <v>850</v>
      </c>
      <c r="T678" s="71">
        <v>140</v>
      </c>
      <c r="U678" s="73">
        <v>2.4</v>
      </c>
      <c r="V678" s="73">
        <v>0.4</v>
      </c>
      <c r="W678" s="72">
        <v>0.28999999999999998</v>
      </c>
      <c r="X678" s="72">
        <v>0.42</v>
      </c>
      <c r="Y678" s="72">
        <v>0.19</v>
      </c>
      <c r="Z678" s="74">
        <v>0.1</v>
      </c>
      <c r="AA678" s="74">
        <v>5.3999999999999999E-2</v>
      </c>
      <c r="AB678" s="74">
        <v>1.4999999999999999E-2</v>
      </c>
      <c r="AC678" s="74">
        <v>9.4E-2</v>
      </c>
    </row>
    <row r="679" spans="2:29" x14ac:dyDescent="0.2">
      <c r="B679" s="66" t="s">
        <v>954</v>
      </c>
      <c r="C679" s="67" t="s">
        <v>257</v>
      </c>
      <c r="D679" s="68">
        <v>98</v>
      </c>
      <c r="F679" s="66" t="s">
        <v>972</v>
      </c>
      <c r="G679" s="67" t="s">
        <v>257</v>
      </c>
      <c r="H679" s="68">
        <v>112</v>
      </c>
      <c r="I679" s="70">
        <v>310</v>
      </c>
      <c r="J679" s="70">
        <v>-33</v>
      </c>
      <c r="K679" s="70">
        <v>-36</v>
      </c>
      <c r="L679" s="70">
        <v>29</v>
      </c>
      <c r="M679" s="70">
        <v>21</v>
      </c>
      <c r="N679" s="70">
        <v>6200</v>
      </c>
      <c r="O679" s="70">
        <v>20</v>
      </c>
      <c r="P679" s="71">
        <v>86</v>
      </c>
      <c r="Q679" s="71">
        <v>640</v>
      </c>
      <c r="R679" s="72">
        <v>0.83</v>
      </c>
      <c r="S679" s="71">
        <v>925</v>
      </c>
      <c r="T679" s="71">
        <v>100</v>
      </c>
      <c r="U679" s="73">
        <v>3.4</v>
      </c>
      <c r="V679" s="73">
        <v>0.3</v>
      </c>
      <c r="W679" s="72">
        <v>0.24</v>
      </c>
      <c r="X679" s="72">
        <v>0.32</v>
      </c>
      <c r="Y679" s="72">
        <v>0.22</v>
      </c>
      <c r="Z679" s="74">
        <v>0.12</v>
      </c>
      <c r="AA679" s="74">
        <v>6.3E-2</v>
      </c>
      <c r="AB679" s="74">
        <v>1.7999999999999999E-2</v>
      </c>
      <c r="AC679" s="74">
        <v>0.12</v>
      </c>
    </row>
    <row r="680" spans="2:29" x14ac:dyDescent="0.2">
      <c r="B680" s="66" t="s">
        <v>955</v>
      </c>
      <c r="C680" s="67" t="s">
        <v>257</v>
      </c>
      <c r="D680" s="68">
        <v>99</v>
      </c>
      <c r="F680" s="66" t="s">
        <v>495</v>
      </c>
      <c r="G680" s="67" t="s">
        <v>247</v>
      </c>
      <c r="H680" s="68">
        <v>134</v>
      </c>
      <c r="I680" s="76">
        <v>700</v>
      </c>
      <c r="J680" s="70">
        <v>-37</v>
      </c>
      <c r="K680" s="70">
        <v>-40</v>
      </c>
      <c r="L680" s="70">
        <v>27</v>
      </c>
      <c r="M680" s="70">
        <v>18</v>
      </c>
      <c r="N680" s="76">
        <v>5900</v>
      </c>
      <c r="O680" s="76">
        <v>18</v>
      </c>
      <c r="P680" s="77">
        <v>86</v>
      </c>
      <c r="Q680" s="77">
        <v>360</v>
      </c>
      <c r="R680" s="72">
        <v>0.54</v>
      </c>
      <c r="S680" s="77">
        <v>490</v>
      </c>
      <c r="T680" s="77">
        <v>80</v>
      </c>
      <c r="U680" s="73">
        <v>2.2999999999999998</v>
      </c>
      <c r="V680" s="73">
        <v>0.1</v>
      </c>
      <c r="W680" s="72">
        <v>0.35</v>
      </c>
      <c r="X680" s="72">
        <v>0.47</v>
      </c>
      <c r="Y680" s="72">
        <v>0.12</v>
      </c>
      <c r="Z680" s="74">
        <v>5.6000000000000001E-2</v>
      </c>
      <c r="AA680" s="74">
        <v>2.3E-2</v>
      </c>
      <c r="AB680" s="74">
        <v>1.2E-2</v>
      </c>
      <c r="AC680" s="74">
        <v>5.8999999999999997E-2</v>
      </c>
    </row>
    <row r="681" spans="2:29" x14ac:dyDescent="0.2">
      <c r="B681" s="66" t="s">
        <v>956</v>
      </c>
      <c r="C681" s="67" t="s">
        <v>257</v>
      </c>
      <c r="D681" s="68">
        <v>100</v>
      </c>
      <c r="F681" s="66" t="s">
        <v>635</v>
      </c>
      <c r="G681" s="67" t="s">
        <v>224</v>
      </c>
      <c r="H681" s="68">
        <v>83</v>
      </c>
      <c r="I681" s="70">
        <v>15</v>
      </c>
      <c r="J681" s="70">
        <v>-7</v>
      </c>
      <c r="K681" s="70">
        <v>-9</v>
      </c>
      <c r="L681" s="70">
        <v>26</v>
      </c>
      <c r="M681" s="70">
        <v>19</v>
      </c>
      <c r="N681" s="70">
        <v>2925</v>
      </c>
      <c r="O681" s="70">
        <v>10</v>
      </c>
      <c r="P681" s="71">
        <v>112</v>
      </c>
      <c r="Q681" s="71">
        <v>1325</v>
      </c>
      <c r="R681" s="72">
        <v>1.44</v>
      </c>
      <c r="S681" s="71">
        <v>1400</v>
      </c>
      <c r="T681" s="71">
        <v>160</v>
      </c>
      <c r="U681" s="73">
        <v>1.8</v>
      </c>
      <c r="V681" s="73">
        <v>0.2</v>
      </c>
      <c r="W681" s="72">
        <v>0.36</v>
      </c>
      <c r="X681" s="72">
        <v>0.48</v>
      </c>
      <c r="Y681" s="72">
        <v>0.94</v>
      </c>
      <c r="Z681" s="74">
        <v>0.64</v>
      </c>
      <c r="AA681" s="74">
        <v>0.33</v>
      </c>
      <c r="AB681" s="74">
        <v>0.17</v>
      </c>
      <c r="AC681" s="74">
        <v>0.46</v>
      </c>
    </row>
    <row r="682" spans="2:29" x14ac:dyDescent="0.2">
      <c r="B682" s="66" t="s">
        <v>957</v>
      </c>
      <c r="C682" s="67" t="s">
        <v>257</v>
      </c>
      <c r="D682" s="68">
        <v>101</v>
      </c>
      <c r="F682" s="66" t="s">
        <v>637</v>
      </c>
      <c r="G682" s="67" t="s">
        <v>224</v>
      </c>
      <c r="H682" s="68">
        <v>84</v>
      </c>
      <c r="I682" s="70">
        <v>120</v>
      </c>
      <c r="J682" s="70">
        <v>-6</v>
      </c>
      <c r="K682" s="70">
        <v>-8</v>
      </c>
      <c r="L682" s="70">
        <v>28</v>
      </c>
      <c r="M682" s="70">
        <v>20</v>
      </c>
      <c r="N682" s="70">
        <v>2950</v>
      </c>
      <c r="O682" s="70">
        <v>10</v>
      </c>
      <c r="P682" s="71">
        <v>107</v>
      </c>
      <c r="Q682" s="71">
        <v>1325</v>
      </c>
      <c r="R682" s="72">
        <v>1.44</v>
      </c>
      <c r="S682" s="71">
        <v>1400</v>
      </c>
      <c r="T682" s="71">
        <v>160</v>
      </c>
      <c r="U682" s="73">
        <v>1.9</v>
      </c>
      <c r="V682" s="73">
        <v>0.3</v>
      </c>
      <c r="W682" s="72">
        <v>0.36</v>
      </c>
      <c r="X682" s="72">
        <v>0.48</v>
      </c>
      <c r="Y682" s="72">
        <v>0.95</v>
      </c>
      <c r="Z682" s="74">
        <v>0.65</v>
      </c>
      <c r="AA682" s="74">
        <v>0.34</v>
      </c>
      <c r="AB682" s="74">
        <v>0.17</v>
      </c>
      <c r="AC682" s="74">
        <v>0.47</v>
      </c>
    </row>
    <row r="683" spans="2:29" x14ac:dyDescent="0.2">
      <c r="B683" s="66" t="s">
        <v>958</v>
      </c>
      <c r="C683" s="67" t="s">
        <v>257</v>
      </c>
      <c r="D683" s="68">
        <v>102</v>
      </c>
      <c r="F683" s="66" t="s">
        <v>973</v>
      </c>
      <c r="G683" s="67" t="s">
        <v>257</v>
      </c>
      <c r="H683" s="68">
        <v>113</v>
      </c>
      <c r="I683" s="70">
        <v>15</v>
      </c>
      <c r="J683" s="70">
        <v>-24</v>
      </c>
      <c r="K683" s="70">
        <v>-26</v>
      </c>
      <c r="L683" s="70">
        <v>30</v>
      </c>
      <c r="M683" s="70">
        <v>23</v>
      </c>
      <c r="N683" s="70">
        <v>4600</v>
      </c>
      <c r="O683" s="70">
        <v>23</v>
      </c>
      <c r="P683" s="71">
        <v>96</v>
      </c>
      <c r="Q683" s="71">
        <v>810</v>
      </c>
      <c r="R683" s="72">
        <v>0.94</v>
      </c>
      <c r="S683" s="71">
        <v>1000</v>
      </c>
      <c r="T683" s="71">
        <v>160</v>
      </c>
      <c r="U683" s="73">
        <v>2.6</v>
      </c>
      <c r="V683" s="73">
        <v>0.4</v>
      </c>
      <c r="W683" s="72">
        <v>0.3</v>
      </c>
      <c r="X683" s="72">
        <v>0.4</v>
      </c>
      <c r="Y683" s="72">
        <v>0.68</v>
      </c>
      <c r="Z683" s="74">
        <v>0.33</v>
      </c>
      <c r="AA683" s="74">
        <v>0.14000000000000001</v>
      </c>
      <c r="AB683" s="74">
        <v>4.7E-2</v>
      </c>
      <c r="AC683" s="74">
        <v>0.42</v>
      </c>
    </row>
    <row r="684" spans="2:29" x14ac:dyDescent="0.2">
      <c r="B684" s="66" t="s">
        <v>959</v>
      </c>
      <c r="C684" s="67" t="s">
        <v>257</v>
      </c>
      <c r="D684" s="68">
        <v>103</v>
      </c>
      <c r="F684" s="66" t="s">
        <v>920</v>
      </c>
      <c r="G684" s="67" t="s">
        <v>264</v>
      </c>
      <c r="H684" s="68">
        <v>205</v>
      </c>
      <c r="I684" s="70">
        <v>165</v>
      </c>
      <c r="J684" s="70">
        <v>-20</v>
      </c>
      <c r="K684" s="70">
        <v>-22</v>
      </c>
      <c r="L684" s="70">
        <v>31</v>
      </c>
      <c r="M684" s="70">
        <v>24</v>
      </c>
      <c r="N684" s="70">
        <v>4250</v>
      </c>
      <c r="O684" s="70">
        <v>26</v>
      </c>
      <c r="P684" s="71">
        <v>113</v>
      </c>
      <c r="Q684" s="71">
        <v>700</v>
      </c>
      <c r="R684" s="72">
        <v>0.8</v>
      </c>
      <c r="S684" s="71">
        <v>800</v>
      </c>
      <c r="T684" s="71">
        <v>140</v>
      </c>
      <c r="U684" s="73">
        <v>1.1000000000000001</v>
      </c>
      <c r="V684" s="73">
        <v>0.4</v>
      </c>
      <c r="W684" s="72">
        <v>0.39</v>
      </c>
      <c r="X684" s="72">
        <v>0.53</v>
      </c>
      <c r="Y684" s="72">
        <v>0.24</v>
      </c>
      <c r="Z684" s="74">
        <v>0.12</v>
      </c>
      <c r="AA684" s="74">
        <v>5.2999999999999999E-2</v>
      </c>
      <c r="AB684" s="74">
        <v>1.4E-2</v>
      </c>
      <c r="AC684" s="74">
        <v>0.15</v>
      </c>
    </row>
    <row r="685" spans="2:29" x14ac:dyDescent="0.2">
      <c r="B685" s="66" t="s">
        <v>960</v>
      </c>
      <c r="C685" s="67" t="s">
        <v>257</v>
      </c>
      <c r="D685" s="68">
        <v>104</v>
      </c>
      <c r="F685" s="66" t="s">
        <v>497</v>
      </c>
      <c r="G685" s="67" t="s">
        <v>247</v>
      </c>
      <c r="H685" s="68">
        <v>135</v>
      </c>
      <c r="I685" s="76">
        <v>779</v>
      </c>
      <c r="J685" s="70">
        <v>-31</v>
      </c>
      <c r="K685" s="70">
        <v>-35</v>
      </c>
      <c r="L685" s="70">
        <v>31</v>
      </c>
      <c r="M685" s="70">
        <v>19</v>
      </c>
      <c r="N685" s="76">
        <v>4850</v>
      </c>
      <c r="O685" s="76">
        <v>17</v>
      </c>
      <c r="P685" s="77">
        <v>85</v>
      </c>
      <c r="Q685" s="77">
        <v>255</v>
      </c>
      <c r="R685" s="72">
        <v>0.26</v>
      </c>
      <c r="S685" s="77">
        <v>335</v>
      </c>
      <c r="T685" s="77">
        <v>210</v>
      </c>
      <c r="U685" s="73">
        <v>1.2</v>
      </c>
      <c r="V685" s="73">
        <v>0.1</v>
      </c>
      <c r="W685" s="72">
        <v>0.53</v>
      </c>
      <c r="X685" s="72">
        <v>0.69</v>
      </c>
      <c r="Y685" s="72">
        <v>0.12</v>
      </c>
      <c r="Z685" s="74">
        <v>0.06</v>
      </c>
      <c r="AA685" s="74">
        <v>0.03</v>
      </c>
      <c r="AB685" s="74">
        <v>0.02</v>
      </c>
      <c r="AC685" s="74">
        <v>0.06</v>
      </c>
    </row>
    <row r="686" spans="2:29" x14ac:dyDescent="0.2">
      <c r="B686" s="66" t="s">
        <v>961</v>
      </c>
      <c r="C686" s="67" t="s">
        <v>257</v>
      </c>
      <c r="D686" s="68">
        <v>105</v>
      </c>
      <c r="F686" s="66" t="s">
        <v>498</v>
      </c>
      <c r="G686" s="67" t="s">
        <v>247</v>
      </c>
      <c r="H686" s="68">
        <v>136</v>
      </c>
      <c r="I686" s="76">
        <v>635</v>
      </c>
      <c r="J686" s="70">
        <v>-34</v>
      </c>
      <c r="K686" s="70">
        <v>-36</v>
      </c>
      <c r="L686" s="70">
        <v>29</v>
      </c>
      <c r="M686" s="70">
        <v>19</v>
      </c>
      <c r="N686" s="76">
        <v>6100</v>
      </c>
      <c r="O686" s="76">
        <v>18</v>
      </c>
      <c r="P686" s="77">
        <v>86</v>
      </c>
      <c r="Q686" s="77">
        <v>325</v>
      </c>
      <c r="R686" s="72">
        <v>0.5</v>
      </c>
      <c r="S686" s="77">
        <v>410</v>
      </c>
      <c r="T686" s="77">
        <v>100</v>
      </c>
      <c r="U686" s="73">
        <v>1.9</v>
      </c>
      <c r="V686" s="73">
        <v>0.1</v>
      </c>
      <c r="W686" s="72">
        <v>0.25</v>
      </c>
      <c r="X686" s="72">
        <v>0.35</v>
      </c>
      <c r="Y686" s="72">
        <v>0.12</v>
      </c>
      <c r="Z686" s="74">
        <v>5.6000000000000001E-2</v>
      </c>
      <c r="AA686" s="74">
        <v>2.3E-2</v>
      </c>
      <c r="AB686" s="74">
        <v>6.0000000000000001E-3</v>
      </c>
      <c r="AC686" s="74">
        <v>5.8999999999999997E-2</v>
      </c>
    </row>
    <row r="687" spans="2:29" x14ac:dyDescent="0.2">
      <c r="B687" s="66" t="s">
        <v>963</v>
      </c>
      <c r="C687" s="67" t="s">
        <v>257</v>
      </c>
      <c r="D687" s="68">
        <v>106</v>
      </c>
      <c r="F687" s="66" t="s">
        <v>974</v>
      </c>
      <c r="G687" s="67" t="s">
        <v>257</v>
      </c>
      <c r="H687" s="68">
        <v>114</v>
      </c>
      <c r="I687" s="70">
        <v>15</v>
      </c>
      <c r="J687" s="70">
        <v>-24</v>
      </c>
      <c r="K687" s="70">
        <v>-26</v>
      </c>
      <c r="L687" s="70">
        <v>30</v>
      </c>
      <c r="M687" s="70">
        <v>23</v>
      </c>
      <c r="N687" s="70">
        <v>4600</v>
      </c>
      <c r="O687" s="70">
        <v>23</v>
      </c>
      <c r="P687" s="71">
        <v>96</v>
      </c>
      <c r="Q687" s="71">
        <v>810</v>
      </c>
      <c r="R687" s="72">
        <v>0.94</v>
      </c>
      <c r="S687" s="71">
        <v>1000</v>
      </c>
      <c r="T687" s="71">
        <v>160</v>
      </c>
      <c r="U687" s="73">
        <v>2.7</v>
      </c>
      <c r="V687" s="73">
        <v>0.4</v>
      </c>
      <c r="W687" s="72">
        <v>0.33</v>
      </c>
      <c r="X687" s="72">
        <v>0.43</v>
      </c>
      <c r="Y687" s="72">
        <v>0.67</v>
      </c>
      <c r="Z687" s="74">
        <v>0.33</v>
      </c>
      <c r="AA687" s="74">
        <v>0.14000000000000001</v>
      </c>
      <c r="AB687" s="74">
        <v>4.5999999999999999E-2</v>
      </c>
      <c r="AC687" s="74">
        <v>0.42</v>
      </c>
    </row>
    <row r="688" spans="2:29" x14ac:dyDescent="0.2">
      <c r="B688" s="66" t="s">
        <v>965</v>
      </c>
      <c r="C688" s="67" t="s">
        <v>257</v>
      </c>
      <c r="D688" s="68">
        <v>107</v>
      </c>
      <c r="F688" s="66" t="s">
        <v>975</v>
      </c>
      <c r="G688" s="67" t="s">
        <v>257</v>
      </c>
      <c r="H688" s="68">
        <v>115</v>
      </c>
      <c r="I688" s="70">
        <v>20</v>
      </c>
      <c r="J688" s="70">
        <v>-23</v>
      </c>
      <c r="K688" s="70">
        <v>-26</v>
      </c>
      <c r="L688" s="70">
        <v>30</v>
      </c>
      <c r="M688" s="70">
        <v>23</v>
      </c>
      <c r="N688" s="70">
        <v>4500</v>
      </c>
      <c r="O688" s="70">
        <v>23</v>
      </c>
      <c r="P688" s="71">
        <v>91</v>
      </c>
      <c r="Q688" s="71">
        <v>780</v>
      </c>
      <c r="R688" s="72">
        <v>0.88</v>
      </c>
      <c r="S688" s="71">
        <v>1025</v>
      </c>
      <c r="T688" s="71">
        <v>180</v>
      </c>
      <c r="U688" s="73">
        <v>2.5</v>
      </c>
      <c r="V688" s="73">
        <v>0.4</v>
      </c>
      <c r="W688" s="72">
        <v>0.31</v>
      </c>
      <c r="X688" s="72">
        <v>0.4</v>
      </c>
      <c r="Y688" s="72">
        <v>0.69</v>
      </c>
      <c r="Z688" s="74">
        <v>0.34</v>
      </c>
      <c r="AA688" s="74">
        <v>0.14000000000000001</v>
      </c>
      <c r="AB688" s="74">
        <v>4.8000000000000001E-2</v>
      </c>
      <c r="AC688" s="74">
        <v>0.43</v>
      </c>
    </row>
    <row r="689" spans="2:29" x14ac:dyDescent="0.2">
      <c r="B689" s="66" t="s">
        <v>966</v>
      </c>
      <c r="C689" s="67" t="s">
        <v>257</v>
      </c>
      <c r="D689" s="68">
        <v>108</v>
      </c>
      <c r="F689" s="66" t="s">
        <v>499</v>
      </c>
      <c r="G689" s="67" t="s">
        <v>247</v>
      </c>
      <c r="H689" s="68">
        <v>137</v>
      </c>
      <c r="I689" s="76">
        <v>580</v>
      </c>
      <c r="J689" s="70">
        <v>-35</v>
      </c>
      <c r="K689" s="70">
        <v>-38</v>
      </c>
      <c r="L689" s="70">
        <v>29</v>
      </c>
      <c r="M689" s="70">
        <v>20</v>
      </c>
      <c r="N689" s="76">
        <v>6150</v>
      </c>
      <c r="O689" s="76">
        <v>18</v>
      </c>
      <c r="P689" s="77">
        <v>86</v>
      </c>
      <c r="Q689" s="77">
        <v>310</v>
      </c>
      <c r="R689" s="72">
        <v>0.53</v>
      </c>
      <c r="S689" s="77">
        <v>410</v>
      </c>
      <c r="T689" s="77">
        <v>100</v>
      </c>
      <c r="U689" s="73">
        <v>1.7</v>
      </c>
      <c r="V689" s="73">
        <v>0.1</v>
      </c>
      <c r="W689" s="72">
        <v>0.23</v>
      </c>
      <c r="X689" s="72">
        <v>0.31</v>
      </c>
      <c r="Y689" s="72">
        <v>0.12</v>
      </c>
      <c r="Z689" s="74">
        <v>5.6000000000000001E-2</v>
      </c>
      <c r="AA689" s="74">
        <v>2.3E-2</v>
      </c>
      <c r="AB689" s="74">
        <v>6.0000000000000001E-3</v>
      </c>
      <c r="AC689" s="74">
        <v>5.8999999999999997E-2</v>
      </c>
    </row>
    <row r="690" spans="2:29" x14ac:dyDescent="0.2">
      <c r="B690" s="66" t="s">
        <v>968</v>
      </c>
      <c r="C690" s="67" t="s">
        <v>257</v>
      </c>
      <c r="D690" s="68">
        <v>109</v>
      </c>
      <c r="F690" s="66" t="s">
        <v>639</v>
      </c>
      <c r="G690" s="67" t="s">
        <v>224</v>
      </c>
      <c r="H690" s="68">
        <v>85</v>
      </c>
      <c r="I690" s="70">
        <v>405</v>
      </c>
      <c r="J690" s="70">
        <v>-20</v>
      </c>
      <c r="K690" s="70">
        <v>-23</v>
      </c>
      <c r="L690" s="70">
        <v>33</v>
      </c>
      <c r="M690" s="70">
        <v>20</v>
      </c>
      <c r="N690" s="70">
        <v>3900</v>
      </c>
      <c r="O690" s="70">
        <v>13</v>
      </c>
      <c r="P690" s="71">
        <v>43</v>
      </c>
      <c r="Q690" s="71">
        <v>350</v>
      </c>
      <c r="R690" s="72">
        <v>0.41</v>
      </c>
      <c r="S690" s="71">
        <v>400</v>
      </c>
      <c r="T690" s="71">
        <v>80</v>
      </c>
      <c r="U690" s="73">
        <v>2.2000000000000002</v>
      </c>
      <c r="V690" s="73">
        <v>0.1</v>
      </c>
      <c r="W690" s="72">
        <v>0.32</v>
      </c>
      <c r="X690" s="72">
        <v>0.44</v>
      </c>
      <c r="Y690" s="72">
        <v>0.27</v>
      </c>
      <c r="Z690" s="74">
        <v>0.17</v>
      </c>
      <c r="AA690" s="74">
        <v>8.3000000000000004E-2</v>
      </c>
      <c r="AB690" s="74">
        <v>4.7E-2</v>
      </c>
      <c r="AC690" s="74">
        <v>0.14000000000000001</v>
      </c>
    </row>
    <row r="691" spans="2:29" x14ac:dyDescent="0.2">
      <c r="B691" s="66" t="s">
        <v>969</v>
      </c>
      <c r="C691" s="67" t="s">
        <v>257</v>
      </c>
      <c r="D691" s="68">
        <v>110</v>
      </c>
      <c r="F691" s="66" t="s">
        <v>641</v>
      </c>
      <c r="G691" s="67" t="s">
        <v>224</v>
      </c>
      <c r="H691" s="68">
        <v>86</v>
      </c>
      <c r="I691" s="70">
        <v>10</v>
      </c>
      <c r="J691" s="70">
        <v>-5</v>
      </c>
      <c r="K691" s="70">
        <v>-7</v>
      </c>
      <c r="L691" s="70">
        <v>24</v>
      </c>
      <c r="M691" s="70">
        <v>17</v>
      </c>
      <c r="N691" s="70">
        <v>2950</v>
      </c>
      <c r="O691" s="70">
        <v>8</v>
      </c>
      <c r="P691" s="71">
        <v>91</v>
      </c>
      <c r="Q691" s="71">
        <v>800</v>
      </c>
      <c r="R691" s="72">
        <v>0.98</v>
      </c>
      <c r="S691" s="71">
        <v>825</v>
      </c>
      <c r="T691" s="71">
        <v>220</v>
      </c>
      <c r="U691" s="73">
        <v>1.1000000000000001</v>
      </c>
      <c r="V691" s="73">
        <v>0.2</v>
      </c>
      <c r="W691" s="72">
        <v>0.48</v>
      </c>
      <c r="X691" s="72">
        <v>0.63</v>
      </c>
      <c r="Y691" s="72">
        <v>1.2</v>
      </c>
      <c r="Z691" s="74">
        <v>0.82</v>
      </c>
      <c r="AA691" s="74">
        <v>0.38</v>
      </c>
      <c r="AB691" s="74">
        <v>0.18</v>
      </c>
      <c r="AC691" s="74">
        <v>0.61</v>
      </c>
    </row>
    <row r="692" spans="2:29" x14ac:dyDescent="0.2">
      <c r="B692" s="66" t="s">
        <v>970</v>
      </c>
      <c r="C692" s="67" t="s">
        <v>257</v>
      </c>
      <c r="D692" s="68">
        <v>111</v>
      </c>
      <c r="F692" s="66" t="s">
        <v>643</v>
      </c>
      <c r="G692" s="67" t="s">
        <v>224</v>
      </c>
      <c r="H692" s="68">
        <v>87</v>
      </c>
      <c r="I692" s="70">
        <v>65</v>
      </c>
      <c r="J692" s="70">
        <v>-5</v>
      </c>
      <c r="K692" s="70">
        <v>-7</v>
      </c>
      <c r="L692" s="70">
        <v>23</v>
      </c>
      <c r="M692" s="70">
        <v>17</v>
      </c>
      <c r="N692" s="70">
        <v>2900</v>
      </c>
      <c r="O692" s="70">
        <v>9</v>
      </c>
      <c r="P692" s="71">
        <v>91</v>
      </c>
      <c r="Q692" s="71">
        <v>600</v>
      </c>
      <c r="R692" s="72">
        <v>0.82</v>
      </c>
      <c r="S692" s="71">
        <v>625</v>
      </c>
      <c r="T692" s="71">
        <v>220</v>
      </c>
      <c r="U692" s="73">
        <v>1.5</v>
      </c>
      <c r="V692" s="73">
        <v>0.3</v>
      </c>
      <c r="W692" s="72">
        <v>0.49</v>
      </c>
      <c r="X692" s="72">
        <v>0.63</v>
      </c>
      <c r="Y692" s="72">
        <v>1.2</v>
      </c>
      <c r="Z692" s="74">
        <v>0.82</v>
      </c>
      <c r="AA692" s="74">
        <v>0.38</v>
      </c>
      <c r="AB692" s="74">
        <v>0.18</v>
      </c>
      <c r="AC692" s="74">
        <v>0.62</v>
      </c>
    </row>
    <row r="693" spans="2:29" x14ac:dyDescent="0.2">
      <c r="B693" s="66" t="s">
        <v>972</v>
      </c>
      <c r="C693" s="67" t="s">
        <v>257</v>
      </c>
      <c r="D693" s="68">
        <v>112</v>
      </c>
      <c r="F693" s="66" t="s">
        <v>644</v>
      </c>
      <c r="G693" s="67" t="s">
        <v>224</v>
      </c>
      <c r="H693" s="68">
        <v>88</v>
      </c>
      <c r="I693" s="70">
        <v>125</v>
      </c>
      <c r="J693" s="70">
        <v>-6</v>
      </c>
      <c r="K693" s="70">
        <v>-8</v>
      </c>
      <c r="L693" s="70">
        <v>24</v>
      </c>
      <c r="M693" s="70">
        <v>16</v>
      </c>
      <c r="N693" s="70">
        <v>3050</v>
      </c>
      <c r="O693" s="70">
        <v>9</v>
      </c>
      <c r="P693" s="71">
        <v>91</v>
      </c>
      <c r="Q693" s="71">
        <v>775</v>
      </c>
      <c r="R693" s="72">
        <v>0.96</v>
      </c>
      <c r="S693" s="71">
        <v>800</v>
      </c>
      <c r="T693" s="71">
        <v>220</v>
      </c>
      <c r="U693" s="73">
        <v>2.1</v>
      </c>
      <c r="V693" s="73">
        <v>0.3</v>
      </c>
      <c r="W693" s="72">
        <v>0.49</v>
      </c>
      <c r="X693" s="72">
        <v>0.63</v>
      </c>
      <c r="Y693" s="72">
        <v>1.2</v>
      </c>
      <c r="Z693" s="74">
        <v>0.82</v>
      </c>
      <c r="AA693" s="74">
        <v>0.38</v>
      </c>
      <c r="AB693" s="74">
        <v>0.18</v>
      </c>
      <c r="AC693" s="74">
        <v>0.61</v>
      </c>
    </row>
    <row r="694" spans="2:29" x14ac:dyDescent="0.2">
      <c r="B694" s="66" t="s">
        <v>973</v>
      </c>
      <c r="C694" s="67" t="s">
        <v>257</v>
      </c>
      <c r="D694" s="68">
        <v>113</v>
      </c>
      <c r="F694" s="66" t="s">
        <v>976</v>
      </c>
      <c r="G694" s="67" t="s">
        <v>257</v>
      </c>
      <c r="H694" s="68">
        <v>116</v>
      </c>
      <c r="I694" s="70">
        <v>125</v>
      </c>
      <c r="J694" s="70">
        <v>-26</v>
      </c>
      <c r="K694" s="70">
        <v>-28</v>
      </c>
      <c r="L694" s="70">
        <v>29</v>
      </c>
      <c r="M694" s="70">
        <v>23</v>
      </c>
      <c r="N694" s="70">
        <v>5000</v>
      </c>
      <c r="O694" s="70">
        <v>20</v>
      </c>
      <c r="P694" s="71">
        <v>102</v>
      </c>
      <c r="Q694" s="71">
        <v>850</v>
      </c>
      <c r="R694" s="72">
        <v>0.97</v>
      </c>
      <c r="S694" s="71">
        <v>1100</v>
      </c>
      <c r="T694" s="71">
        <v>180</v>
      </c>
      <c r="U694" s="73">
        <v>2.6</v>
      </c>
      <c r="V694" s="73">
        <v>0.6</v>
      </c>
      <c r="W694" s="72">
        <v>0.26</v>
      </c>
      <c r="X694" s="72">
        <v>0.35</v>
      </c>
      <c r="Y694" s="72">
        <v>0.43</v>
      </c>
      <c r="Z694" s="74">
        <v>0.22</v>
      </c>
      <c r="AA694" s="74">
        <v>9.7000000000000003E-2</v>
      </c>
      <c r="AB694" s="74">
        <v>3.3000000000000002E-2</v>
      </c>
      <c r="AC694" s="74">
        <v>0.27</v>
      </c>
    </row>
    <row r="695" spans="2:29" x14ac:dyDescent="0.2">
      <c r="B695" s="66" t="s">
        <v>974</v>
      </c>
      <c r="C695" s="67" t="s">
        <v>257</v>
      </c>
      <c r="D695" s="68">
        <v>114</v>
      </c>
      <c r="F695" s="66" t="s">
        <v>501</v>
      </c>
      <c r="G695" s="67" t="s">
        <v>247</v>
      </c>
      <c r="H695" s="68">
        <v>138</v>
      </c>
      <c r="I695" s="76">
        <v>691</v>
      </c>
      <c r="J695" s="70">
        <v>-38</v>
      </c>
      <c r="K695" s="70">
        <v>-40</v>
      </c>
      <c r="L695" s="70">
        <v>28</v>
      </c>
      <c r="M695" s="70">
        <v>20</v>
      </c>
      <c r="N695" s="76">
        <v>5750</v>
      </c>
      <c r="O695" s="76">
        <v>21</v>
      </c>
      <c r="P695" s="77">
        <v>65</v>
      </c>
      <c r="Q695" s="77">
        <v>345</v>
      </c>
      <c r="R695" s="72">
        <v>0.51</v>
      </c>
      <c r="S695" s="77">
        <v>445</v>
      </c>
      <c r="T695" s="77">
        <v>120</v>
      </c>
      <c r="U695" s="73">
        <v>1.9</v>
      </c>
      <c r="V695" s="73">
        <v>0.1</v>
      </c>
      <c r="W695" s="72">
        <v>0.23</v>
      </c>
      <c r="X695" s="72">
        <v>0.33</v>
      </c>
      <c r="Y695" s="72">
        <v>0.12</v>
      </c>
      <c r="Z695" s="74">
        <v>0.06</v>
      </c>
      <c r="AA695" s="74">
        <v>0.02</v>
      </c>
      <c r="AB695" s="74">
        <v>0.01</v>
      </c>
      <c r="AC695" s="74">
        <v>0.06</v>
      </c>
    </row>
    <row r="696" spans="2:29" x14ac:dyDescent="0.2">
      <c r="B696" s="66" t="s">
        <v>975</v>
      </c>
      <c r="C696" s="67" t="s">
        <v>257</v>
      </c>
      <c r="D696" s="68">
        <v>115</v>
      </c>
      <c r="F696" s="66" t="s">
        <v>977</v>
      </c>
      <c r="G696" s="67" t="s">
        <v>257</v>
      </c>
      <c r="H696" s="68">
        <v>117</v>
      </c>
      <c r="I696" s="70">
        <v>200</v>
      </c>
      <c r="J696" s="70">
        <v>-31</v>
      </c>
      <c r="K696" s="70">
        <v>-34</v>
      </c>
      <c r="L696" s="70">
        <v>30</v>
      </c>
      <c r="M696" s="70">
        <v>21</v>
      </c>
      <c r="N696" s="70">
        <v>5550</v>
      </c>
      <c r="O696" s="70">
        <v>23</v>
      </c>
      <c r="P696" s="71">
        <v>96</v>
      </c>
      <c r="Q696" s="71">
        <v>630</v>
      </c>
      <c r="R696" s="72">
        <v>0.8</v>
      </c>
      <c r="S696" s="71">
        <v>825</v>
      </c>
      <c r="T696" s="71">
        <v>120</v>
      </c>
      <c r="U696" s="73">
        <v>2.2999999999999998</v>
      </c>
      <c r="V696" s="73">
        <v>0.4</v>
      </c>
      <c r="W696" s="72">
        <v>0.3</v>
      </c>
      <c r="X696" s="72">
        <v>0.4</v>
      </c>
      <c r="Y696" s="72">
        <v>0.33</v>
      </c>
      <c r="Z696" s="74">
        <v>0.16</v>
      </c>
      <c r="AA696" s="74">
        <v>7.4999999999999997E-2</v>
      </c>
      <c r="AB696" s="74">
        <v>2.1999999999999999E-2</v>
      </c>
      <c r="AC696" s="74">
        <v>0.21</v>
      </c>
    </row>
    <row r="697" spans="2:29" x14ac:dyDescent="0.2">
      <c r="B697" s="66" t="s">
        <v>976</v>
      </c>
      <c r="C697" s="67" t="s">
        <v>257</v>
      </c>
      <c r="D697" s="68">
        <v>116</v>
      </c>
      <c r="F697" s="66" t="s">
        <v>677</v>
      </c>
      <c r="G697" s="67" t="s">
        <v>252</v>
      </c>
      <c r="H697" s="68">
        <v>23</v>
      </c>
      <c r="I697" s="70">
        <v>435</v>
      </c>
      <c r="J697" s="70">
        <v>-33</v>
      </c>
      <c r="K697" s="70">
        <v>-35</v>
      </c>
      <c r="L697" s="70">
        <v>30</v>
      </c>
      <c r="M697" s="70">
        <v>22</v>
      </c>
      <c r="N697" s="70">
        <v>5800</v>
      </c>
      <c r="O697" s="70">
        <v>33</v>
      </c>
      <c r="P697" s="71">
        <v>108</v>
      </c>
      <c r="Q697" s="71">
        <v>350</v>
      </c>
      <c r="R697" s="72">
        <v>0.53</v>
      </c>
      <c r="S697" s="71">
        <v>460</v>
      </c>
      <c r="T697" s="71">
        <v>180</v>
      </c>
      <c r="U697" s="73">
        <v>2</v>
      </c>
      <c r="V697" s="73">
        <v>0.2</v>
      </c>
      <c r="W697" s="72">
        <v>0.36</v>
      </c>
      <c r="X697" s="72">
        <v>0.46</v>
      </c>
      <c r="Y697" s="72">
        <v>0.12</v>
      </c>
      <c r="Z697" s="74">
        <v>5.6000000000000001E-2</v>
      </c>
      <c r="AA697" s="74">
        <v>2.3E-2</v>
      </c>
      <c r="AB697" s="74">
        <v>6.0000000000000001E-3</v>
      </c>
      <c r="AC697" s="74">
        <v>5.8999999999999997E-2</v>
      </c>
    </row>
    <row r="698" spans="2:29" x14ac:dyDescent="0.2">
      <c r="B698" s="66" t="s">
        <v>977</v>
      </c>
      <c r="C698" s="67" t="s">
        <v>257</v>
      </c>
      <c r="D698" s="68">
        <v>117</v>
      </c>
      <c r="F698" s="66" t="s">
        <v>922</v>
      </c>
      <c r="G698" s="67" t="s">
        <v>264</v>
      </c>
      <c r="H698" s="68">
        <v>206</v>
      </c>
      <c r="I698" s="70">
        <v>215</v>
      </c>
      <c r="J698" s="70">
        <v>-15</v>
      </c>
      <c r="K698" s="70">
        <v>-17</v>
      </c>
      <c r="L698" s="70">
        <v>30</v>
      </c>
      <c r="M698" s="70">
        <v>24</v>
      </c>
      <c r="N698" s="70">
        <v>3925</v>
      </c>
      <c r="O698" s="70">
        <v>25</v>
      </c>
      <c r="P698" s="71">
        <v>124</v>
      </c>
      <c r="Q698" s="71">
        <v>880</v>
      </c>
      <c r="R698" s="72">
        <v>0.99</v>
      </c>
      <c r="S698" s="71">
        <v>950</v>
      </c>
      <c r="T698" s="71">
        <v>160</v>
      </c>
      <c r="U698" s="73">
        <v>1.3</v>
      </c>
      <c r="V698" s="73">
        <v>0.4</v>
      </c>
      <c r="W698" s="72">
        <v>0.35</v>
      </c>
      <c r="X698" s="72">
        <v>0.47</v>
      </c>
      <c r="Y698" s="72">
        <v>0.21</v>
      </c>
      <c r="Z698" s="74">
        <v>0.1</v>
      </c>
      <c r="AA698" s="74">
        <v>5.1999999999999998E-2</v>
      </c>
      <c r="AB698" s="74">
        <v>1.4E-2</v>
      </c>
      <c r="AC698" s="74">
        <v>0.14000000000000001</v>
      </c>
    </row>
    <row r="699" spans="2:29" x14ac:dyDescent="0.2">
      <c r="B699" s="66" t="s">
        <v>925</v>
      </c>
      <c r="C699" s="67" t="s">
        <v>257</v>
      </c>
      <c r="D699" s="68">
        <v>118</v>
      </c>
      <c r="F699" s="66" t="s">
        <v>503</v>
      </c>
      <c r="G699" s="67" t="s">
        <v>247</v>
      </c>
      <c r="H699" s="68">
        <v>139</v>
      </c>
      <c r="I699" s="76">
        <v>1049</v>
      </c>
      <c r="J699" s="70">
        <v>-31</v>
      </c>
      <c r="K699" s="70">
        <v>-34</v>
      </c>
      <c r="L699" s="70">
        <v>30</v>
      </c>
      <c r="M699" s="70">
        <v>18</v>
      </c>
      <c r="N699" s="76">
        <v>5000</v>
      </c>
      <c r="O699" s="76">
        <v>17</v>
      </c>
      <c r="P699" s="77">
        <v>90</v>
      </c>
      <c r="Q699" s="77">
        <v>290</v>
      </c>
      <c r="R699" s="72">
        <v>0.3</v>
      </c>
      <c r="S699" s="77">
        <v>410</v>
      </c>
      <c r="T699" s="77">
        <v>210</v>
      </c>
      <c r="U699" s="73">
        <v>1.3</v>
      </c>
      <c r="V699" s="73">
        <v>0.1</v>
      </c>
      <c r="W699" s="72">
        <v>0.49</v>
      </c>
      <c r="X699" s="72">
        <v>0.64</v>
      </c>
      <c r="Y699" s="72">
        <v>0.14000000000000001</v>
      </c>
      <c r="Z699" s="74">
        <v>0.08</v>
      </c>
      <c r="AA699" s="74">
        <v>0.04</v>
      </c>
      <c r="AB699" s="74">
        <v>0.02</v>
      </c>
      <c r="AC699" s="74">
        <v>0.08</v>
      </c>
    </row>
    <row r="700" spans="2:29" x14ac:dyDescent="0.2">
      <c r="B700" s="66" t="s">
        <v>939</v>
      </c>
      <c r="C700" s="67" t="s">
        <v>257</v>
      </c>
      <c r="D700" s="68">
        <v>119</v>
      </c>
      <c r="F700" s="66" t="s">
        <v>716</v>
      </c>
      <c r="G700" s="67" t="s">
        <v>258</v>
      </c>
      <c r="H700" s="68">
        <v>17</v>
      </c>
      <c r="I700" s="70">
        <v>75</v>
      </c>
      <c r="J700" s="70">
        <v>-15</v>
      </c>
      <c r="K700" s="70">
        <v>-17</v>
      </c>
      <c r="L700" s="70">
        <v>24</v>
      </c>
      <c r="M700" s="70">
        <v>20</v>
      </c>
      <c r="N700" s="70">
        <v>4800</v>
      </c>
      <c r="O700" s="70">
        <v>18</v>
      </c>
      <c r="P700" s="71">
        <v>112</v>
      </c>
      <c r="Q700" s="71">
        <v>1125</v>
      </c>
      <c r="R700" s="72">
        <v>1.34</v>
      </c>
      <c r="S700" s="71">
        <v>1500</v>
      </c>
      <c r="T700" s="71">
        <v>400</v>
      </c>
      <c r="U700" s="73">
        <v>3</v>
      </c>
      <c r="V700" s="73">
        <v>0.7</v>
      </c>
      <c r="W700" s="72">
        <v>0.56000000000000005</v>
      </c>
      <c r="X700" s="72">
        <v>0.75</v>
      </c>
      <c r="Y700" s="72">
        <v>0.18</v>
      </c>
      <c r="Z700" s="74">
        <v>0.11</v>
      </c>
      <c r="AA700" s="74">
        <v>5.8999999999999997E-2</v>
      </c>
      <c r="AB700" s="74">
        <v>1.6E-2</v>
      </c>
      <c r="AC700" s="74">
        <v>8.7999999999999995E-2</v>
      </c>
    </row>
    <row r="701" spans="2:29" x14ac:dyDescent="0.2">
      <c r="B701" s="66" t="s">
        <v>313</v>
      </c>
      <c r="C701" s="67" t="s">
        <v>278</v>
      </c>
      <c r="D701" s="68">
        <v>1</v>
      </c>
      <c r="F701" s="66" t="s">
        <v>717</v>
      </c>
      <c r="G701" s="67" t="s">
        <v>258</v>
      </c>
      <c r="H701" s="68">
        <v>18</v>
      </c>
      <c r="I701" s="70">
        <v>550</v>
      </c>
      <c r="J701" s="70">
        <v>-35</v>
      </c>
      <c r="K701" s="70">
        <v>-37</v>
      </c>
      <c r="L701" s="70">
        <v>23</v>
      </c>
      <c r="M701" s="70">
        <v>18</v>
      </c>
      <c r="N701" s="70">
        <v>7900</v>
      </c>
      <c r="O701" s="70">
        <v>15</v>
      </c>
      <c r="P701" s="71">
        <v>70</v>
      </c>
      <c r="Q701" s="71">
        <v>500</v>
      </c>
      <c r="R701" s="72">
        <v>0.82</v>
      </c>
      <c r="S701" s="71">
        <v>880</v>
      </c>
      <c r="T701" s="71">
        <v>140</v>
      </c>
      <c r="U701" s="73">
        <v>4.3</v>
      </c>
      <c r="V701" s="73">
        <v>0.3</v>
      </c>
      <c r="W701" s="72">
        <v>0.31</v>
      </c>
      <c r="X701" s="72">
        <v>0.4</v>
      </c>
      <c r="Y701" s="72">
        <v>0.12</v>
      </c>
      <c r="Z701" s="74">
        <v>7.5999999999999998E-2</v>
      </c>
      <c r="AA701" s="74">
        <v>3.9E-2</v>
      </c>
      <c r="AB701" s="74">
        <v>1.2E-2</v>
      </c>
      <c r="AC701" s="74">
        <v>5.8999999999999997E-2</v>
      </c>
    </row>
    <row r="702" spans="2:29" x14ac:dyDescent="0.2">
      <c r="B702" s="66" t="s">
        <v>338</v>
      </c>
      <c r="C702" s="67" t="s">
        <v>278</v>
      </c>
      <c r="D702" s="68">
        <v>2</v>
      </c>
      <c r="F702" s="66" t="s">
        <v>505</v>
      </c>
      <c r="G702" s="67" t="s">
        <v>247</v>
      </c>
      <c r="H702" s="68">
        <v>140</v>
      </c>
      <c r="I702" s="76">
        <v>585</v>
      </c>
      <c r="J702" s="70">
        <v>-36</v>
      </c>
      <c r="K702" s="70">
        <v>-39</v>
      </c>
      <c r="L702" s="70">
        <v>27</v>
      </c>
      <c r="M702" s="70">
        <v>19</v>
      </c>
      <c r="N702" s="76">
        <v>6000</v>
      </c>
      <c r="O702" s="76">
        <v>15</v>
      </c>
      <c r="P702" s="77">
        <v>76</v>
      </c>
      <c r="Q702" s="77">
        <v>380</v>
      </c>
      <c r="R702" s="72">
        <v>0.62</v>
      </c>
      <c r="S702" s="77">
        <v>500</v>
      </c>
      <c r="T702" s="77">
        <v>80</v>
      </c>
      <c r="U702" s="73">
        <v>1.9</v>
      </c>
      <c r="V702" s="73">
        <v>0.1</v>
      </c>
      <c r="W702" s="72">
        <v>0.28000000000000003</v>
      </c>
      <c r="X702" s="72">
        <v>0.37</v>
      </c>
      <c r="Y702" s="72">
        <v>0.12</v>
      </c>
      <c r="Z702" s="74">
        <v>5.6000000000000001E-2</v>
      </c>
      <c r="AA702" s="74">
        <v>2.3E-2</v>
      </c>
      <c r="AB702" s="74">
        <v>7.0000000000000001E-3</v>
      </c>
      <c r="AC702" s="74">
        <v>5.8999999999999997E-2</v>
      </c>
    </row>
    <row r="703" spans="2:29" x14ac:dyDescent="0.2">
      <c r="B703" s="66" t="s">
        <v>363</v>
      </c>
      <c r="C703" s="67" t="s">
        <v>278</v>
      </c>
      <c r="D703" s="68">
        <v>3</v>
      </c>
      <c r="F703" s="66" t="s">
        <v>507</v>
      </c>
      <c r="G703" s="67" t="s">
        <v>247</v>
      </c>
      <c r="H703" s="68">
        <v>141</v>
      </c>
      <c r="I703" s="76">
        <v>675</v>
      </c>
      <c r="J703" s="70">
        <v>-33</v>
      </c>
      <c r="K703" s="70">
        <v>-36</v>
      </c>
      <c r="L703" s="70">
        <v>29</v>
      </c>
      <c r="M703" s="70">
        <v>19</v>
      </c>
      <c r="N703" s="76">
        <v>6000</v>
      </c>
      <c r="O703" s="76">
        <v>20</v>
      </c>
      <c r="P703" s="77">
        <v>81</v>
      </c>
      <c r="Q703" s="77">
        <v>310</v>
      </c>
      <c r="R703" s="72">
        <v>0.47</v>
      </c>
      <c r="S703" s="77">
        <v>425</v>
      </c>
      <c r="T703" s="77">
        <v>120</v>
      </c>
      <c r="U703" s="73">
        <v>2</v>
      </c>
      <c r="V703" s="73">
        <v>0.1</v>
      </c>
      <c r="W703" s="72">
        <v>0.24</v>
      </c>
      <c r="X703" s="72">
        <v>0.36</v>
      </c>
      <c r="Y703" s="72">
        <v>0.12</v>
      </c>
      <c r="Z703" s="74">
        <v>5.6000000000000001E-2</v>
      </c>
      <c r="AA703" s="74">
        <v>2.3E-2</v>
      </c>
      <c r="AB703" s="74">
        <v>6.0000000000000001E-3</v>
      </c>
      <c r="AC703" s="74">
        <v>5.8999999999999997E-2</v>
      </c>
    </row>
    <row r="704" spans="2:29" x14ac:dyDescent="0.2">
      <c r="B704" s="66" t="s">
        <v>389</v>
      </c>
      <c r="C704" s="67" t="s">
        <v>278</v>
      </c>
      <c r="D704" s="68">
        <v>4</v>
      </c>
      <c r="F704" s="66" t="s">
        <v>923</v>
      </c>
      <c r="G704" s="67" t="s">
        <v>264</v>
      </c>
      <c r="H704" s="68">
        <v>207</v>
      </c>
      <c r="I704" s="70">
        <v>275</v>
      </c>
      <c r="J704" s="70">
        <v>-18</v>
      </c>
      <c r="K704" s="70">
        <v>-20</v>
      </c>
      <c r="L704" s="70">
        <v>30</v>
      </c>
      <c r="M704" s="70">
        <v>22</v>
      </c>
      <c r="N704" s="70">
        <v>4500</v>
      </c>
      <c r="O704" s="70">
        <v>28</v>
      </c>
      <c r="P704" s="71">
        <v>113</v>
      </c>
      <c r="Q704" s="71">
        <v>790</v>
      </c>
      <c r="R704" s="72">
        <v>0.92</v>
      </c>
      <c r="S704" s="71">
        <v>1025</v>
      </c>
      <c r="T704" s="71">
        <v>160</v>
      </c>
      <c r="U704" s="73">
        <v>2.7</v>
      </c>
      <c r="V704" s="73">
        <v>0.4</v>
      </c>
      <c r="W704" s="72">
        <v>0.35</v>
      </c>
      <c r="X704" s="72">
        <v>0.5</v>
      </c>
      <c r="Y704" s="72">
        <v>0.13</v>
      </c>
      <c r="Z704" s="74">
        <v>7.5999999999999998E-2</v>
      </c>
      <c r="AA704" s="74">
        <v>4.1000000000000002E-2</v>
      </c>
      <c r="AB704" s="74">
        <v>1.0999999999999999E-2</v>
      </c>
      <c r="AC704" s="74">
        <v>6.4000000000000001E-2</v>
      </c>
    </row>
    <row r="705" spans="2:29" x14ac:dyDescent="0.2">
      <c r="B705" s="66" t="s">
        <v>523</v>
      </c>
      <c r="C705" s="67" t="s">
        <v>278</v>
      </c>
      <c r="D705" s="68">
        <v>5</v>
      </c>
      <c r="F705" s="66" t="s">
        <v>924</v>
      </c>
      <c r="G705" s="67" t="s">
        <v>264</v>
      </c>
      <c r="H705" s="68">
        <v>208</v>
      </c>
      <c r="I705" s="70">
        <v>180</v>
      </c>
      <c r="J705" s="70">
        <v>-16</v>
      </c>
      <c r="K705" s="70">
        <v>-18</v>
      </c>
      <c r="L705" s="70">
        <v>31</v>
      </c>
      <c r="M705" s="70">
        <v>24</v>
      </c>
      <c r="N705" s="70">
        <v>3700</v>
      </c>
      <c r="O705" s="70">
        <v>28</v>
      </c>
      <c r="P705" s="71">
        <v>97</v>
      </c>
      <c r="Q705" s="71">
        <v>760</v>
      </c>
      <c r="R705" s="72">
        <v>0.87</v>
      </c>
      <c r="S705" s="71">
        <v>825</v>
      </c>
      <c r="T705" s="71">
        <v>180</v>
      </c>
      <c r="U705" s="73">
        <v>0.9</v>
      </c>
      <c r="V705" s="73">
        <v>0.4</v>
      </c>
      <c r="W705" s="72">
        <v>0.32</v>
      </c>
      <c r="X705" s="72">
        <v>0.43</v>
      </c>
      <c r="Y705" s="72">
        <v>0.18</v>
      </c>
      <c r="Z705" s="74">
        <v>8.6999999999999994E-2</v>
      </c>
      <c r="AA705" s="74">
        <v>4.1000000000000002E-2</v>
      </c>
      <c r="AB705" s="74">
        <v>1.0999999999999999E-2</v>
      </c>
      <c r="AC705" s="74">
        <v>0.11</v>
      </c>
    </row>
    <row r="706" spans="2:29" x14ac:dyDescent="0.2">
      <c r="B706" s="66" t="s">
        <v>551</v>
      </c>
      <c r="C706" s="67" t="s">
        <v>278</v>
      </c>
      <c r="D706" s="68">
        <v>6</v>
      </c>
      <c r="F706" s="66" t="s">
        <v>509</v>
      </c>
      <c r="G706" s="67" t="s">
        <v>247</v>
      </c>
      <c r="H706" s="68">
        <v>142</v>
      </c>
      <c r="I706" s="76">
        <v>1021</v>
      </c>
      <c r="J706" s="70">
        <v>-31</v>
      </c>
      <c r="K706" s="70">
        <v>-35</v>
      </c>
      <c r="L706" s="70">
        <v>31</v>
      </c>
      <c r="M706" s="70">
        <v>19</v>
      </c>
      <c r="N706" s="76">
        <v>4750</v>
      </c>
      <c r="O706" s="76">
        <v>16</v>
      </c>
      <c r="P706" s="77">
        <v>75</v>
      </c>
      <c r="Q706" s="77">
        <v>250</v>
      </c>
      <c r="R706" s="72">
        <v>0.26</v>
      </c>
      <c r="S706" s="77">
        <v>375</v>
      </c>
      <c r="T706" s="77">
        <v>180</v>
      </c>
      <c r="U706" s="73">
        <v>1.5</v>
      </c>
      <c r="V706" s="73">
        <v>0.1</v>
      </c>
      <c r="W706" s="72">
        <v>0.62</v>
      </c>
      <c r="X706" s="72">
        <v>0.83</v>
      </c>
      <c r="Y706" s="72">
        <v>0.14000000000000001</v>
      </c>
      <c r="Z706" s="74">
        <v>0.08</v>
      </c>
      <c r="AA706" s="74">
        <v>0.04</v>
      </c>
      <c r="AB706" s="74">
        <v>0.02</v>
      </c>
      <c r="AC706" s="74">
        <v>0.08</v>
      </c>
    </row>
    <row r="707" spans="2:29" x14ac:dyDescent="0.2">
      <c r="B707" s="66" t="s">
        <v>581</v>
      </c>
      <c r="C707" s="67" t="s">
        <v>278</v>
      </c>
      <c r="D707" s="68">
        <v>7</v>
      </c>
      <c r="F707" s="66" t="s">
        <v>925</v>
      </c>
      <c r="G707" s="67" t="s">
        <v>264</v>
      </c>
      <c r="H707" s="68">
        <v>209</v>
      </c>
      <c r="I707" s="70">
        <v>330</v>
      </c>
      <c r="J707" s="70">
        <v>-19</v>
      </c>
      <c r="K707" s="70">
        <v>-21</v>
      </c>
      <c r="L707" s="70">
        <v>29</v>
      </c>
      <c r="M707" s="70">
        <v>23</v>
      </c>
      <c r="N707" s="70">
        <v>4300</v>
      </c>
      <c r="O707" s="70">
        <v>28</v>
      </c>
      <c r="P707" s="71">
        <v>119</v>
      </c>
      <c r="Q707" s="71">
        <v>780</v>
      </c>
      <c r="R707" s="72">
        <v>0.89</v>
      </c>
      <c r="S707" s="71">
        <v>925</v>
      </c>
      <c r="T707" s="71">
        <v>160</v>
      </c>
      <c r="U707" s="73">
        <v>2</v>
      </c>
      <c r="V707" s="73">
        <v>0.4</v>
      </c>
      <c r="W707" s="72">
        <v>0.27</v>
      </c>
      <c r="X707" s="72">
        <v>0.37</v>
      </c>
      <c r="Y707" s="72">
        <v>0.19</v>
      </c>
      <c r="Z707" s="74">
        <v>9.5000000000000001E-2</v>
      </c>
      <c r="AA707" s="74">
        <v>4.8000000000000001E-2</v>
      </c>
      <c r="AB707" s="74">
        <v>1.2999999999999999E-2</v>
      </c>
      <c r="AC707" s="74">
        <v>0.1</v>
      </c>
    </row>
    <row r="708" spans="2:29" x14ac:dyDescent="0.2">
      <c r="B708" s="66" t="s">
        <v>705</v>
      </c>
      <c r="C708" s="67" t="s">
        <v>278</v>
      </c>
      <c r="D708" s="68">
        <v>8</v>
      </c>
      <c r="F708" s="66" t="s">
        <v>925</v>
      </c>
      <c r="G708" s="67" t="s">
        <v>257</v>
      </c>
      <c r="H708" s="68">
        <v>118</v>
      </c>
      <c r="I708" s="70">
        <v>205</v>
      </c>
      <c r="J708" s="70">
        <v>-24</v>
      </c>
      <c r="K708" s="70">
        <v>-27</v>
      </c>
      <c r="L708" s="70">
        <v>29</v>
      </c>
      <c r="M708" s="70">
        <v>22</v>
      </c>
      <c r="N708" s="70">
        <v>4850</v>
      </c>
      <c r="O708" s="70">
        <v>23</v>
      </c>
      <c r="P708" s="71">
        <v>96</v>
      </c>
      <c r="Q708" s="71">
        <v>980</v>
      </c>
      <c r="R708" s="72">
        <v>1.08</v>
      </c>
      <c r="S708" s="71">
        <v>1250</v>
      </c>
      <c r="T708" s="71">
        <v>160</v>
      </c>
      <c r="U708" s="73">
        <v>2.5</v>
      </c>
      <c r="V708" s="73">
        <v>0.4</v>
      </c>
      <c r="W708" s="72">
        <v>0.26</v>
      </c>
      <c r="X708" s="72">
        <v>0.35</v>
      </c>
      <c r="Y708" s="72">
        <v>0.41</v>
      </c>
      <c r="Z708" s="74">
        <v>0.22</v>
      </c>
      <c r="AA708" s="74">
        <v>9.5000000000000001E-2</v>
      </c>
      <c r="AB708" s="74">
        <v>3.4000000000000002E-2</v>
      </c>
      <c r="AC708" s="74">
        <v>0.24</v>
      </c>
    </row>
    <row r="709" spans="2:29" x14ac:dyDescent="0.2">
      <c r="B709" s="66" t="s">
        <v>709</v>
      </c>
      <c r="C709" s="67" t="s">
        <v>278</v>
      </c>
      <c r="D709" s="68">
        <v>9</v>
      </c>
      <c r="F709" s="66" t="s">
        <v>927</v>
      </c>
      <c r="G709" s="67" t="s">
        <v>264</v>
      </c>
      <c r="H709" s="68">
        <v>210</v>
      </c>
      <c r="I709" s="70">
        <v>240</v>
      </c>
      <c r="J709" s="70">
        <v>-16</v>
      </c>
      <c r="K709" s="70">
        <v>-18</v>
      </c>
      <c r="L709" s="70">
        <v>31</v>
      </c>
      <c r="M709" s="70">
        <v>24</v>
      </c>
      <c r="N709" s="70">
        <v>3900</v>
      </c>
      <c r="O709" s="70">
        <v>25</v>
      </c>
      <c r="P709" s="71">
        <v>108</v>
      </c>
      <c r="Q709" s="71">
        <v>790</v>
      </c>
      <c r="R709" s="72">
        <v>0.9</v>
      </c>
      <c r="S709" s="71">
        <v>950</v>
      </c>
      <c r="T709" s="71">
        <v>160</v>
      </c>
      <c r="U709" s="73">
        <v>1.9</v>
      </c>
      <c r="V709" s="73">
        <v>0.4</v>
      </c>
      <c r="W709" s="72">
        <v>0.34</v>
      </c>
      <c r="X709" s="72">
        <v>0.47</v>
      </c>
      <c r="Y709" s="72">
        <v>0.16</v>
      </c>
      <c r="Z709" s="74">
        <v>8.2000000000000003E-2</v>
      </c>
      <c r="AA709" s="74">
        <v>4.2999999999999997E-2</v>
      </c>
      <c r="AB709" s="74">
        <v>1.0999999999999999E-2</v>
      </c>
      <c r="AC709" s="74">
        <v>9.7000000000000003E-2</v>
      </c>
    </row>
    <row r="710" spans="2:29" x14ac:dyDescent="0.2">
      <c r="B710" s="66" t="s">
        <v>723</v>
      </c>
      <c r="C710" s="67" t="s">
        <v>278</v>
      </c>
      <c r="D710" s="68">
        <v>10</v>
      </c>
      <c r="F710" s="66" t="s">
        <v>978</v>
      </c>
      <c r="G710" s="67" t="s">
        <v>270</v>
      </c>
      <c r="H710" s="68">
        <v>6</v>
      </c>
      <c r="I710" s="70">
        <v>685</v>
      </c>
      <c r="J710" s="70">
        <v>-46</v>
      </c>
      <c r="K710" s="70">
        <v>-48</v>
      </c>
      <c r="L710" s="70">
        <v>26</v>
      </c>
      <c r="M710" s="70">
        <v>16</v>
      </c>
      <c r="N710" s="70">
        <v>7700</v>
      </c>
      <c r="O710" s="70">
        <v>8</v>
      </c>
      <c r="P710" s="71">
        <v>54</v>
      </c>
      <c r="Q710" s="71">
        <v>250</v>
      </c>
      <c r="R710" s="72">
        <v>0.55000000000000004</v>
      </c>
      <c r="S710" s="71">
        <v>410</v>
      </c>
      <c r="T710" s="71">
        <v>60</v>
      </c>
      <c r="U710" s="73">
        <v>3.1</v>
      </c>
      <c r="V710" s="73">
        <v>0.1</v>
      </c>
      <c r="W710" s="72">
        <v>0.26</v>
      </c>
      <c r="X710" s="72">
        <v>0.35</v>
      </c>
      <c r="Y710" s="72">
        <v>0.45</v>
      </c>
      <c r="Z710" s="74">
        <v>0.26</v>
      </c>
      <c r="AA710" s="74">
        <v>0.12</v>
      </c>
      <c r="AB710" s="74">
        <v>6.7000000000000004E-2</v>
      </c>
      <c r="AC710" s="74">
        <v>0.22</v>
      </c>
    </row>
    <row r="711" spans="2:29" x14ac:dyDescent="0.2">
      <c r="B711" s="66" t="s">
        <v>731</v>
      </c>
      <c r="C711" s="67" t="s">
        <v>278</v>
      </c>
      <c r="D711" s="68">
        <v>11</v>
      </c>
      <c r="F711" s="66" t="s">
        <v>929</v>
      </c>
      <c r="G711" s="67" t="s">
        <v>264</v>
      </c>
      <c r="H711" s="68">
        <v>211</v>
      </c>
      <c r="I711" s="70">
        <v>290</v>
      </c>
      <c r="J711" s="70">
        <v>-35</v>
      </c>
      <c r="K711" s="70">
        <v>-38</v>
      </c>
      <c r="L711" s="70">
        <v>26</v>
      </c>
      <c r="M711" s="70">
        <v>21</v>
      </c>
      <c r="N711" s="70">
        <v>5800</v>
      </c>
      <c r="O711" s="70">
        <v>20</v>
      </c>
      <c r="P711" s="71">
        <v>103</v>
      </c>
      <c r="Q711" s="71">
        <v>725</v>
      </c>
      <c r="R711" s="72">
        <v>0.93</v>
      </c>
      <c r="S711" s="71">
        <v>950</v>
      </c>
      <c r="T711" s="71">
        <v>160</v>
      </c>
      <c r="U711" s="73">
        <v>4.0999999999999996</v>
      </c>
      <c r="V711" s="73">
        <v>0.4</v>
      </c>
      <c r="W711" s="72">
        <v>0.3</v>
      </c>
      <c r="X711" s="72">
        <v>0.39</v>
      </c>
      <c r="Y711" s="72">
        <v>0.12</v>
      </c>
      <c r="Z711" s="74">
        <v>5.6000000000000001E-2</v>
      </c>
      <c r="AA711" s="74">
        <v>2.3E-2</v>
      </c>
      <c r="AB711" s="74">
        <v>8.0000000000000002E-3</v>
      </c>
      <c r="AC711" s="74">
        <v>5.8999999999999997E-2</v>
      </c>
    </row>
    <row r="712" spans="2:29" x14ac:dyDescent="0.2">
      <c r="B712" s="66" t="s">
        <v>749</v>
      </c>
      <c r="C712" s="67" t="s">
        <v>278</v>
      </c>
      <c r="D712" s="68">
        <v>12</v>
      </c>
      <c r="F712" s="66" t="s">
        <v>930</v>
      </c>
      <c r="G712" s="67" t="s">
        <v>264</v>
      </c>
      <c r="H712" s="68">
        <v>212</v>
      </c>
      <c r="I712" s="70">
        <v>180</v>
      </c>
      <c r="J712" s="70">
        <v>-15</v>
      </c>
      <c r="K712" s="70">
        <v>-17</v>
      </c>
      <c r="L712" s="70">
        <v>30</v>
      </c>
      <c r="M712" s="70">
        <v>23</v>
      </c>
      <c r="N712" s="70">
        <v>3800</v>
      </c>
      <c r="O712" s="70">
        <v>23</v>
      </c>
      <c r="P712" s="71">
        <v>103</v>
      </c>
      <c r="Q712" s="71">
        <v>840</v>
      </c>
      <c r="R712" s="72">
        <v>0.96</v>
      </c>
      <c r="S712" s="71">
        <v>975</v>
      </c>
      <c r="T712" s="71">
        <v>160</v>
      </c>
      <c r="U712" s="73">
        <v>2.2000000000000002</v>
      </c>
      <c r="V712" s="73">
        <v>0.4</v>
      </c>
      <c r="W712" s="72">
        <v>0.33</v>
      </c>
      <c r="X712" s="72">
        <v>0.43</v>
      </c>
      <c r="Y712" s="72">
        <v>0.4</v>
      </c>
      <c r="Z712" s="74">
        <v>0.2</v>
      </c>
      <c r="AA712" s="74">
        <v>7.0000000000000007E-2</v>
      </c>
      <c r="AB712" s="74">
        <v>2.1000000000000001E-2</v>
      </c>
      <c r="AC712" s="74">
        <v>0.28999999999999998</v>
      </c>
    </row>
    <row r="713" spans="2:29" x14ac:dyDescent="0.2">
      <c r="B713" s="66" t="s">
        <v>398</v>
      </c>
      <c r="C713" s="67" t="s">
        <v>278</v>
      </c>
      <c r="D713" s="68">
        <v>13</v>
      </c>
      <c r="F713" s="66" t="s">
        <v>511</v>
      </c>
      <c r="G713" s="67" t="s">
        <v>247</v>
      </c>
      <c r="H713" s="68">
        <v>143</v>
      </c>
      <c r="I713" s="76">
        <v>724</v>
      </c>
      <c r="J713" s="70">
        <v>-38</v>
      </c>
      <c r="K713" s="70">
        <v>-41</v>
      </c>
      <c r="L713" s="70">
        <v>27</v>
      </c>
      <c r="M713" s="70">
        <v>18</v>
      </c>
      <c r="N713" s="76">
        <v>5900</v>
      </c>
      <c r="O713" s="76">
        <v>18</v>
      </c>
      <c r="P713" s="77">
        <v>85</v>
      </c>
      <c r="Q713" s="77">
        <v>315</v>
      </c>
      <c r="R713" s="72">
        <v>0.49</v>
      </c>
      <c r="S713" s="77">
        <v>470</v>
      </c>
      <c r="T713" s="77">
        <v>100</v>
      </c>
      <c r="U713" s="73">
        <v>2.2999999999999998</v>
      </c>
      <c r="V713" s="73">
        <v>0.1</v>
      </c>
      <c r="W713" s="72">
        <v>0.32</v>
      </c>
      <c r="X713" s="72">
        <v>0.43</v>
      </c>
      <c r="Y713" s="72">
        <v>0.12</v>
      </c>
      <c r="Z713" s="74">
        <v>7.0000000000000007E-2</v>
      </c>
      <c r="AA713" s="74">
        <v>0.04</v>
      </c>
      <c r="AB713" s="74">
        <v>0.02</v>
      </c>
      <c r="AC713" s="74">
        <v>0.06</v>
      </c>
    </row>
    <row r="714" spans="2:29" x14ac:dyDescent="0.2">
      <c r="B714" s="66" t="s">
        <v>787</v>
      </c>
      <c r="C714" s="67" t="s">
        <v>278</v>
      </c>
      <c r="D714" s="68">
        <v>14</v>
      </c>
      <c r="F714" s="66" t="s">
        <v>932</v>
      </c>
      <c r="G714" s="67" t="s">
        <v>264</v>
      </c>
      <c r="H714" s="68">
        <v>213</v>
      </c>
      <c r="I714" s="70">
        <v>215</v>
      </c>
      <c r="J714" s="70">
        <v>-16</v>
      </c>
      <c r="K714" s="70">
        <v>-18</v>
      </c>
      <c r="L714" s="70">
        <v>31</v>
      </c>
      <c r="M714" s="70">
        <v>24</v>
      </c>
      <c r="N714" s="70">
        <v>3850</v>
      </c>
      <c r="O714" s="70">
        <v>28</v>
      </c>
      <c r="P714" s="71">
        <v>103</v>
      </c>
      <c r="Q714" s="71">
        <v>840</v>
      </c>
      <c r="R714" s="72">
        <v>0.95</v>
      </c>
      <c r="S714" s="71">
        <v>900</v>
      </c>
      <c r="T714" s="71">
        <v>180</v>
      </c>
      <c r="U714" s="73">
        <v>1.3</v>
      </c>
      <c r="V714" s="73">
        <v>0.4</v>
      </c>
      <c r="W714" s="72">
        <v>0.34</v>
      </c>
      <c r="X714" s="72">
        <v>0.47</v>
      </c>
      <c r="Y714" s="72">
        <v>0.2</v>
      </c>
      <c r="Z714" s="74">
        <v>9.7000000000000003E-2</v>
      </c>
      <c r="AA714" s="74">
        <v>4.7E-2</v>
      </c>
      <c r="AB714" s="74">
        <v>1.2999999999999999E-2</v>
      </c>
      <c r="AC714" s="74">
        <v>0.13</v>
      </c>
    </row>
    <row r="715" spans="2:29" x14ac:dyDescent="0.2">
      <c r="B715" s="66" t="s">
        <v>795</v>
      </c>
      <c r="C715" s="67" t="s">
        <v>278</v>
      </c>
      <c r="D715" s="68">
        <v>15</v>
      </c>
      <c r="F715" s="66" t="s">
        <v>646</v>
      </c>
      <c r="G715" s="67" t="s">
        <v>224</v>
      </c>
      <c r="H715" s="68">
        <v>89</v>
      </c>
      <c r="I715" s="70">
        <v>45</v>
      </c>
      <c r="J715" s="70">
        <v>-8</v>
      </c>
      <c r="K715" s="70">
        <v>-10</v>
      </c>
      <c r="L715" s="70">
        <v>28</v>
      </c>
      <c r="M715" s="70">
        <v>19</v>
      </c>
      <c r="N715" s="70">
        <v>3250</v>
      </c>
      <c r="O715" s="70">
        <v>9</v>
      </c>
      <c r="P715" s="71">
        <v>150</v>
      </c>
      <c r="Q715" s="71">
        <v>1600</v>
      </c>
      <c r="R715" s="72">
        <v>1.69</v>
      </c>
      <c r="S715" s="71">
        <v>1700</v>
      </c>
      <c r="T715" s="71">
        <v>160</v>
      </c>
      <c r="U715" s="73">
        <v>2.4</v>
      </c>
      <c r="V715" s="73">
        <v>0.2</v>
      </c>
      <c r="W715" s="72">
        <v>0.36</v>
      </c>
      <c r="X715" s="72">
        <v>0.48</v>
      </c>
      <c r="Y715" s="72">
        <v>0.88</v>
      </c>
      <c r="Z715" s="74">
        <v>0.62</v>
      </c>
      <c r="AA715" s="74">
        <v>0.33</v>
      </c>
      <c r="AB715" s="74">
        <v>0.17</v>
      </c>
      <c r="AC715" s="74">
        <v>0.43</v>
      </c>
    </row>
    <row r="716" spans="2:29" x14ac:dyDescent="0.2">
      <c r="B716" s="66" t="s">
        <v>796</v>
      </c>
      <c r="C716" s="67" t="s">
        <v>278</v>
      </c>
      <c r="D716" s="68">
        <v>16</v>
      </c>
      <c r="F716" s="66" t="s">
        <v>513</v>
      </c>
      <c r="G716" s="67" t="s">
        <v>247</v>
      </c>
      <c r="H716" s="68">
        <v>144</v>
      </c>
      <c r="I716" s="76">
        <v>648</v>
      </c>
      <c r="J716" s="70">
        <v>-37</v>
      </c>
      <c r="K716" s="70">
        <v>-40</v>
      </c>
      <c r="L716" s="70">
        <v>27</v>
      </c>
      <c r="M716" s="70">
        <v>19</v>
      </c>
      <c r="N716" s="76">
        <v>5900</v>
      </c>
      <c r="O716" s="76">
        <v>17</v>
      </c>
      <c r="P716" s="77">
        <v>75</v>
      </c>
      <c r="Q716" s="77">
        <v>375</v>
      </c>
      <c r="R716" s="72">
        <v>0.56999999999999995</v>
      </c>
      <c r="S716" s="77">
        <v>490</v>
      </c>
      <c r="T716" s="77">
        <v>110</v>
      </c>
      <c r="U716" s="73">
        <v>1.9</v>
      </c>
      <c r="V716" s="73">
        <v>0.1</v>
      </c>
      <c r="W716" s="72">
        <v>0.3</v>
      </c>
      <c r="X716" s="72">
        <v>0.42</v>
      </c>
      <c r="Y716" s="72">
        <v>0.12</v>
      </c>
      <c r="Z716" s="74">
        <v>0.06</v>
      </c>
      <c r="AA716" s="74">
        <v>0.02</v>
      </c>
      <c r="AB716" s="74">
        <v>0.01</v>
      </c>
      <c r="AC716" s="74">
        <v>0.06</v>
      </c>
    </row>
    <row r="717" spans="2:29" x14ac:dyDescent="0.2">
      <c r="B717" s="66" t="s">
        <v>797</v>
      </c>
      <c r="C717" s="67" t="s">
        <v>278</v>
      </c>
      <c r="D717" s="68">
        <v>17</v>
      </c>
      <c r="F717" s="66" t="s">
        <v>514</v>
      </c>
      <c r="G717" s="67" t="s">
        <v>247</v>
      </c>
      <c r="H717" s="68">
        <v>145</v>
      </c>
      <c r="I717" s="76">
        <v>760</v>
      </c>
      <c r="J717" s="70">
        <v>-33</v>
      </c>
      <c r="K717" s="70">
        <v>-35</v>
      </c>
      <c r="L717" s="70">
        <v>29</v>
      </c>
      <c r="M717" s="70">
        <v>19</v>
      </c>
      <c r="N717" s="76">
        <v>5800</v>
      </c>
      <c r="O717" s="76">
        <v>23</v>
      </c>
      <c r="P717" s="77">
        <v>86</v>
      </c>
      <c r="Q717" s="77">
        <v>400</v>
      </c>
      <c r="R717" s="72">
        <v>0.56999999999999995</v>
      </c>
      <c r="S717" s="77">
        <v>500</v>
      </c>
      <c r="T717" s="77">
        <v>160</v>
      </c>
      <c r="U717" s="73">
        <v>2</v>
      </c>
      <c r="V717" s="73">
        <v>0.1</v>
      </c>
      <c r="W717" s="72">
        <v>0.3</v>
      </c>
      <c r="X717" s="72">
        <v>0.4</v>
      </c>
      <c r="Y717" s="72">
        <v>0.12</v>
      </c>
      <c r="Z717" s="74">
        <v>5.6000000000000001E-2</v>
      </c>
      <c r="AA717" s="74">
        <v>2.3E-2</v>
      </c>
      <c r="AB717" s="74">
        <v>8.9999999999999993E-3</v>
      </c>
      <c r="AC717" s="74">
        <v>5.8999999999999997E-2</v>
      </c>
    </row>
    <row r="718" spans="2:29" x14ac:dyDescent="0.2">
      <c r="B718" s="66" t="s">
        <v>811</v>
      </c>
      <c r="C718" s="67" t="s">
        <v>278</v>
      </c>
      <c r="D718" s="68">
        <v>18</v>
      </c>
      <c r="F718" s="66" t="s">
        <v>979</v>
      </c>
      <c r="G718" s="67" t="s">
        <v>278</v>
      </c>
      <c r="H718" s="68">
        <v>30</v>
      </c>
      <c r="I718" s="70">
        <v>575</v>
      </c>
      <c r="J718" s="70">
        <v>-33</v>
      </c>
      <c r="K718" s="70">
        <v>-35</v>
      </c>
      <c r="L718" s="70">
        <v>32</v>
      </c>
      <c r="M718" s="70">
        <v>22</v>
      </c>
      <c r="N718" s="70">
        <v>5500</v>
      </c>
      <c r="O718" s="70">
        <v>33</v>
      </c>
      <c r="P718" s="71">
        <v>108</v>
      </c>
      <c r="Q718" s="71">
        <v>320</v>
      </c>
      <c r="R718" s="72">
        <v>0.4</v>
      </c>
      <c r="S718" s="71">
        <v>400</v>
      </c>
      <c r="T718" s="71">
        <v>200</v>
      </c>
      <c r="U718" s="73">
        <v>1.4</v>
      </c>
      <c r="V718" s="73">
        <v>0.1</v>
      </c>
      <c r="W718" s="72">
        <v>0.38</v>
      </c>
      <c r="X718" s="72">
        <v>0.48</v>
      </c>
      <c r="Y718" s="72">
        <v>0.23</v>
      </c>
      <c r="Z718" s="74">
        <v>9.1999999999999998E-2</v>
      </c>
      <c r="AA718" s="74">
        <v>3.4000000000000002E-2</v>
      </c>
      <c r="AB718" s="74">
        <v>1.0999999999999999E-2</v>
      </c>
      <c r="AC718" s="74">
        <v>0.16</v>
      </c>
    </row>
    <row r="719" spans="2:29" x14ac:dyDescent="0.2">
      <c r="B719" s="66" t="s">
        <v>825</v>
      </c>
      <c r="C719" s="67" t="s">
        <v>278</v>
      </c>
      <c r="D719" s="68">
        <v>19</v>
      </c>
      <c r="F719" s="66" t="s">
        <v>934</v>
      </c>
      <c r="G719" s="67" t="s">
        <v>264</v>
      </c>
      <c r="H719" s="68">
        <v>214</v>
      </c>
      <c r="I719" s="70">
        <v>85</v>
      </c>
      <c r="J719" s="70">
        <v>-20</v>
      </c>
      <c r="K719" s="70">
        <v>-22</v>
      </c>
      <c r="L719" s="70">
        <v>30</v>
      </c>
      <c r="M719" s="70">
        <v>23</v>
      </c>
      <c r="N719" s="70">
        <v>4000</v>
      </c>
      <c r="O719" s="70">
        <v>23</v>
      </c>
      <c r="P719" s="71">
        <v>86</v>
      </c>
      <c r="Q719" s="71">
        <v>760</v>
      </c>
      <c r="R719" s="72">
        <v>0.9</v>
      </c>
      <c r="S719" s="71">
        <v>850</v>
      </c>
      <c r="T719" s="71">
        <v>160</v>
      </c>
      <c r="U719" s="73">
        <v>1.2</v>
      </c>
      <c r="V719" s="73">
        <v>0.4</v>
      </c>
      <c r="W719" s="72">
        <v>0.43</v>
      </c>
      <c r="X719" s="72">
        <v>0.56999999999999995</v>
      </c>
      <c r="Y719" s="72">
        <v>0.21</v>
      </c>
      <c r="Z719" s="74">
        <v>0.11</v>
      </c>
      <c r="AA719" s="74">
        <v>5.8000000000000003E-2</v>
      </c>
      <c r="AB719" s="74">
        <v>1.4999999999999999E-2</v>
      </c>
      <c r="AC719" s="74">
        <v>0.12</v>
      </c>
    </row>
    <row r="720" spans="2:29" x14ac:dyDescent="0.2">
      <c r="B720" s="66" t="s">
        <v>828</v>
      </c>
      <c r="C720" s="67" t="s">
        <v>278</v>
      </c>
      <c r="D720" s="68">
        <v>20</v>
      </c>
      <c r="F720" s="66" t="s">
        <v>936</v>
      </c>
      <c r="G720" s="67" t="s">
        <v>264</v>
      </c>
      <c r="H720" s="68">
        <v>215</v>
      </c>
      <c r="I720" s="70">
        <v>160</v>
      </c>
      <c r="J720" s="70">
        <v>-20</v>
      </c>
      <c r="K720" s="70">
        <v>-22</v>
      </c>
      <c r="L720" s="70">
        <v>30</v>
      </c>
      <c r="M720" s="70">
        <v>23</v>
      </c>
      <c r="N720" s="70">
        <v>4200</v>
      </c>
      <c r="O720" s="70">
        <v>23</v>
      </c>
      <c r="P720" s="71">
        <v>86</v>
      </c>
      <c r="Q720" s="71">
        <v>770</v>
      </c>
      <c r="R720" s="72">
        <v>0.91</v>
      </c>
      <c r="S720" s="71">
        <v>850</v>
      </c>
      <c r="T720" s="71">
        <v>140</v>
      </c>
      <c r="U720" s="73">
        <v>1.9</v>
      </c>
      <c r="V720" s="73">
        <v>0.4</v>
      </c>
      <c r="W720" s="72">
        <v>0.38</v>
      </c>
      <c r="X720" s="72">
        <v>0.53</v>
      </c>
      <c r="Y720" s="72">
        <v>0.2</v>
      </c>
      <c r="Z720" s="74">
        <v>0.11</v>
      </c>
      <c r="AA720" s="74">
        <v>5.7000000000000002E-2</v>
      </c>
      <c r="AB720" s="74">
        <v>1.4999999999999999E-2</v>
      </c>
      <c r="AC720" s="74">
        <v>0.11</v>
      </c>
    </row>
    <row r="721" spans="2:29" x14ac:dyDescent="0.2">
      <c r="B721" s="66" t="s">
        <v>867</v>
      </c>
      <c r="C721" s="67" t="s">
        <v>278</v>
      </c>
      <c r="D721" s="68">
        <v>21</v>
      </c>
      <c r="F721" s="66" t="s">
        <v>937</v>
      </c>
      <c r="G721" s="67" t="s">
        <v>264</v>
      </c>
      <c r="H721" s="68">
        <v>216</v>
      </c>
      <c r="I721" s="70">
        <v>375</v>
      </c>
      <c r="J721" s="70">
        <v>-39</v>
      </c>
      <c r="K721" s="70">
        <v>-42</v>
      </c>
      <c r="L721" s="70">
        <v>28</v>
      </c>
      <c r="M721" s="70">
        <v>21</v>
      </c>
      <c r="N721" s="70">
        <v>6400</v>
      </c>
      <c r="O721" s="70">
        <v>20</v>
      </c>
      <c r="P721" s="71">
        <v>92</v>
      </c>
      <c r="Q721" s="71">
        <v>575</v>
      </c>
      <c r="R721" s="72">
        <v>0.8</v>
      </c>
      <c r="S721" s="71">
        <v>825</v>
      </c>
      <c r="T721" s="71">
        <v>100</v>
      </c>
      <c r="U721" s="73">
        <v>4.5</v>
      </c>
      <c r="V721" s="73">
        <v>0.4</v>
      </c>
      <c r="W721" s="72">
        <v>0.21</v>
      </c>
      <c r="X721" s="72">
        <v>0.27</v>
      </c>
      <c r="Y721" s="72">
        <v>0.12</v>
      </c>
      <c r="Z721" s="74">
        <v>5.6000000000000001E-2</v>
      </c>
      <c r="AA721" s="74">
        <v>2.3E-2</v>
      </c>
      <c r="AB721" s="74">
        <v>7.0000000000000001E-3</v>
      </c>
      <c r="AC721" s="74">
        <v>5.8999999999999997E-2</v>
      </c>
    </row>
    <row r="722" spans="2:29" x14ac:dyDescent="0.2">
      <c r="B722" s="66" t="s">
        <v>868</v>
      </c>
      <c r="C722" s="67" t="s">
        <v>278</v>
      </c>
      <c r="D722" s="68">
        <v>22</v>
      </c>
      <c r="F722" s="66" t="s">
        <v>516</v>
      </c>
      <c r="G722" s="67" t="s">
        <v>247</v>
      </c>
      <c r="H722" s="68">
        <v>146</v>
      </c>
      <c r="I722" s="76">
        <v>690</v>
      </c>
      <c r="J722" s="70">
        <v>-35</v>
      </c>
      <c r="K722" s="70">
        <v>-38</v>
      </c>
      <c r="L722" s="70">
        <v>27</v>
      </c>
      <c r="M722" s="70">
        <v>18</v>
      </c>
      <c r="N722" s="76">
        <v>6000</v>
      </c>
      <c r="O722" s="76">
        <v>20</v>
      </c>
      <c r="P722" s="77">
        <v>97</v>
      </c>
      <c r="Q722" s="77">
        <v>440</v>
      </c>
      <c r="R722" s="72">
        <v>0.63</v>
      </c>
      <c r="S722" s="77">
        <v>550</v>
      </c>
      <c r="T722" s="77">
        <v>80</v>
      </c>
      <c r="U722" s="73">
        <v>1.9</v>
      </c>
      <c r="V722" s="73">
        <v>0.1</v>
      </c>
      <c r="W722" s="72">
        <v>0.32</v>
      </c>
      <c r="X722" s="72">
        <v>0.43</v>
      </c>
      <c r="Y722" s="72">
        <v>0.12</v>
      </c>
      <c r="Z722" s="74">
        <v>5.6000000000000001E-2</v>
      </c>
      <c r="AA722" s="74">
        <v>2.3E-2</v>
      </c>
      <c r="AB722" s="74">
        <v>1.2E-2</v>
      </c>
      <c r="AC722" s="74">
        <v>5.8999999999999997E-2</v>
      </c>
    </row>
    <row r="723" spans="2:29" x14ac:dyDescent="0.2">
      <c r="B723" s="66" t="s">
        <v>877</v>
      </c>
      <c r="C723" s="67" t="s">
        <v>278</v>
      </c>
      <c r="D723" s="68">
        <v>23</v>
      </c>
      <c r="F723" s="66" t="s">
        <v>980</v>
      </c>
      <c r="G723" s="67" t="s">
        <v>270</v>
      </c>
      <c r="H723" s="68">
        <v>7</v>
      </c>
      <c r="I723" s="70">
        <v>655</v>
      </c>
      <c r="J723" s="70">
        <v>-41</v>
      </c>
      <c r="K723" s="70">
        <v>-43</v>
      </c>
      <c r="L723" s="70">
        <v>25</v>
      </c>
      <c r="M723" s="70">
        <v>15</v>
      </c>
      <c r="N723" s="70">
        <v>6900</v>
      </c>
      <c r="O723" s="70">
        <v>8</v>
      </c>
      <c r="P723" s="71">
        <v>43</v>
      </c>
      <c r="Q723" s="71">
        <v>170</v>
      </c>
      <c r="R723" s="72">
        <v>0.49</v>
      </c>
      <c r="S723" s="71">
        <v>275</v>
      </c>
      <c r="T723" s="71">
        <v>40</v>
      </c>
      <c r="U723" s="73">
        <v>1.8</v>
      </c>
      <c r="V723" s="73">
        <v>0.1</v>
      </c>
      <c r="W723" s="72">
        <v>0.28000000000000003</v>
      </c>
      <c r="X723" s="72">
        <v>0.38</v>
      </c>
      <c r="Y723" s="72">
        <v>0.22</v>
      </c>
      <c r="Z723" s="74">
        <v>0.15</v>
      </c>
      <c r="AA723" s="74">
        <v>0.1</v>
      </c>
      <c r="AB723" s="74">
        <v>0.06</v>
      </c>
      <c r="AC723" s="74">
        <v>0.12</v>
      </c>
    </row>
    <row r="724" spans="2:29" x14ac:dyDescent="0.2">
      <c r="B724" s="66" t="s">
        <v>900</v>
      </c>
      <c r="C724" s="67" t="s">
        <v>278</v>
      </c>
      <c r="D724" s="68">
        <v>24</v>
      </c>
      <c r="F724" s="66" t="s">
        <v>938</v>
      </c>
      <c r="G724" s="67" t="s">
        <v>264</v>
      </c>
      <c r="H724" s="68">
        <v>217</v>
      </c>
      <c r="I724" s="70">
        <v>185</v>
      </c>
      <c r="J724" s="70">
        <v>-18</v>
      </c>
      <c r="K724" s="70">
        <v>-20</v>
      </c>
      <c r="L724" s="70">
        <v>28</v>
      </c>
      <c r="M724" s="70">
        <v>22</v>
      </c>
      <c r="N724" s="70">
        <v>4500</v>
      </c>
      <c r="O724" s="70">
        <v>25</v>
      </c>
      <c r="P724" s="71">
        <v>113</v>
      </c>
      <c r="Q724" s="71">
        <v>740</v>
      </c>
      <c r="R724" s="72">
        <v>0.91</v>
      </c>
      <c r="S724" s="71">
        <v>1000</v>
      </c>
      <c r="T724" s="71">
        <v>180</v>
      </c>
      <c r="U724" s="73">
        <v>2.7</v>
      </c>
      <c r="V724" s="73">
        <v>0.4</v>
      </c>
      <c r="W724" s="72">
        <v>0.33</v>
      </c>
      <c r="X724" s="72">
        <v>0.48</v>
      </c>
      <c r="Y724" s="72">
        <v>0.12</v>
      </c>
      <c r="Z724" s="74">
        <v>7.6999999999999999E-2</v>
      </c>
      <c r="AA724" s="74">
        <v>0.04</v>
      </c>
      <c r="AB724" s="74">
        <v>1.2E-2</v>
      </c>
      <c r="AC724" s="74">
        <v>5.8999999999999997E-2</v>
      </c>
    </row>
    <row r="725" spans="2:29" x14ac:dyDescent="0.2">
      <c r="B725" s="66" t="s">
        <v>914</v>
      </c>
      <c r="C725" s="67" t="s">
        <v>278</v>
      </c>
      <c r="D725" s="68">
        <v>25</v>
      </c>
      <c r="F725" s="66" t="s">
        <v>647</v>
      </c>
      <c r="G725" s="67" t="s">
        <v>224</v>
      </c>
      <c r="H725" s="68">
        <v>90</v>
      </c>
      <c r="I725" s="70">
        <v>615</v>
      </c>
      <c r="J725" s="70">
        <v>-31</v>
      </c>
      <c r="K725" s="70">
        <v>-34</v>
      </c>
      <c r="L725" s="70">
        <v>29</v>
      </c>
      <c r="M725" s="70">
        <v>17</v>
      </c>
      <c r="N725" s="70">
        <v>5100</v>
      </c>
      <c r="O725" s="70">
        <v>10</v>
      </c>
      <c r="P725" s="71">
        <v>48</v>
      </c>
      <c r="Q725" s="71">
        <v>350</v>
      </c>
      <c r="R725" s="72">
        <v>0.47</v>
      </c>
      <c r="S725" s="71">
        <v>425</v>
      </c>
      <c r="T725" s="71">
        <v>80</v>
      </c>
      <c r="U725" s="73">
        <v>2.4</v>
      </c>
      <c r="V725" s="73">
        <v>0.2</v>
      </c>
      <c r="W725" s="72">
        <v>0.3</v>
      </c>
      <c r="X725" s="72">
        <v>0.38</v>
      </c>
      <c r="Y725" s="72">
        <v>0.28000000000000003</v>
      </c>
      <c r="Z725" s="74">
        <v>0.16</v>
      </c>
      <c r="AA725" s="74">
        <v>9.2999999999999999E-2</v>
      </c>
      <c r="AB725" s="74">
        <v>5.5E-2</v>
      </c>
      <c r="AC725" s="74">
        <v>0.14000000000000001</v>
      </c>
    </row>
    <row r="726" spans="2:29" x14ac:dyDescent="0.2">
      <c r="B726" s="66" t="s">
        <v>921</v>
      </c>
      <c r="C726" s="67" t="s">
        <v>278</v>
      </c>
      <c r="D726" s="68">
        <v>26</v>
      </c>
      <c r="F726" s="66" t="s">
        <v>518</v>
      </c>
      <c r="G726" s="67" t="s">
        <v>247</v>
      </c>
      <c r="H726" s="68">
        <v>147</v>
      </c>
      <c r="I726" s="76">
        <v>975</v>
      </c>
      <c r="J726" s="70">
        <v>-31</v>
      </c>
      <c r="K726" s="70">
        <v>-34</v>
      </c>
      <c r="L726" s="70">
        <v>29</v>
      </c>
      <c r="M726" s="70">
        <v>18</v>
      </c>
      <c r="N726" s="76">
        <v>5650</v>
      </c>
      <c r="O726" s="76">
        <v>23</v>
      </c>
      <c r="P726" s="77">
        <v>92</v>
      </c>
      <c r="Q726" s="77">
        <v>325</v>
      </c>
      <c r="R726" s="72">
        <v>0.48</v>
      </c>
      <c r="S726" s="77">
        <v>450</v>
      </c>
      <c r="T726" s="77">
        <v>200</v>
      </c>
      <c r="U726" s="73">
        <v>1.6</v>
      </c>
      <c r="V726" s="73">
        <v>0.1</v>
      </c>
      <c r="W726" s="72">
        <v>0.3</v>
      </c>
      <c r="X726" s="72">
        <v>0.4</v>
      </c>
      <c r="Y726" s="72">
        <v>0.12</v>
      </c>
      <c r="Z726" s="74">
        <v>5.6000000000000001E-2</v>
      </c>
      <c r="AA726" s="74">
        <v>2.5000000000000001E-2</v>
      </c>
      <c r="AB726" s="74">
        <v>1.4999999999999999E-2</v>
      </c>
      <c r="AC726" s="74">
        <v>5.8999999999999997E-2</v>
      </c>
    </row>
    <row r="727" spans="2:29" x14ac:dyDescent="0.2">
      <c r="B727" s="66" t="s">
        <v>962</v>
      </c>
      <c r="C727" s="67" t="s">
        <v>278</v>
      </c>
      <c r="D727" s="68">
        <v>27</v>
      </c>
      <c r="F727" s="66" t="s">
        <v>939</v>
      </c>
      <c r="G727" s="67" t="s">
        <v>264</v>
      </c>
      <c r="H727" s="68">
        <v>218</v>
      </c>
      <c r="I727" s="70">
        <v>185</v>
      </c>
      <c r="J727" s="70">
        <v>-16</v>
      </c>
      <c r="K727" s="70">
        <v>-18</v>
      </c>
      <c r="L727" s="70">
        <v>31</v>
      </c>
      <c r="M727" s="70">
        <v>24</v>
      </c>
      <c r="N727" s="70">
        <v>3600</v>
      </c>
      <c r="O727" s="70">
        <v>28</v>
      </c>
      <c r="P727" s="71">
        <v>103</v>
      </c>
      <c r="Q727" s="71">
        <v>800</v>
      </c>
      <c r="R727" s="72">
        <v>0.85</v>
      </c>
      <c r="S727" s="71">
        <v>900</v>
      </c>
      <c r="T727" s="71">
        <v>180</v>
      </c>
      <c r="U727" s="73">
        <v>0.8</v>
      </c>
      <c r="V727" s="73">
        <v>0.4</v>
      </c>
      <c r="W727" s="72">
        <v>0.36</v>
      </c>
      <c r="X727" s="72">
        <v>0.47</v>
      </c>
      <c r="Y727" s="72">
        <v>0.18</v>
      </c>
      <c r="Z727" s="74">
        <v>8.5999999999999993E-2</v>
      </c>
      <c r="AA727" s="74">
        <v>0.04</v>
      </c>
      <c r="AB727" s="74">
        <v>1.0999999999999999E-2</v>
      </c>
      <c r="AC727" s="74">
        <v>0.12</v>
      </c>
    </row>
    <row r="728" spans="2:29" x14ac:dyDescent="0.2">
      <c r="B728" s="66" t="s">
        <v>964</v>
      </c>
      <c r="C728" s="67" t="s">
        <v>278</v>
      </c>
      <c r="D728" s="68">
        <v>28</v>
      </c>
      <c r="F728" s="66" t="s">
        <v>939</v>
      </c>
      <c r="G728" s="67" t="s">
        <v>257</v>
      </c>
      <c r="H728" s="68">
        <v>119</v>
      </c>
      <c r="I728" s="70">
        <v>150</v>
      </c>
      <c r="J728" s="70">
        <v>-25</v>
      </c>
      <c r="K728" s="70">
        <v>-27</v>
      </c>
      <c r="L728" s="70">
        <v>29</v>
      </c>
      <c r="M728" s="70">
        <v>22</v>
      </c>
      <c r="N728" s="70">
        <v>4850</v>
      </c>
      <c r="O728" s="70">
        <v>23</v>
      </c>
      <c r="P728" s="71">
        <v>96</v>
      </c>
      <c r="Q728" s="71">
        <v>930</v>
      </c>
      <c r="R728" s="72">
        <v>1.04</v>
      </c>
      <c r="S728" s="71">
        <v>1075</v>
      </c>
      <c r="T728" s="71">
        <v>160</v>
      </c>
      <c r="U728" s="73">
        <v>2.2999999999999998</v>
      </c>
      <c r="V728" s="73">
        <v>0.4</v>
      </c>
      <c r="W728" s="72">
        <v>0.23</v>
      </c>
      <c r="X728" s="72">
        <v>0.32</v>
      </c>
      <c r="Y728" s="72">
        <v>0.36</v>
      </c>
      <c r="Z728" s="74">
        <v>0.2</v>
      </c>
      <c r="AA728" s="74">
        <v>8.7999999999999995E-2</v>
      </c>
      <c r="AB728" s="74">
        <v>3.1E-2</v>
      </c>
      <c r="AC728" s="74">
        <v>0.19</v>
      </c>
    </row>
    <row r="729" spans="2:29" x14ac:dyDescent="0.2">
      <c r="B729" s="66" t="s">
        <v>971</v>
      </c>
      <c r="C729" s="67" t="s">
        <v>278</v>
      </c>
      <c r="D729" s="68">
        <v>29</v>
      </c>
      <c r="F729" s="66" t="s">
        <v>941</v>
      </c>
      <c r="G729" s="67" t="s">
        <v>264</v>
      </c>
      <c r="H729" s="68">
        <v>219</v>
      </c>
      <c r="I729" s="70">
        <v>310</v>
      </c>
      <c r="J729" s="70">
        <v>-18</v>
      </c>
      <c r="K729" s="70">
        <v>-20</v>
      </c>
      <c r="L729" s="70">
        <v>30</v>
      </c>
      <c r="M729" s="70">
        <v>23</v>
      </c>
      <c r="N729" s="70">
        <v>4350</v>
      </c>
      <c r="O729" s="70">
        <v>28</v>
      </c>
      <c r="P729" s="71">
        <v>108</v>
      </c>
      <c r="Q729" s="71">
        <v>780</v>
      </c>
      <c r="R729" s="72">
        <v>0.91</v>
      </c>
      <c r="S729" s="71">
        <v>1050</v>
      </c>
      <c r="T729" s="71">
        <v>160</v>
      </c>
      <c r="U729" s="73">
        <v>2.6</v>
      </c>
      <c r="V729" s="73">
        <v>0.4</v>
      </c>
      <c r="W729" s="72">
        <v>0.35</v>
      </c>
      <c r="X729" s="72">
        <v>0.5</v>
      </c>
      <c r="Y729" s="72">
        <v>0.13</v>
      </c>
      <c r="Z729" s="74">
        <v>7.4999999999999997E-2</v>
      </c>
      <c r="AA729" s="74">
        <v>4.1000000000000002E-2</v>
      </c>
      <c r="AB729" s="74">
        <v>1.0999999999999999E-2</v>
      </c>
      <c r="AC729" s="74">
        <v>6.5000000000000002E-2</v>
      </c>
    </row>
    <row r="730" spans="2:29" x14ac:dyDescent="0.2">
      <c r="B730" s="66" t="s">
        <v>979</v>
      </c>
      <c r="C730" s="67" t="s">
        <v>278</v>
      </c>
      <c r="D730" s="68">
        <v>30</v>
      </c>
      <c r="F730" s="66" t="s">
        <v>679</v>
      </c>
      <c r="G730" s="67" t="s">
        <v>252</v>
      </c>
      <c r="H730" s="68">
        <v>24</v>
      </c>
      <c r="I730" s="70">
        <v>235</v>
      </c>
      <c r="J730" s="70">
        <v>-33</v>
      </c>
      <c r="K730" s="70">
        <v>-35</v>
      </c>
      <c r="L730" s="70">
        <v>30</v>
      </c>
      <c r="M730" s="70">
        <v>23</v>
      </c>
      <c r="N730" s="70">
        <v>5900</v>
      </c>
      <c r="O730" s="70">
        <v>28</v>
      </c>
      <c r="P730" s="71">
        <v>97</v>
      </c>
      <c r="Q730" s="71">
        <v>415</v>
      </c>
      <c r="R730" s="72">
        <v>0.57999999999999996</v>
      </c>
      <c r="S730" s="71">
        <v>500</v>
      </c>
      <c r="T730" s="71">
        <v>180</v>
      </c>
      <c r="U730" s="73">
        <v>1.9</v>
      </c>
      <c r="V730" s="73">
        <v>0.2</v>
      </c>
      <c r="W730" s="72">
        <v>0.35</v>
      </c>
      <c r="X730" s="72">
        <v>0.45</v>
      </c>
      <c r="Y730" s="72">
        <v>0.12</v>
      </c>
      <c r="Z730" s="74">
        <v>5.6000000000000001E-2</v>
      </c>
      <c r="AA730" s="74">
        <v>2.3E-2</v>
      </c>
      <c r="AB730" s="74">
        <v>6.0000000000000001E-3</v>
      </c>
      <c r="AC730" s="74">
        <v>5.8999999999999997E-2</v>
      </c>
    </row>
    <row r="731" spans="2:29" x14ac:dyDescent="0.2">
      <c r="B731" s="66" t="s">
        <v>981</v>
      </c>
      <c r="C731" s="67" t="s">
        <v>278</v>
      </c>
      <c r="D731" s="68">
        <v>31</v>
      </c>
      <c r="F731" s="66" t="s">
        <v>746</v>
      </c>
      <c r="G731" s="67" t="s">
        <v>261</v>
      </c>
      <c r="H731" s="68">
        <v>24</v>
      </c>
      <c r="I731" s="70">
        <v>35</v>
      </c>
      <c r="J731" s="70">
        <v>-19</v>
      </c>
      <c r="K731" s="70">
        <v>-21</v>
      </c>
      <c r="L731" s="70">
        <v>28</v>
      </c>
      <c r="M731" s="70">
        <v>21</v>
      </c>
      <c r="N731" s="70">
        <v>4200</v>
      </c>
      <c r="O731" s="70">
        <v>18</v>
      </c>
      <c r="P731" s="71">
        <v>123</v>
      </c>
      <c r="Q731" s="71">
        <v>975</v>
      </c>
      <c r="R731" s="72">
        <v>1.1299999999999999</v>
      </c>
      <c r="S731" s="71">
        <v>1175</v>
      </c>
      <c r="T731" s="71">
        <v>260</v>
      </c>
      <c r="U731" s="73">
        <v>2.4</v>
      </c>
      <c r="V731" s="73">
        <v>0.6</v>
      </c>
      <c r="W731" s="72">
        <v>0.36</v>
      </c>
      <c r="X731" s="72">
        <v>0.54</v>
      </c>
      <c r="Y731" s="72">
        <v>0.25</v>
      </c>
      <c r="Z731" s="74">
        <v>0.13</v>
      </c>
      <c r="AA731" s="74">
        <v>6.7000000000000004E-2</v>
      </c>
      <c r="AB731" s="74">
        <v>1.7999999999999999E-2</v>
      </c>
      <c r="AC731" s="74">
        <v>0.14000000000000001</v>
      </c>
    </row>
    <row r="732" spans="2:29" x14ac:dyDescent="0.2">
      <c r="B732" s="66" t="s">
        <v>269</v>
      </c>
      <c r="C732" s="67" t="s">
        <v>270</v>
      </c>
      <c r="D732" s="68">
        <v>1</v>
      </c>
      <c r="F732" s="66" t="s">
        <v>698</v>
      </c>
      <c r="G732" s="67" t="s">
        <v>254</v>
      </c>
      <c r="H732" s="68">
        <v>15</v>
      </c>
      <c r="I732" s="70">
        <v>60</v>
      </c>
      <c r="J732" s="70">
        <v>-26</v>
      </c>
      <c r="K732" s="70">
        <v>-29</v>
      </c>
      <c r="L732" s="70">
        <v>30</v>
      </c>
      <c r="M732" s="70">
        <v>22</v>
      </c>
      <c r="N732" s="70">
        <v>5000</v>
      </c>
      <c r="O732" s="70">
        <v>23</v>
      </c>
      <c r="P732" s="71">
        <v>107</v>
      </c>
      <c r="Q732" s="71">
        <v>875</v>
      </c>
      <c r="R732" s="72">
        <v>0.99</v>
      </c>
      <c r="S732" s="71">
        <v>1100</v>
      </c>
      <c r="T732" s="71">
        <v>160</v>
      </c>
      <c r="U732" s="73">
        <v>3.1</v>
      </c>
      <c r="V732" s="73">
        <v>0.6</v>
      </c>
      <c r="W732" s="72">
        <v>0.27</v>
      </c>
      <c r="X732" s="72">
        <v>0.37</v>
      </c>
      <c r="Y732" s="72">
        <v>0.41</v>
      </c>
      <c r="Z732" s="74">
        <v>0.22</v>
      </c>
      <c r="AA732" s="74">
        <v>9.2999999999999999E-2</v>
      </c>
      <c r="AB732" s="74">
        <v>0.03</v>
      </c>
      <c r="AC732" s="74">
        <v>0.28000000000000003</v>
      </c>
    </row>
    <row r="733" spans="2:29" x14ac:dyDescent="0.2">
      <c r="B733" s="66" t="s">
        <v>526</v>
      </c>
      <c r="C733" s="67" t="s">
        <v>270</v>
      </c>
      <c r="D733" s="68">
        <v>2</v>
      </c>
      <c r="F733" s="66" t="s">
        <v>698</v>
      </c>
      <c r="G733" s="67" t="s">
        <v>264</v>
      </c>
      <c r="H733" s="68">
        <v>220</v>
      </c>
      <c r="I733" s="70">
        <v>300</v>
      </c>
      <c r="J733" s="70">
        <v>-18</v>
      </c>
      <c r="K733" s="70">
        <v>-20</v>
      </c>
      <c r="L733" s="70">
        <v>29</v>
      </c>
      <c r="M733" s="70">
        <v>23</v>
      </c>
      <c r="N733" s="70">
        <v>4100</v>
      </c>
      <c r="O733" s="70">
        <v>28</v>
      </c>
      <c r="P733" s="71">
        <v>113</v>
      </c>
      <c r="Q733" s="71">
        <v>830</v>
      </c>
      <c r="R733" s="72">
        <v>0.94</v>
      </c>
      <c r="S733" s="71">
        <v>930</v>
      </c>
      <c r="T733" s="71">
        <v>160</v>
      </c>
      <c r="U733" s="73">
        <v>1.9</v>
      </c>
      <c r="V733" s="73">
        <v>0.4</v>
      </c>
      <c r="W733" s="72">
        <v>0.31</v>
      </c>
      <c r="X733" s="72">
        <v>0.44</v>
      </c>
      <c r="Y733" s="72">
        <v>0.19</v>
      </c>
      <c r="Z733" s="74">
        <v>9.7000000000000003E-2</v>
      </c>
      <c r="AA733" s="74">
        <v>4.9000000000000002E-2</v>
      </c>
      <c r="AB733" s="74">
        <v>1.2999999999999999E-2</v>
      </c>
      <c r="AC733" s="74">
        <v>0.12</v>
      </c>
    </row>
    <row r="734" spans="2:29" x14ac:dyDescent="0.2">
      <c r="B734" s="66" t="s">
        <v>531</v>
      </c>
      <c r="C734" s="67" t="s">
        <v>270</v>
      </c>
      <c r="D734" s="68">
        <v>3</v>
      </c>
      <c r="F734" s="66" t="s">
        <v>942</v>
      </c>
      <c r="G734" s="67" t="s">
        <v>264</v>
      </c>
      <c r="H734" s="68">
        <v>221</v>
      </c>
      <c r="I734" s="70">
        <v>215</v>
      </c>
      <c r="J734" s="70">
        <v>-16</v>
      </c>
      <c r="K734" s="70">
        <v>-18</v>
      </c>
      <c r="L734" s="70">
        <v>31</v>
      </c>
      <c r="M734" s="70">
        <v>24</v>
      </c>
      <c r="N734" s="70">
        <v>3850</v>
      </c>
      <c r="O734" s="70">
        <v>25</v>
      </c>
      <c r="P734" s="71">
        <v>103</v>
      </c>
      <c r="Q734" s="71">
        <v>815</v>
      </c>
      <c r="R734" s="72">
        <v>0.92</v>
      </c>
      <c r="S734" s="71">
        <v>900</v>
      </c>
      <c r="T734" s="71">
        <v>180</v>
      </c>
      <c r="U734" s="73">
        <v>1.6</v>
      </c>
      <c r="V734" s="73">
        <v>0.4</v>
      </c>
      <c r="W734" s="72">
        <v>0.35</v>
      </c>
      <c r="X734" s="72">
        <v>0.47</v>
      </c>
      <c r="Y734" s="72">
        <v>0.15</v>
      </c>
      <c r="Z734" s="74">
        <v>7.9000000000000001E-2</v>
      </c>
      <c r="AA734" s="74">
        <v>4.2000000000000003E-2</v>
      </c>
      <c r="AB734" s="74">
        <v>1.0999999999999999E-2</v>
      </c>
      <c r="AC734" s="74">
        <v>8.7999999999999995E-2</v>
      </c>
    </row>
    <row r="735" spans="2:29" x14ac:dyDescent="0.2">
      <c r="B735" s="66" t="s">
        <v>946</v>
      </c>
      <c r="C735" s="67" t="s">
        <v>270</v>
      </c>
      <c r="D735" s="68">
        <v>4</v>
      </c>
      <c r="F735" s="66" t="s">
        <v>748</v>
      </c>
      <c r="G735" s="67" t="s">
        <v>261</v>
      </c>
      <c r="H735" s="68">
        <v>25</v>
      </c>
      <c r="I735" s="70">
        <v>10</v>
      </c>
      <c r="J735" s="70">
        <v>-13</v>
      </c>
      <c r="K735" s="70">
        <v>-15</v>
      </c>
      <c r="L735" s="70">
        <v>22</v>
      </c>
      <c r="M735" s="70">
        <v>19</v>
      </c>
      <c r="N735" s="70">
        <v>4100</v>
      </c>
      <c r="O735" s="70">
        <v>13</v>
      </c>
      <c r="P735" s="71">
        <v>150</v>
      </c>
      <c r="Q735" s="71">
        <v>1125</v>
      </c>
      <c r="R735" s="72">
        <v>1.32</v>
      </c>
      <c r="S735" s="71">
        <v>1260</v>
      </c>
      <c r="T735" s="71">
        <v>280</v>
      </c>
      <c r="U735" s="73">
        <v>1.8</v>
      </c>
      <c r="V735" s="73">
        <v>0.6</v>
      </c>
      <c r="W735" s="72">
        <v>0.41</v>
      </c>
      <c r="X735" s="72">
        <v>0.56000000000000005</v>
      </c>
      <c r="Y735" s="72">
        <v>0.23</v>
      </c>
      <c r="Z735" s="74">
        <v>0.13</v>
      </c>
      <c r="AA735" s="74">
        <v>6.8000000000000005E-2</v>
      </c>
      <c r="AB735" s="74">
        <v>1.7999999999999999E-2</v>
      </c>
      <c r="AC735" s="74">
        <v>0.12</v>
      </c>
    </row>
    <row r="736" spans="2:29" x14ac:dyDescent="0.2">
      <c r="B736" s="66" t="s">
        <v>967</v>
      </c>
      <c r="C736" s="67" t="s">
        <v>270</v>
      </c>
      <c r="D736" s="68">
        <v>5</v>
      </c>
      <c r="F736" s="66" t="s">
        <v>762</v>
      </c>
      <c r="G736" s="67" t="s">
        <v>265</v>
      </c>
      <c r="H736" s="68">
        <v>15</v>
      </c>
      <c r="I736" s="70">
        <v>160</v>
      </c>
      <c r="J736" s="70">
        <v>-43</v>
      </c>
      <c r="K736" s="70">
        <v>-45</v>
      </c>
      <c r="L736" s="70">
        <v>25</v>
      </c>
      <c r="M736" s="70">
        <v>17</v>
      </c>
      <c r="N736" s="70">
        <v>8500</v>
      </c>
      <c r="O736" s="70">
        <v>5</v>
      </c>
      <c r="P736" s="71">
        <v>60</v>
      </c>
      <c r="Q736" s="71">
        <v>175</v>
      </c>
      <c r="R736" s="72">
        <v>0.57999999999999996</v>
      </c>
      <c r="S736" s="71">
        <v>275</v>
      </c>
      <c r="T736" s="71">
        <v>100</v>
      </c>
      <c r="U736" s="73">
        <v>2.2000000000000002</v>
      </c>
      <c r="V736" s="73">
        <v>0.1</v>
      </c>
      <c r="W736" s="72">
        <v>0.34</v>
      </c>
      <c r="X736" s="72">
        <v>0.47</v>
      </c>
      <c r="Y736" s="72">
        <v>0.12</v>
      </c>
      <c r="Z736" s="74">
        <v>5.6000000000000001E-2</v>
      </c>
      <c r="AA736" s="74">
        <v>2.3E-2</v>
      </c>
      <c r="AB736" s="74">
        <v>6.0000000000000001E-3</v>
      </c>
      <c r="AC736" s="74">
        <v>5.8999999999999997E-2</v>
      </c>
    </row>
    <row r="737" spans="2:29" x14ac:dyDescent="0.2">
      <c r="B737" s="66" t="s">
        <v>978</v>
      </c>
      <c r="C737" s="67" t="s">
        <v>270</v>
      </c>
      <c r="D737" s="68">
        <v>6</v>
      </c>
      <c r="F737" s="66" t="s">
        <v>981</v>
      </c>
      <c r="G737" s="67" t="s">
        <v>278</v>
      </c>
      <c r="H737" s="68">
        <v>31</v>
      </c>
      <c r="I737" s="70">
        <v>510</v>
      </c>
      <c r="J737" s="70">
        <v>-34</v>
      </c>
      <c r="K737" s="70">
        <v>-37</v>
      </c>
      <c r="L737" s="70">
        <v>29</v>
      </c>
      <c r="M737" s="70">
        <v>21</v>
      </c>
      <c r="N737" s="70">
        <v>6150</v>
      </c>
      <c r="O737" s="70">
        <v>23</v>
      </c>
      <c r="P737" s="71">
        <v>97</v>
      </c>
      <c r="Q737" s="71">
        <v>350</v>
      </c>
      <c r="R737" s="72">
        <v>0.54</v>
      </c>
      <c r="S737" s="71">
        <v>440</v>
      </c>
      <c r="T737" s="71">
        <v>140</v>
      </c>
      <c r="U737" s="73">
        <v>1.7</v>
      </c>
      <c r="V737" s="73">
        <v>0.1</v>
      </c>
      <c r="W737" s="72">
        <v>0.32</v>
      </c>
      <c r="X737" s="72">
        <v>0.4</v>
      </c>
      <c r="Y737" s="72">
        <v>0.12</v>
      </c>
      <c r="Z737" s="74">
        <v>5.6000000000000001E-2</v>
      </c>
      <c r="AA737" s="74">
        <v>2.3E-2</v>
      </c>
      <c r="AB737" s="74">
        <v>6.0000000000000001E-3</v>
      </c>
      <c r="AC737" s="74">
        <v>5.8999999999999997E-2</v>
      </c>
    </row>
    <row r="738" spans="2:29" x14ac:dyDescent="0.2">
      <c r="B738" s="66" t="s">
        <v>980</v>
      </c>
      <c r="C738" s="67" t="s">
        <v>270</v>
      </c>
      <c r="D738" s="68">
        <v>7</v>
      </c>
      <c r="F738" s="66" t="s">
        <v>648</v>
      </c>
      <c r="G738" s="67" t="s">
        <v>224</v>
      </c>
      <c r="H738" s="68">
        <v>91</v>
      </c>
      <c r="I738" s="70">
        <v>200</v>
      </c>
      <c r="J738" s="70">
        <v>-5</v>
      </c>
      <c r="K738" s="70">
        <v>-7</v>
      </c>
      <c r="L738" s="70">
        <v>31</v>
      </c>
      <c r="M738" s="70">
        <v>19</v>
      </c>
      <c r="N738" s="70">
        <v>3200</v>
      </c>
      <c r="O738" s="70">
        <v>10</v>
      </c>
      <c r="P738" s="71">
        <v>161</v>
      </c>
      <c r="Q738" s="71">
        <v>2000</v>
      </c>
      <c r="R738" s="72">
        <v>2.09</v>
      </c>
      <c r="S738" s="71">
        <v>2100</v>
      </c>
      <c r="T738" s="71">
        <v>200</v>
      </c>
      <c r="U738" s="73">
        <v>3.9</v>
      </c>
      <c r="V738" s="73">
        <v>0.7</v>
      </c>
      <c r="W738" s="72">
        <v>0.46</v>
      </c>
      <c r="X738" s="72">
        <v>0.6</v>
      </c>
      <c r="Y738" s="72">
        <v>1</v>
      </c>
      <c r="Z738" s="74">
        <v>0.69</v>
      </c>
      <c r="AA738" s="74">
        <v>0.35</v>
      </c>
      <c r="AB738" s="74">
        <v>0.18</v>
      </c>
      <c r="AC738" s="74">
        <v>0.5</v>
      </c>
    </row>
  </sheetData>
  <sheetProtection selectLockedCells="1"/>
  <mergeCells count="24">
    <mergeCell ref="AI1:AM1"/>
    <mergeCell ref="B2:C4"/>
    <mergeCell ref="D2:D4"/>
    <mergeCell ref="F2:G4"/>
    <mergeCell ref="H2:H4"/>
    <mergeCell ref="B1:D1"/>
    <mergeCell ref="F1:AC1"/>
    <mergeCell ref="AE1:AE2"/>
    <mergeCell ref="AF1:AF2"/>
    <mergeCell ref="AG1:AG2"/>
    <mergeCell ref="Y2:AC3"/>
    <mergeCell ref="I2:I4"/>
    <mergeCell ref="J2:M2"/>
    <mergeCell ref="N2:N4"/>
    <mergeCell ref="O2:O4"/>
    <mergeCell ref="P2:P4"/>
    <mergeCell ref="T2:T4"/>
    <mergeCell ref="U2:V3"/>
    <mergeCell ref="W2:X3"/>
    <mergeCell ref="Q2:Q4"/>
    <mergeCell ref="J3:K3"/>
    <mergeCell ref="L3:M3"/>
    <mergeCell ref="R2:R4"/>
    <mergeCell ref="S2:S4"/>
  </mergeCells>
  <pageMargins left="0.75" right="0.75" top="1" bottom="1" header="0.5" footer="0.5"/>
  <pageSetup orientation="portrait" horizontalDpi="1200" verticalDpi="12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2:X74"/>
  <sheetViews>
    <sheetView workbookViewId="0"/>
  </sheetViews>
  <sheetFormatPr defaultRowHeight="12.75" x14ac:dyDescent="0.2"/>
  <cols>
    <col min="1" max="1" width="2.7109375" style="141" customWidth="1"/>
    <col min="2" max="2" width="10.5703125" style="1" bestFit="1" customWidth="1"/>
    <col min="3" max="3" width="10" style="1" bestFit="1" customWidth="1"/>
    <col min="4" max="4" width="10" style="142" bestFit="1" customWidth="1"/>
    <col min="5" max="5" width="5.7109375" style="142" bestFit="1" customWidth="1"/>
    <col min="6" max="10" width="5.7109375" style="142" customWidth="1"/>
    <col min="11" max="11" width="5.85546875" style="142" bestFit="1" customWidth="1"/>
    <col min="12" max="16" width="5.7109375" style="142" customWidth="1"/>
    <col min="17" max="17" width="3.28515625" style="1" bestFit="1" customWidth="1"/>
    <col min="18" max="18" width="14.28515625" style="1" customWidth="1"/>
    <col min="19" max="19" width="5.28515625" style="1" bestFit="1" customWidth="1"/>
    <col min="20" max="20" width="4.7109375" style="1" bestFit="1" customWidth="1"/>
    <col min="21" max="21" width="3.5703125" style="141" customWidth="1"/>
    <col min="22" max="16384" width="9.140625" style="141"/>
  </cols>
  <sheetData>
    <row r="2" spans="2:24" x14ac:dyDescent="0.2">
      <c r="B2" s="352" t="s">
        <v>76</v>
      </c>
      <c r="C2" s="352"/>
      <c r="D2" s="352"/>
      <c r="E2" s="393" t="s">
        <v>77</v>
      </c>
      <c r="F2" s="393"/>
      <c r="G2" s="393"/>
      <c r="H2" s="393"/>
      <c r="I2" s="393"/>
      <c r="J2" s="393"/>
      <c r="K2" s="138" t="s">
        <v>78</v>
      </c>
      <c r="L2" s="138" t="s">
        <v>79</v>
      </c>
      <c r="M2" s="393" t="s">
        <v>80</v>
      </c>
      <c r="N2" s="393"/>
      <c r="O2" s="393"/>
      <c r="P2" s="393"/>
      <c r="Q2" s="142"/>
      <c r="U2" s="1"/>
      <c r="V2" s="1"/>
    </row>
    <row r="3" spans="2:24" x14ac:dyDescent="0.2">
      <c r="B3" s="141"/>
      <c r="C3" s="141"/>
      <c r="D3" s="141"/>
      <c r="E3" s="141"/>
      <c r="F3" s="141"/>
      <c r="G3" s="141"/>
      <c r="H3" s="141"/>
      <c r="I3" s="141"/>
      <c r="J3" s="141"/>
      <c r="K3" s="141"/>
      <c r="L3" s="141"/>
      <c r="M3" s="141"/>
      <c r="N3" s="141"/>
      <c r="O3" s="141"/>
      <c r="P3" s="141"/>
      <c r="Q3" s="142"/>
      <c r="U3" s="1"/>
      <c r="V3" s="1"/>
    </row>
    <row r="4" spans="2:24" x14ac:dyDescent="0.2">
      <c r="B4" s="390" t="s">
        <v>1086</v>
      </c>
      <c r="C4" s="389"/>
      <c r="D4" s="389"/>
      <c r="E4" s="1" t="s">
        <v>24</v>
      </c>
      <c r="F4" s="383"/>
      <c r="G4" s="383"/>
      <c r="H4" s="383"/>
      <c r="I4" s="383"/>
      <c r="J4" s="383"/>
      <c r="K4" s="137">
        <f>_bldg_width</f>
        <v>10.972800000000001</v>
      </c>
      <c r="L4" s="142" t="s">
        <v>83</v>
      </c>
      <c r="M4" s="394" t="s">
        <v>82</v>
      </c>
      <c r="N4" s="394"/>
      <c r="O4" s="383"/>
      <c r="P4" s="383"/>
      <c r="Q4" s="142"/>
      <c r="U4" s="1"/>
      <c r="V4" s="1"/>
      <c r="W4" s="1"/>
      <c r="X4" s="1"/>
    </row>
    <row r="5" spans="2:24" x14ac:dyDescent="0.2">
      <c r="B5" s="390" t="s">
        <v>1087</v>
      </c>
      <c r="C5" s="390"/>
      <c r="D5" s="390"/>
      <c r="E5" s="142" t="s">
        <v>20</v>
      </c>
      <c r="F5" s="383"/>
      <c r="G5" s="383"/>
      <c r="H5" s="383"/>
      <c r="I5" s="383"/>
      <c r="J5" s="383"/>
      <c r="K5" s="137">
        <f>_bldg_length</f>
        <v>27.432000000000002</v>
      </c>
      <c r="L5" s="142" t="s">
        <v>83</v>
      </c>
      <c r="M5" s="394" t="s">
        <v>82</v>
      </c>
      <c r="N5" s="394"/>
      <c r="O5" s="383"/>
      <c r="P5" s="383"/>
      <c r="Q5" s="142"/>
      <c r="U5" s="1"/>
      <c r="V5" s="1"/>
      <c r="W5" s="1"/>
      <c r="X5" s="1"/>
    </row>
    <row r="6" spans="2:24" ht="15.75" x14ac:dyDescent="0.2">
      <c r="B6" s="389" t="s">
        <v>84</v>
      </c>
      <c r="C6" s="390"/>
      <c r="D6" s="390"/>
      <c r="E6" s="1" t="s">
        <v>1052</v>
      </c>
      <c r="F6" s="383"/>
      <c r="G6" s="383"/>
      <c r="H6" s="383"/>
      <c r="I6" s="383"/>
      <c r="J6" s="383"/>
      <c r="K6" s="137">
        <f>_bldg_height_wall</f>
        <v>1.524</v>
      </c>
      <c r="L6" s="142" t="s">
        <v>83</v>
      </c>
      <c r="M6" s="398" t="s">
        <v>82</v>
      </c>
      <c r="N6" s="398"/>
      <c r="O6" s="179"/>
      <c r="P6" s="179"/>
      <c r="Q6" s="142"/>
      <c r="U6" s="1"/>
      <c r="V6" s="1"/>
      <c r="W6" s="1"/>
      <c r="X6" s="1"/>
    </row>
    <row r="7" spans="2:24" ht="15.75" x14ac:dyDescent="0.2">
      <c r="B7" s="390" t="s">
        <v>1149</v>
      </c>
      <c r="C7" s="390"/>
      <c r="D7" s="390"/>
      <c r="E7" s="1" t="s">
        <v>89</v>
      </c>
      <c r="F7" s="379" t="s">
        <v>1145</v>
      </c>
      <c r="G7" s="378"/>
      <c r="H7" s="378"/>
      <c r="I7" s="378"/>
      <c r="J7" s="378"/>
      <c r="K7" s="137">
        <f>_bldg_height_wall+_bldg_height_truss</f>
        <v>3.25895201547478</v>
      </c>
      <c r="L7" s="142" t="s">
        <v>83</v>
      </c>
      <c r="M7" s="394" t="s">
        <v>82</v>
      </c>
      <c r="N7" s="394"/>
      <c r="O7" s="395"/>
      <c r="P7" s="395"/>
      <c r="Q7" s="142"/>
      <c r="U7" s="1"/>
      <c r="V7" s="1"/>
      <c r="W7" s="1"/>
      <c r="X7" s="1"/>
    </row>
    <row r="8" spans="2:24" ht="15.75" x14ac:dyDescent="0.2">
      <c r="B8" s="396" t="s">
        <v>86</v>
      </c>
      <c r="C8" s="397"/>
      <c r="D8" s="397"/>
      <c r="E8" s="98" t="s">
        <v>1074</v>
      </c>
      <c r="F8" s="383"/>
      <c r="G8" s="383"/>
      <c r="H8" s="383"/>
      <c r="I8" s="383"/>
      <c r="J8" s="383"/>
      <c r="K8" s="137">
        <f>_bldg_theta</f>
        <v>18.43494882292201</v>
      </c>
      <c r="L8" s="142" t="s">
        <v>87</v>
      </c>
      <c r="M8" s="394" t="s">
        <v>82</v>
      </c>
      <c r="N8" s="394"/>
      <c r="O8" s="383"/>
      <c r="P8" s="383"/>
      <c r="Q8" s="142"/>
      <c r="T8" s="4"/>
      <c r="U8" s="1"/>
      <c r="V8" s="1"/>
      <c r="W8" s="1"/>
      <c r="X8" s="1"/>
    </row>
    <row r="9" spans="2:24" ht="15.75" x14ac:dyDescent="0.2">
      <c r="B9" s="389" t="s">
        <v>88</v>
      </c>
      <c r="C9" s="390"/>
      <c r="D9" s="390"/>
      <c r="E9" s="1" t="s">
        <v>85</v>
      </c>
      <c r="F9" s="379" t="s">
        <v>1148</v>
      </c>
      <c r="G9" s="378"/>
      <c r="H9" s="378"/>
      <c r="I9" s="378"/>
      <c r="J9" s="378"/>
      <c r="K9" s="2">
        <f>AVERAGE(_bldg_height_wall,_bldg_height_wall+_bldg_height_truss)</f>
        <v>2.3914760077373902</v>
      </c>
      <c r="L9" s="142" t="s">
        <v>83</v>
      </c>
      <c r="M9" s="394" t="s">
        <v>90</v>
      </c>
      <c r="N9" s="394"/>
      <c r="O9" s="394" t="s">
        <v>91</v>
      </c>
      <c r="P9" s="394"/>
      <c r="Q9" s="142"/>
      <c r="U9" s="1"/>
      <c r="V9" s="1"/>
      <c r="W9" s="1"/>
      <c r="X9" s="1"/>
    </row>
    <row r="10" spans="2:24" ht="15.75" x14ac:dyDescent="0.2">
      <c r="B10" s="389" t="s">
        <v>92</v>
      </c>
      <c r="C10" s="390"/>
      <c r="D10" s="390"/>
      <c r="E10" s="142" t="s">
        <v>93</v>
      </c>
      <c r="F10" s="379" t="s">
        <v>1143</v>
      </c>
      <c r="G10" s="380"/>
      <c r="H10" s="380"/>
      <c r="I10" s="380"/>
      <c r="J10" s="380"/>
      <c r="K10" s="2">
        <f>MIN(_bldg_length,_bldg_width)</f>
        <v>10.972800000000001</v>
      </c>
      <c r="L10" s="142" t="s">
        <v>83</v>
      </c>
      <c r="M10" s="399" t="s">
        <v>90</v>
      </c>
      <c r="N10" s="399"/>
      <c r="O10" s="399" t="s">
        <v>94</v>
      </c>
      <c r="P10" s="399"/>
      <c r="Q10" s="142"/>
    </row>
    <row r="11" spans="2:24" ht="15.75" x14ac:dyDescent="0.2">
      <c r="B11" s="389" t="s">
        <v>95</v>
      </c>
      <c r="C11" s="390"/>
      <c r="D11" s="390"/>
      <c r="E11" s="400" t="s">
        <v>1146</v>
      </c>
      <c r="F11" s="400"/>
      <c r="G11" s="400"/>
      <c r="H11" s="400"/>
      <c r="I11" s="400"/>
      <c r="J11" s="400"/>
      <c r="K11" s="392" t="b">
        <f>IF(_bldg_height_wall/K10&lt;1,TRUE,FALSE)</f>
        <v>1</v>
      </c>
      <c r="L11" s="392"/>
      <c r="M11" s="399"/>
      <c r="N11" s="399"/>
      <c r="O11" s="399"/>
      <c r="P11" s="399"/>
      <c r="Q11" s="142"/>
      <c r="R11" s="3"/>
      <c r="S11" s="3"/>
      <c r="T11" s="3"/>
    </row>
    <row r="12" spans="2:24" ht="15.75" x14ac:dyDescent="0.2">
      <c r="B12" s="390"/>
      <c r="C12" s="390"/>
      <c r="D12" s="390"/>
      <c r="E12" s="384" t="s">
        <v>1147</v>
      </c>
      <c r="F12" s="400"/>
      <c r="G12" s="400"/>
      <c r="H12" s="400"/>
      <c r="I12" s="400"/>
      <c r="J12" s="400"/>
      <c r="K12" s="392" t="b">
        <f>IF(_bldg_height_wall&lt;=20,TRUE,FALSE)</f>
        <v>1</v>
      </c>
      <c r="L12" s="392"/>
      <c r="M12" s="399"/>
      <c r="N12" s="399"/>
      <c r="O12" s="399"/>
      <c r="P12" s="399"/>
      <c r="Q12" s="142"/>
      <c r="R12" s="3"/>
      <c r="S12" s="3"/>
      <c r="T12" s="3"/>
    </row>
    <row r="13" spans="2:24" ht="15.75" x14ac:dyDescent="0.2">
      <c r="B13" s="378" t="s">
        <v>96</v>
      </c>
      <c r="C13" s="356"/>
      <c r="D13" s="356"/>
      <c r="E13" s="384" t="s">
        <v>97</v>
      </c>
      <c r="F13" s="391">
        <v>3</v>
      </c>
      <c r="G13" s="391"/>
      <c r="H13" s="391"/>
      <c r="I13" s="391"/>
      <c r="J13" s="391"/>
      <c r="K13" s="180"/>
      <c r="L13" s="180"/>
      <c r="M13" s="394" t="s">
        <v>90</v>
      </c>
      <c r="N13" s="394"/>
      <c r="O13" s="394" t="s">
        <v>99</v>
      </c>
      <c r="P13" s="394"/>
      <c r="Q13" s="142"/>
      <c r="R13" s="401" t="s">
        <v>1154</v>
      </c>
      <c r="S13" s="403" t="s">
        <v>97</v>
      </c>
      <c r="T13" s="403"/>
    </row>
    <row r="14" spans="2:24" ht="13.5" thickBot="1" x14ac:dyDescent="0.25">
      <c r="B14" s="356"/>
      <c r="C14" s="356"/>
      <c r="D14" s="356"/>
      <c r="E14" s="384"/>
      <c r="F14" s="378" t="s">
        <v>100</v>
      </c>
      <c r="G14" s="378"/>
      <c r="H14" s="378"/>
      <c r="I14" s="378"/>
      <c r="J14" s="378"/>
      <c r="K14" s="5">
        <f>INDEX(S15:S17,$F$13)</f>
        <v>-0.7</v>
      </c>
      <c r="L14" s="180"/>
      <c r="M14" s="394"/>
      <c r="N14" s="394"/>
      <c r="O14" s="394"/>
      <c r="P14" s="394"/>
      <c r="Q14" s="142"/>
      <c r="R14" s="402"/>
      <c r="S14" s="166" t="s">
        <v>142</v>
      </c>
      <c r="T14" s="166" t="s">
        <v>143</v>
      </c>
    </row>
    <row r="15" spans="2:24" x14ac:dyDescent="0.2">
      <c r="B15" s="356"/>
      <c r="C15" s="356"/>
      <c r="D15" s="356"/>
      <c r="E15" s="384"/>
      <c r="F15" s="378" t="s">
        <v>101</v>
      </c>
      <c r="G15" s="378"/>
      <c r="H15" s="378"/>
      <c r="I15" s="378"/>
      <c r="J15" s="378"/>
      <c r="K15" s="5">
        <f>INDEX(T15:T17,$F$13)</f>
        <v>0.7</v>
      </c>
      <c r="L15" s="180"/>
      <c r="M15" s="394"/>
      <c r="N15" s="394"/>
      <c r="O15" s="394"/>
      <c r="P15" s="394"/>
      <c r="Q15" s="142"/>
      <c r="R15" s="167" t="s">
        <v>1155</v>
      </c>
      <c r="S15" s="168">
        <v>-0.15</v>
      </c>
      <c r="T15" s="169">
        <v>0</v>
      </c>
    </row>
    <row r="16" spans="2:24" ht="15" x14ac:dyDescent="0.2">
      <c r="B16" s="378" t="s">
        <v>102</v>
      </c>
      <c r="C16" s="356"/>
      <c r="D16" s="356"/>
      <c r="E16" s="1" t="s">
        <v>1040</v>
      </c>
      <c r="F16" s="388"/>
      <c r="G16" s="388"/>
      <c r="H16" s="388"/>
      <c r="I16" s="388"/>
      <c r="J16" s="388"/>
      <c r="K16" s="143">
        <f>_load_I</f>
        <v>0.8</v>
      </c>
      <c r="L16" s="180"/>
      <c r="M16" s="378" t="s">
        <v>90</v>
      </c>
      <c r="N16" s="378"/>
      <c r="O16" s="378" t="s">
        <v>103</v>
      </c>
      <c r="P16" s="378"/>
      <c r="Q16" s="142"/>
      <c r="R16" s="170" t="s">
        <v>1156</v>
      </c>
      <c r="S16" s="171">
        <v>-0.45</v>
      </c>
      <c r="T16" s="172">
        <v>0.3</v>
      </c>
    </row>
    <row r="17" spans="2:21" ht="13.5" thickBot="1" x14ac:dyDescent="0.25">
      <c r="B17" s="356" t="s">
        <v>104</v>
      </c>
      <c r="C17" s="356"/>
      <c r="D17" s="356"/>
      <c r="E17" s="142" t="s">
        <v>19</v>
      </c>
      <c r="F17" s="383"/>
      <c r="G17" s="383"/>
      <c r="H17" s="383"/>
      <c r="I17" s="383"/>
      <c r="J17" s="383"/>
      <c r="K17" s="143">
        <f>_load_q</f>
        <v>0.31</v>
      </c>
      <c r="L17" s="142" t="s">
        <v>105</v>
      </c>
      <c r="M17" s="378" t="s">
        <v>90</v>
      </c>
      <c r="N17" s="378"/>
      <c r="O17" s="378" t="s">
        <v>106</v>
      </c>
      <c r="P17" s="378"/>
      <c r="Q17" s="142"/>
      <c r="R17" s="173" t="s">
        <v>98</v>
      </c>
      <c r="S17" s="174">
        <v>-0.7</v>
      </c>
      <c r="T17" s="175">
        <v>0.7</v>
      </c>
    </row>
    <row r="18" spans="2:21" ht="15" x14ac:dyDescent="0.2">
      <c r="B18" s="378" t="s">
        <v>107</v>
      </c>
      <c r="C18" s="356"/>
      <c r="D18" s="356"/>
      <c r="E18" s="384" t="s">
        <v>108</v>
      </c>
      <c r="F18" s="385"/>
      <c r="G18" s="385"/>
      <c r="H18" s="385"/>
      <c r="I18" s="385"/>
      <c r="J18" s="385"/>
      <c r="K18" s="386">
        <f>CHOOSE('NBCC_G-1'!$D$12,MAX(0.7*(K9/12)^0.3,0.7),MAX((K9/10)^0.2,0.9),MAX((K9/10)^0.2,0.9))</f>
        <v>0.9</v>
      </c>
      <c r="L18" s="387"/>
      <c r="M18" s="378" t="s">
        <v>90</v>
      </c>
      <c r="N18" s="378"/>
      <c r="O18" s="378" t="s">
        <v>109</v>
      </c>
      <c r="P18" s="378"/>
      <c r="Q18" s="142"/>
      <c r="R18" s="3"/>
      <c r="S18" s="3"/>
    </row>
    <row r="19" spans="2:21" x14ac:dyDescent="0.2">
      <c r="B19" s="356"/>
      <c r="C19" s="356"/>
      <c r="D19" s="356"/>
      <c r="E19" s="384"/>
      <c r="F19" s="381" t="s">
        <v>1168</v>
      </c>
      <c r="G19" s="382"/>
      <c r="H19" s="382"/>
      <c r="I19" s="382"/>
      <c r="J19" s="382"/>
      <c r="K19" s="386"/>
      <c r="L19" s="387"/>
      <c r="M19" s="378"/>
      <c r="N19" s="378"/>
      <c r="O19" s="378"/>
      <c r="P19" s="378"/>
      <c r="Q19" s="142"/>
      <c r="R19" s="176"/>
      <c r="S19" s="3"/>
    </row>
    <row r="20" spans="2:21" x14ac:dyDescent="0.2">
      <c r="B20" s="356"/>
      <c r="C20" s="356"/>
      <c r="D20" s="356"/>
      <c r="E20" s="384"/>
      <c r="F20" s="382"/>
      <c r="G20" s="382"/>
      <c r="H20" s="382"/>
      <c r="I20" s="382"/>
      <c r="J20" s="382"/>
      <c r="K20" s="386"/>
      <c r="L20" s="387"/>
      <c r="M20" s="378"/>
      <c r="N20" s="378"/>
      <c r="O20" s="378"/>
      <c r="P20" s="378"/>
      <c r="Q20" s="142"/>
      <c r="R20" s="143"/>
      <c r="S20" s="3"/>
    </row>
    <row r="21" spans="2:21" ht="15.75" x14ac:dyDescent="0.2">
      <c r="B21" s="378" t="s">
        <v>110</v>
      </c>
      <c r="C21" s="378"/>
      <c r="D21" s="140" t="s">
        <v>111</v>
      </c>
      <c r="E21" s="142" t="s">
        <v>112</v>
      </c>
      <c r="F21" s="383"/>
      <c r="G21" s="383"/>
      <c r="H21" s="383"/>
      <c r="I21" s="383"/>
      <c r="J21" s="383"/>
      <c r="K21" s="137">
        <f>inputs!K61</f>
        <v>2</v>
      </c>
      <c r="L21" s="180"/>
      <c r="M21" s="378" t="s">
        <v>90</v>
      </c>
      <c r="N21" s="378"/>
      <c r="O21" s="378" t="s">
        <v>113</v>
      </c>
      <c r="P21" s="378"/>
      <c r="Q21" s="142"/>
      <c r="R21" s="143"/>
      <c r="S21" s="3"/>
    </row>
    <row r="22" spans="2:21" ht="15.75" x14ac:dyDescent="0.2">
      <c r="B22" s="378"/>
      <c r="C22" s="378"/>
      <c r="D22" s="140" t="s">
        <v>114</v>
      </c>
      <c r="E22" s="142" t="s">
        <v>115</v>
      </c>
      <c r="F22" s="383"/>
      <c r="G22" s="383"/>
      <c r="H22" s="383"/>
      <c r="I22" s="383"/>
      <c r="J22" s="383"/>
      <c r="K22" s="137">
        <f>inputs!K62</f>
        <v>2</v>
      </c>
      <c r="L22" s="180"/>
      <c r="M22" s="378"/>
      <c r="N22" s="378"/>
      <c r="O22" s="378"/>
      <c r="P22" s="378"/>
      <c r="Q22" s="142"/>
      <c r="R22" s="3"/>
      <c r="S22" s="3"/>
    </row>
    <row r="23" spans="2:21" ht="15.75" x14ac:dyDescent="0.2">
      <c r="B23" s="378" t="s">
        <v>116</v>
      </c>
      <c r="C23" s="356"/>
      <c r="D23" s="356"/>
      <c r="E23" s="142" t="s">
        <v>117</v>
      </c>
      <c r="F23" s="379" t="s">
        <v>1151</v>
      </c>
      <c r="G23" s="380"/>
      <c r="H23" s="380"/>
      <c r="I23" s="380"/>
      <c r="J23" s="380"/>
      <c r="K23" s="180"/>
      <c r="L23" s="142" t="s">
        <v>105</v>
      </c>
      <c r="M23" s="378" t="s">
        <v>90</v>
      </c>
      <c r="N23" s="378"/>
      <c r="O23" s="378" t="s">
        <v>118</v>
      </c>
      <c r="P23" s="378"/>
      <c r="Q23" s="142"/>
      <c r="R23" s="3"/>
      <c r="S23" s="3"/>
    </row>
    <row r="24" spans="2:21" ht="15.75" x14ac:dyDescent="0.2">
      <c r="B24" s="378" t="s">
        <v>119</v>
      </c>
      <c r="C24" s="356"/>
      <c r="D24" s="356"/>
      <c r="E24" s="142" t="s">
        <v>120</v>
      </c>
      <c r="F24" s="379" t="s">
        <v>1152</v>
      </c>
      <c r="G24" s="380"/>
      <c r="H24" s="380"/>
      <c r="I24" s="380"/>
      <c r="J24" s="380"/>
      <c r="K24" s="180"/>
      <c r="L24" s="142" t="s">
        <v>105</v>
      </c>
      <c r="M24" s="378" t="s">
        <v>90</v>
      </c>
      <c r="N24" s="378"/>
      <c r="O24" s="378" t="s">
        <v>121</v>
      </c>
      <c r="P24" s="378"/>
      <c r="Q24" s="142"/>
      <c r="R24" s="3"/>
      <c r="S24" s="3"/>
      <c r="T24" s="141"/>
      <c r="U24" s="1"/>
    </row>
    <row r="25" spans="2:21" x14ac:dyDescent="0.2">
      <c r="B25" s="141"/>
      <c r="C25" s="141"/>
      <c r="D25" s="141"/>
      <c r="F25" s="139"/>
      <c r="G25" s="139"/>
      <c r="H25" s="139"/>
      <c r="M25" s="140"/>
      <c r="N25" s="140"/>
      <c r="O25" s="140"/>
      <c r="P25" s="140"/>
      <c r="Q25" s="142"/>
      <c r="R25" s="141"/>
      <c r="S25" s="141"/>
      <c r="T25" s="141"/>
      <c r="U25" s="1"/>
    </row>
    <row r="26" spans="2:21" ht="15.75" x14ac:dyDescent="0.2">
      <c r="B26" s="364" t="s">
        <v>1085</v>
      </c>
      <c r="C26" s="358"/>
      <c r="D26" s="358"/>
      <c r="E26" s="358"/>
      <c r="F26" s="358"/>
      <c r="G26" s="358"/>
      <c r="H26" s="359"/>
      <c r="I26"/>
      <c r="J26"/>
      <c r="K26"/>
      <c r="L26"/>
      <c r="M26"/>
      <c r="N26"/>
      <c r="O26"/>
      <c r="P26"/>
      <c r="Q26" s="142"/>
      <c r="T26" s="141"/>
      <c r="U26" s="1"/>
    </row>
    <row r="27" spans="2:21" x14ac:dyDescent="0.2">
      <c r="B27" s="368" t="s">
        <v>123</v>
      </c>
      <c r="C27" s="369" t="s">
        <v>124</v>
      </c>
      <c r="D27" s="362" t="s">
        <v>1150</v>
      </c>
      <c r="E27" s="370" t="s">
        <v>125</v>
      </c>
      <c r="F27" s="371"/>
      <c r="G27" s="371"/>
      <c r="H27" s="372"/>
      <c r="I27"/>
      <c r="J27"/>
      <c r="K27"/>
      <c r="L27"/>
      <c r="M27"/>
      <c r="N27"/>
      <c r="O27"/>
      <c r="P27"/>
      <c r="Q27" s="142"/>
      <c r="T27" s="141"/>
      <c r="U27" s="1"/>
    </row>
    <row r="28" spans="2:21" ht="12.75" customHeight="1" x14ac:dyDescent="0.2">
      <c r="B28" s="368"/>
      <c r="C28" s="369"/>
      <c r="D28" s="361"/>
      <c r="E28" s="373"/>
      <c r="F28" s="374"/>
      <c r="G28" s="374"/>
      <c r="H28" s="375"/>
      <c r="I28"/>
      <c r="J28"/>
      <c r="K28"/>
      <c r="L28"/>
      <c r="M28"/>
      <c r="N28"/>
      <c r="O28"/>
      <c r="P28"/>
      <c r="Q28" s="142"/>
      <c r="U28" s="1"/>
    </row>
    <row r="29" spans="2:21" x14ac:dyDescent="0.2">
      <c r="B29" s="1">
        <v>1</v>
      </c>
      <c r="C29" s="141" t="s">
        <v>126</v>
      </c>
      <c r="D29" s="141" t="s">
        <v>126</v>
      </c>
      <c r="E29" s="376">
        <f>_Cpimin*_Cgi</f>
        <v>-1.4</v>
      </c>
      <c r="F29" s="376"/>
      <c r="G29" s="376"/>
      <c r="H29" s="376"/>
      <c r="I29"/>
      <c r="J29"/>
      <c r="K29"/>
      <c r="L29"/>
      <c r="M29"/>
      <c r="N29"/>
      <c r="O29"/>
      <c r="P29"/>
      <c r="Q29" s="142"/>
      <c r="S29" s="140"/>
      <c r="T29" s="141"/>
      <c r="U29" s="1"/>
    </row>
    <row r="30" spans="2:21" x14ac:dyDescent="0.2">
      <c r="B30" s="1">
        <v>2</v>
      </c>
      <c r="C30" s="141" t="s">
        <v>126</v>
      </c>
      <c r="D30" s="141" t="s">
        <v>126</v>
      </c>
      <c r="E30" s="377">
        <f>_Cpimax*_Cgi</f>
        <v>1.4</v>
      </c>
      <c r="F30" s="377"/>
      <c r="G30" s="377"/>
      <c r="H30" s="377"/>
      <c r="I30"/>
      <c r="J30"/>
      <c r="K30"/>
      <c r="L30"/>
      <c r="M30"/>
      <c r="N30"/>
      <c r="O30"/>
      <c r="P30"/>
      <c r="Q30" s="142"/>
      <c r="S30" s="140"/>
      <c r="T30" s="141"/>
      <c r="U30" s="1"/>
    </row>
    <row r="31" spans="2:21" x14ac:dyDescent="0.2">
      <c r="Q31" s="141"/>
      <c r="R31" s="141"/>
      <c r="S31" s="141"/>
      <c r="T31" s="141"/>
    </row>
    <row r="32" spans="2:21" ht="15.75" x14ac:dyDescent="0.2">
      <c r="B32" s="352" t="s">
        <v>127</v>
      </c>
      <c r="C32" s="352"/>
      <c r="D32" s="352"/>
      <c r="E32" s="352"/>
      <c r="F32" s="352"/>
      <c r="G32" s="352"/>
      <c r="H32" s="352"/>
      <c r="I32" s="352"/>
      <c r="J32" s="352"/>
      <c r="K32" s="352"/>
      <c r="L32" s="352"/>
      <c r="M32" s="352"/>
      <c r="N32" s="352"/>
      <c r="O32" s="352"/>
      <c r="P32" s="352"/>
      <c r="Q32" s="141"/>
      <c r="R32" s="352" t="s">
        <v>144</v>
      </c>
      <c r="S32" s="352"/>
      <c r="T32" s="352"/>
    </row>
    <row r="33" spans="2:20" x14ac:dyDescent="0.2">
      <c r="B33" s="368" t="s">
        <v>123</v>
      </c>
      <c r="C33" s="362" t="s">
        <v>124</v>
      </c>
      <c r="D33" s="362" t="s">
        <v>1150</v>
      </c>
      <c r="E33" s="352" t="s">
        <v>128</v>
      </c>
      <c r="F33" s="352"/>
      <c r="G33" s="352"/>
      <c r="H33" s="352"/>
      <c r="I33" s="352"/>
      <c r="J33" s="352"/>
      <c r="K33" s="352"/>
      <c r="L33" s="352"/>
      <c r="M33" s="352"/>
      <c r="N33" s="352"/>
      <c r="O33" s="352"/>
      <c r="P33" s="352"/>
      <c r="Q33" s="141"/>
      <c r="R33" s="355" t="s">
        <v>145</v>
      </c>
      <c r="S33" s="355"/>
      <c r="T33" s="144">
        <v>1</v>
      </c>
    </row>
    <row r="34" spans="2:20" x14ac:dyDescent="0.2">
      <c r="B34" s="368"/>
      <c r="C34" s="363"/>
      <c r="D34" s="361"/>
      <c r="E34" s="6">
        <v>1</v>
      </c>
      <c r="F34" s="6" t="s">
        <v>129</v>
      </c>
      <c r="G34" s="6">
        <v>2</v>
      </c>
      <c r="H34" s="6" t="s">
        <v>130</v>
      </c>
      <c r="I34" s="6">
        <v>3</v>
      </c>
      <c r="J34" s="6" t="s">
        <v>131</v>
      </c>
      <c r="K34" s="6">
        <v>4</v>
      </c>
      <c r="L34" s="6" t="s">
        <v>132</v>
      </c>
      <c r="M34" s="6">
        <v>5</v>
      </c>
      <c r="N34" s="6" t="s">
        <v>133</v>
      </c>
      <c r="O34" s="6">
        <v>6</v>
      </c>
      <c r="P34" s="6" t="s">
        <v>134</v>
      </c>
      <c r="Q34" s="141"/>
      <c r="R34" s="356" t="s">
        <v>1188</v>
      </c>
      <c r="S34" s="356"/>
      <c r="T34" s="1" t="s">
        <v>129</v>
      </c>
    </row>
    <row r="35" spans="2:20" x14ac:dyDescent="0.2">
      <c r="B35" s="353" t="s">
        <v>135</v>
      </c>
      <c r="C35" s="355" t="s">
        <v>136</v>
      </c>
      <c r="D35" s="141" t="s">
        <v>137</v>
      </c>
      <c r="E35" s="7">
        <v>0.75</v>
      </c>
      <c r="F35" s="7">
        <v>1.1499999999999999</v>
      </c>
      <c r="G35" s="7">
        <v>-1.3</v>
      </c>
      <c r="H35" s="7">
        <v>-2</v>
      </c>
      <c r="I35" s="7">
        <v>-0.7</v>
      </c>
      <c r="J35" s="7">
        <v>-1</v>
      </c>
      <c r="K35" s="7">
        <v>-0.55000000000000004</v>
      </c>
      <c r="L35" s="7">
        <v>-0.8</v>
      </c>
      <c r="M35" s="181"/>
      <c r="N35" s="181"/>
      <c r="O35" s="181"/>
      <c r="P35" s="181"/>
      <c r="Q35" s="141"/>
      <c r="R35" s="356" t="s">
        <v>146</v>
      </c>
      <c r="S35" s="356"/>
      <c r="T35" s="1">
        <v>2</v>
      </c>
    </row>
    <row r="36" spans="2:20" x14ac:dyDescent="0.2">
      <c r="B36" s="354"/>
      <c r="C36" s="356"/>
      <c r="D36" s="141" t="s">
        <v>138</v>
      </c>
      <c r="E36" s="7">
        <v>1</v>
      </c>
      <c r="F36" s="7">
        <v>1.5</v>
      </c>
      <c r="G36" s="7">
        <v>-1.3</v>
      </c>
      <c r="H36" s="7">
        <v>-2</v>
      </c>
      <c r="I36" s="7">
        <v>-0.9</v>
      </c>
      <c r="J36" s="7">
        <v>-1.3</v>
      </c>
      <c r="K36" s="7">
        <v>-0.8</v>
      </c>
      <c r="L36" s="7">
        <v>-1.2</v>
      </c>
      <c r="M36" s="181"/>
      <c r="N36" s="181"/>
      <c r="O36" s="181"/>
      <c r="P36" s="181"/>
      <c r="Q36" s="141"/>
      <c r="R36" s="356" t="s">
        <v>1187</v>
      </c>
      <c r="S36" s="356"/>
      <c r="T36" s="1" t="s">
        <v>130</v>
      </c>
    </row>
    <row r="37" spans="2:20" x14ac:dyDescent="0.2">
      <c r="B37" s="354"/>
      <c r="C37" s="356"/>
      <c r="D37" s="141" t="s">
        <v>139</v>
      </c>
      <c r="E37" s="7">
        <v>1.05</v>
      </c>
      <c r="F37" s="7">
        <v>1.3</v>
      </c>
      <c r="G37" s="7">
        <v>0.4</v>
      </c>
      <c r="H37" s="7">
        <v>0.5</v>
      </c>
      <c r="I37" s="7">
        <v>-0.8</v>
      </c>
      <c r="J37" s="7">
        <v>-1</v>
      </c>
      <c r="K37" s="7">
        <v>-0.7</v>
      </c>
      <c r="L37" s="7">
        <v>-0.9</v>
      </c>
      <c r="M37" s="181"/>
      <c r="N37" s="181"/>
      <c r="O37" s="181"/>
      <c r="P37" s="181"/>
      <c r="Q37" s="141"/>
      <c r="R37" s="356" t="s">
        <v>147</v>
      </c>
      <c r="S37" s="356"/>
      <c r="T37" s="1">
        <v>3</v>
      </c>
    </row>
    <row r="38" spans="2:20" x14ac:dyDescent="0.2">
      <c r="B38" s="354"/>
      <c r="C38" s="356"/>
      <c r="D38" s="141" t="s">
        <v>140</v>
      </c>
      <c r="E38" s="7">
        <v>1.05</v>
      </c>
      <c r="F38" s="7">
        <v>1.3</v>
      </c>
      <c r="G38" s="7">
        <v>1.05</v>
      </c>
      <c r="H38" s="7">
        <v>1.3</v>
      </c>
      <c r="I38" s="7">
        <v>-0.7</v>
      </c>
      <c r="J38" s="7">
        <v>-0.9</v>
      </c>
      <c r="K38" s="7">
        <v>-0.7</v>
      </c>
      <c r="L38" s="7">
        <v>-0.9</v>
      </c>
      <c r="M38" s="181"/>
      <c r="N38" s="181"/>
      <c r="O38" s="181"/>
      <c r="P38" s="181"/>
      <c r="Q38" s="141"/>
      <c r="R38" s="356" t="s">
        <v>1186</v>
      </c>
      <c r="S38" s="356"/>
      <c r="T38" s="1" t="s">
        <v>131</v>
      </c>
    </row>
    <row r="39" spans="2:20" x14ac:dyDescent="0.2">
      <c r="B39" s="354"/>
      <c r="C39" s="356"/>
      <c r="D39" s="8">
        <f>_bldg_theta</f>
        <v>18.43494882292201</v>
      </c>
      <c r="E39" s="9">
        <f t="shared" ref="E39:L39" si="0">IF(_bldg_theta=90,E38,IF($D39&gt;45,(E38-E37)*(_bldg_theta-45)/(90-45)+E37,IF(_bldg_theta&gt;=30,E37,IF(_bldg_theta&gt;20,(E37-E36)*(_bldg_theta-20)/(30-20)+E36,IF(_bldg_theta=20,E36,IF($D39&gt;5,(E36-E35)*(_bldg_theta-5)/(20-5)+E35,E35))))))</f>
        <v>0.97391581371536684</v>
      </c>
      <c r="F39" s="9">
        <f t="shared" si="0"/>
        <v>1.4634821392015136</v>
      </c>
      <c r="G39" s="9">
        <f t="shared" si="0"/>
        <v>-1.3</v>
      </c>
      <c r="H39" s="9">
        <f t="shared" si="0"/>
        <v>-2</v>
      </c>
      <c r="I39" s="9">
        <f t="shared" si="0"/>
        <v>-0.87913265097229343</v>
      </c>
      <c r="J39" s="9">
        <f t="shared" si="0"/>
        <v>-1.2686989764584402</v>
      </c>
      <c r="K39" s="9">
        <f t="shared" si="0"/>
        <v>-0.77391581371536688</v>
      </c>
      <c r="L39" s="9">
        <f t="shared" si="0"/>
        <v>-1.1582653019445868</v>
      </c>
      <c r="M39" s="181"/>
      <c r="N39" s="181"/>
      <c r="O39" s="181"/>
      <c r="P39" s="181"/>
      <c r="Q39" s="141"/>
      <c r="R39" s="356" t="s">
        <v>149</v>
      </c>
      <c r="S39" s="356"/>
      <c r="T39" s="1">
        <v>4</v>
      </c>
    </row>
    <row r="40" spans="2:20" x14ac:dyDescent="0.2">
      <c r="B40" s="1" t="s">
        <v>81</v>
      </c>
      <c r="C40" s="141" t="s">
        <v>141</v>
      </c>
      <c r="D40" s="141" t="s">
        <v>126</v>
      </c>
      <c r="E40" s="7">
        <v>-0.85</v>
      </c>
      <c r="F40" s="7">
        <v>-0.9</v>
      </c>
      <c r="G40" s="7">
        <v>-1.3</v>
      </c>
      <c r="H40" s="7">
        <v>-2</v>
      </c>
      <c r="I40" s="7">
        <v>-0.7</v>
      </c>
      <c r="J40" s="7">
        <v>-1</v>
      </c>
      <c r="K40" s="7">
        <v>-0.85</v>
      </c>
      <c r="L40" s="7">
        <v>-0.9</v>
      </c>
      <c r="M40" s="7">
        <v>0.75</v>
      </c>
      <c r="N40" s="7">
        <v>1.1499999999999999</v>
      </c>
      <c r="O40" s="7">
        <v>-0.55000000000000004</v>
      </c>
      <c r="P40" s="7">
        <v>-0.8</v>
      </c>
      <c r="Q40" s="141"/>
      <c r="R40" s="356" t="s">
        <v>1185</v>
      </c>
      <c r="S40" s="356"/>
      <c r="T40" s="1" t="s">
        <v>132</v>
      </c>
    </row>
    <row r="41" spans="2:20" x14ac:dyDescent="0.2">
      <c r="B41" s="141"/>
      <c r="C41" s="141"/>
      <c r="D41" s="141"/>
      <c r="E41" s="141"/>
      <c r="F41" s="141"/>
      <c r="G41" s="141"/>
      <c r="H41" s="141"/>
      <c r="I41" s="141"/>
      <c r="J41" s="141"/>
      <c r="K41" s="141"/>
      <c r="L41" s="141"/>
      <c r="M41" s="141"/>
      <c r="N41" s="141"/>
      <c r="O41" s="141"/>
      <c r="P41" s="141"/>
      <c r="Q41" s="141"/>
      <c r="R41" s="356" t="s">
        <v>152</v>
      </c>
      <c r="S41" s="356"/>
      <c r="T41" s="1">
        <v>5</v>
      </c>
    </row>
    <row r="42" spans="2:20" ht="15.75" x14ac:dyDescent="0.2">
      <c r="B42" s="357" t="s">
        <v>1080</v>
      </c>
      <c r="C42" s="358"/>
      <c r="D42" s="358"/>
      <c r="E42" s="358"/>
      <c r="F42" s="358"/>
      <c r="G42" s="358"/>
      <c r="H42" s="358"/>
      <c r="I42" s="358"/>
      <c r="J42" s="358"/>
      <c r="K42" s="358"/>
      <c r="L42" s="358"/>
      <c r="M42" s="358"/>
      <c r="N42" s="358"/>
      <c r="O42" s="358"/>
      <c r="P42" s="359"/>
      <c r="Q42" s="141"/>
      <c r="R42" s="356" t="s">
        <v>1184</v>
      </c>
      <c r="S42" s="356"/>
      <c r="T42" s="1" t="s">
        <v>133</v>
      </c>
    </row>
    <row r="43" spans="2:20" x14ac:dyDescent="0.2">
      <c r="B43" s="360" t="s">
        <v>123</v>
      </c>
      <c r="C43" s="362" t="s">
        <v>124</v>
      </c>
      <c r="D43" s="362" t="s">
        <v>1150</v>
      </c>
      <c r="E43" s="364" t="s">
        <v>128</v>
      </c>
      <c r="F43" s="358"/>
      <c r="G43" s="358"/>
      <c r="H43" s="358"/>
      <c r="I43" s="358"/>
      <c r="J43" s="358"/>
      <c r="K43" s="358"/>
      <c r="L43" s="358"/>
      <c r="M43" s="358"/>
      <c r="N43" s="358"/>
      <c r="O43" s="358"/>
      <c r="P43" s="359"/>
      <c r="Q43" s="141"/>
      <c r="R43" s="356" t="s">
        <v>1182</v>
      </c>
      <c r="S43" s="356"/>
      <c r="T43" s="1">
        <v>6</v>
      </c>
    </row>
    <row r="44" spans="2:20" x14ac:dyDescent="0.2">
      <c r="B44" s="361"/>
      <c r="C44" s="363"/>
      <c r="D44" s="361"/>
      <c r="E44" s="6">
        <v>1</v>
      </c>
      <c r="F44" s="6" t="s">
        <v>129</v>
      </c>
      <c r="G44" s="6">
        <v>2</v>
      </c>
      <c r="H44" s="6" t="s">
        <v>130</v>
      </c>
      <c r="I44" s="6">
        <v>3</v>
      </c>
      <c r="J44" s="6" t="s">
        <v>131</v>
      </c>
      <c r="K44" s="6">
        <v>4</v>
      </c>
      <c r="L44" s="6" t="s">
        <v>132</v>
      </c>
      <c r="M44" s="6">
        <v>5</v>
      </c>
      <c r="N44" s="6" t="s">
        <v>133</v>
      </c>
      <c r="O44" s="6">
        <v>6</v>
      </c>
      <c r="P44" s="6" t="s">
        <v>134</v>
      </c>
      <c r="Q44" s="141"/>
      <c r="R44" s="356" t="s">
        <v>1183</v>
      </c>
      <c r="S44" s="356"/>
      <c r="T44" s="1" t="s">
        <v>134</v>
      </c>
    </row>
    <row r="45" spans="2:20" x14ac:dyDescent="0.2">
      <c r="B45" s="1" t="s">
        <v>1081</v>
      </c>
      <c r="C45" s="355" t="s">
        <v>136</v>
      </c>
      <c r="D45" s="365">
        <f>_bldg_theta</f>
        <v>18.43494882292201</v>
      </c>
      <c r="E45" s="143">
        <f t="shared" ref="E45:L45" si="1">_load_I*_load_q*_Ce*(E39-$E29)</f>
        <v>0.52985800962126994</v>
      </c>
      <c r="F45" s="143">
        <f t="shared" si="1"/>
        <v>0.63912921346977791</v>
      </c>
      <c r="G45" s="143">
        <f t="shared" si="1"/>
        <v>2.2319999999999972E-2</v>
      </c>
      <c r="H45" s="143">
        <f t="shared" si="1"/>
        <v>-0.13392000000000004</v>
      </c>
      <c r="I45" s="143">
        <f t="shared" si="1"/>
        <v>0.11625759230298409</v>
      </c>
      <c r="J45" s="143">
        <f t="shared" si="1"/>
        <v>2.9306388454476126E-2</v>
      </c>
      <c r="K45" s="143">
        <f t="shared" si="1"/>
        <v>0.13974199037873009</v>
      </c>
      <c r="L45" s="143">
        <f t="shared" si="1"/>
        <v>5.3955184605968216E-2</v>
      </c>
      <c r="M45" s="182"/>
      <c r="N45" s="182"/>
      <c r="O45" s="182"/>
      <c r="P45" s="182"/>
      <c r="Q45" s="141"/>
    </row>
    <row r="46" spans="2:20" x14ac:dyDescent="0.2">
      <c r="B46" s="1" t="s">
        <v>1083</v>
      </c>
      <c r="C46" s="356"/>
      <c r="D46" s="366"/>
      <c r="E46" s="143">
        <f t="shared" ref="E46:L46" si="2">_load_I*_load_q*_Ce*(E39-$E30)</f>
        <v>-9.51019903787301E-2</v>
      </c>
      <c r="F46" s="143">
        <f t="shared" si="2"/>
        <v>1.4169213469777855E-2</v>
      </c>
      <c r="G46" s="143">
        <f t="shared" si="2"/>
        <v>-0.60264000000000006</v>
      </c>
      <c r="H46" s="143">
        <f t="shared" si="2"/>
        <v>-0.75888</v>
      </c>
      <c r="I46" s="143">
        <f t="shared" si="2"/>
        <v>-0.50870240769701591</v>
      </c>
      <c r="J46" s="143">
        <f t="shared" si="2"/>
        <v>-0.59565361154552388</v>
      </c>
      <c r="K46" s="143">
        <f t="shared" si="2"/>
        <v>-0.48521800962126987</v>
      </c>
      <c r="L46" s="143">
        <f t="shared" si="2"/>
        <v>-0.57100481539403181</v>
      </c>
      <c r="M46" s="182"/>
      <c r="N46" s="182"/>
      <c r="O46" s="182"/>
      <c r="P46" s="182"/>
      <c r="Q46" s="141"/>
    </row>
    <row r="47" spans="2:20" x14ac:dyDescent="0.2">
      <c r="B47" s="1" t="s">
        <v>1082</v>
      </c>
      <c r="C47" s="356" t="s">
        <v>141</v>
      </c>
      <c r="D47" s="356" t="s">
        <v>126</v>
      </c>
      <c r="E47" s="143">
        <f t="shared" ref="E47:P47" si="3">_load_I*_load_q*_Ce*(E40-$E29)</f>
        <v>0.12275999999999999</v>
      </c>
      <c r="F47" s="143">
        <f t="shared" si="3"/>
        <v>0.11159999999999998</v>
      </c>
      <c r="G47" s="143">
        <f t="shared" si="3"/>
        <v>2.2319999999999972E-2</v>
      </c>
      <c r="H47" s="143">
        <f t="shared" si="3"/>
        <v>-0.13392000000000004</v>
      </c>
      <c r="I47" s="143">
        <f t="shared" si="3"/>
        <v>0.15623999999999999</v>
      </c>
      <c r="J47" s="143">
        <f t="shared" si="3"/>
        <v>8.9279999999999984E-2</v>
      </c>
      <c r="K47" s="143">
        <f t="shared" si="3"/>
        <v>0.12275999999999999</v>
      </c>
      <c r="L47" s="143">
        <f t="shared" si="3"/>
        <v>0.11159999999999998</v>
      </c>
      <c r="M47" s="143">
        <f t="shared" si="3"/>
        <v>0.47987999999999997</v>
      </c>
      <c r="N47" s="143">
        <f t="shared" si="3"/>
        <v>0.56916</v>
      </c>
      <c r="O47" s="143">
        <f t="shared" si="3"/>
        <v>0.18971999999999997</v>
      </c>
      <c r="P47" s="143">
        <f t="shared" si="3"/>
        <v>0.13391999999999998</v>
      </c>
      <c r="Q47" s="141"/>
    </row>
    <row r="48" spans="2:20" x14ac:dyDescent="0.2">
      <c r="B48" s="1" t="s">
        <v>1084</v>
      </c>
      <c r="C48" s="367"/>
      <c r="D48" s="367"/>
      <c r="E48" s="143">
        <f t="shared" ref="E48:P48" si="4">_load_I*_load_q*_Ce*(E40-$E30)</f>
        <v>-0.50219999999999998</v>
      </c>
      <c r="F48" s="143">
        <f t="shared" si="4"/>
        <v>-0.51335999999999993</v>
      </c>
      <c r="G48" s="143">
        <f t="shared" si="4"/>
        <v>-0.60264000000000006</v>
      </c>
      <c r="H48" s="143">
        <f t="shared" si="4"/>
        <v>-0.75888</v>
      </c>
      <c r="I48" s="143">
        <f t="shared" si="4"/>
        <v>-0.46871999999999991</v>
      </c>
      <c r="J48" s="143">
        <f t="shared" si="4"/>
        <v>-0.53568000000000005</v>
      </c>
      <c r="K48" s="143">
        <f t="shared" si="4"/>
        <v>-0.50219999999999998</v>
      </c>
      <c r="L48" s="143">
        <f t="shared" si="4"/>
        <v>-0.51335999999999993</v>
      </c>
      <c r="M48" s="143">
        <f t="shared" si="4"/>
        <v>-0.14507999999999999</v>
      </c>
      <c r="N48" s="143">
        <f t="shared" si="4"/>
        <v>-5.5800000000000002E-2</v>
      </c>
      <c r="O48" s="143">
        <f t="shared" si="4"/>
        <v>-0.43524000000000002</v>
      </c>
      <c r="P48" s="143">
        <f t="shared" si="4"/>
        <v>-0.49104000000000009</v>
      </c>
      <c r="Q48" s="141"/>
    </row>
    <row r="49" spans="1:17" x14ac:dyDescent="0.2">
      <c r="B49" s="350" t="s">
        <v>142</v>
      </c>
      <c r="C49" s="350"/>
      <c r="D49" s="350"/>
      <c r="E49" s="10">
        <f t="shared" ref="E49:P49" si="5">MIN(E45:E48)</f>
        <v>-0.50219999999999998</v>
      </c>
      <c r="F49" s="10">
        <f t="shared" si="5"/>
        <v>-0.51335999999999993</v>
      </c>
      <c r="G49" s="10">
        <f t="shared" si="5"/>
        <v>-0.60264000000000006</v>
      </c>
      <c r="H49" s="10">
        <f t="shared" si="5"/>
        <v>-0.75888</v>
      </c>
      <c r="I49" s="10">
        <f t="shared" si="5"/>
        <v>-0.50870240769701591</v>
      </c>
      <c r="J49" s="10">
        <f t="shared" si="5"/>
        <v>-0.59565361154552388</v>
      </c>
      <c r="K49" s="10">
        <f t="shared" si="5"/>
        <v>-0.50219999999999998</v>
      </c>
      <c r="L49" s="10">
        <f t="shared" si="5"/>
        <v>-0.57100481539403181</v>
      </c>
      <c r="M49" s="10">
        <f t="shared" si="5"/>
        <v>-0.14507999999999999</v>
      </c>
      <c r="N49" s="10">
        <f t="shared" si="5"/>
        <v>-5.5800000000000002E-2</v>
      </c>
      <c r="O49" s="10">
        <f t="shared" si="5"/>
        <v>-0.43524000000000002</v>
      </c>
      <c r="P49" s="10">
        <f t="shared" si="5"/>
        <v>-0.49104000000000009</v>
      </c>
      <c r="Q49" s="141"/>
    </row>
    <row r="50" spans="1:17" x14ac:dyDescent="0.2">
      <c r="B50" s="351" t="s">
        <v>143</v>
      </c>
      <c r="C50" s="351"/>
      <c r="D50" s="351"/>
      <c r="E50" s="11">
        <f t="shared" ref="E50:P50" si="6">MAX(E45:E48)</f>
        <v>0.52985800962126994</v>
      </c>
      <c r="F50" s="11">
        <f t="shared" si="6"/>
        <v>0.63912921346977791</v>
      </c>
      <c r="G50" s="11">
        <f t="shared" si="6"/>
        <v>2.2319999999999972E-2</v>
      </c>
      <c r="H50" s="11">
        <f t="shared" si="6"/>
        <v>-0.13392000000000004</v>
      </c>
      <c r="I50" s="11">
        <f t="shared" si="6"/>
        <v>0.15623999999999999</v>
      </c>
      <c r="J50" s="11">
        <f t="shared" si="6"/>
        <v>8.9279999999999984E-2</v>
      </c>
      <c r="K50" s="11">
        <f t="shared" si="6"/>
        <v>0.13974199037873009</v>
      </c>
      <c r="L50" s="11">
        <f t="shared" si="6"/>
        <v>0.11159999999999998</v>
      </c>
      <c r="M50" s="11">
        <f t="shared" si="6"/>
        <v>0.47987999999999997</v>
      </c>
      <c r="N50" s="11">
        <f t="shared" si="6"/>
        <v>0.56916</v>
      </c>
      <c r="O50" s="11">
        <f t="shared" si="6"/>
        <v>0.18971999999999997</v>
      </c>
      <c r="P50" s="11">
        <f t="shared" si="6"/>
        <v>0.13391999999999998</v>
      </c>
      <c r="Q50" s="141"/>
    </row>
    <row r="51" spans="1:17" x14ac:dyDescent="0.2">
      <c r="B51" s="141"/>
      <c r="C51" s="141"/>
      <c r="D51" s="141"/>
      <c r="E51" s="141"/>
      <c r="F51" s="141"/>
      <c r="G51" s="141"/>
      <c r="H51" s="141"/>
      <c r="I51" s="141"/>
      <c r="J51" s="141"/>
      <c r="K51" s="141"/>
      <c r="L51" s="141"/>
      <c r="M51" s="141"/>
      <c r="N51" s="141"/>
      <c r="O51" s="141"/>
      <c r="P51" s="141"/>
      <c r="Q51" s="141"/>
    </row>
    <row r="52" spans="1:17" ht="15.75" x14ac:dyDescent="0.2">
      <c r="A52" s="349" t="s">
        <v>148</v>
      </c>
      <c r="B52" s="349"/>
      <c r="C52" s="349"/>
      <c r="D52" s="349"/>
      <c r="E52" s="349"/>
      <c r="F52" s="349"/>
      <c r="G52" s="349"/>
      <c r="H52" s="349"/>
      <c r="I52" s="349"/>
      <c r="J52" s="349"/>
      <c r="K52" s="349"/>
      <c r="L52" s="349"/>
      <c r="M52" s="349"/>
      <c r="N52" s="349"/>
      <c r="O52" s="349"/>
      <c r="P52" s="349"/>
      <c r="Q52" s="141"/>
    </row>
    <row r="53" spans="1:17" x14ac:dyDescent="0.2">
      <c r="A53" s="346" t="s">
        <v>150</v>
      </c>
      <c r="B53" s="347" t="s">
        <v>151</v>
      </c>
      <c r="C53" s="347"/>
      <c r="D53" s="347"/>
      <c r="E53" s="347"/>
      <c r="F53" s="347"/>
      <c r="G53" s="347"/>
      <c r="H53" s="347"/>
      <c r="I53" s="347"/>
      <c r="J53" s="347"/>
      <c r="K53" s="347"/>
      <c r="L53" s="347"/>
      <c r="M53" s="347"/>
      <c r="N53" s="347"/>
      <c r="O53" s="347"/>
      <c r="P53" s="347"/>
      <c r="Q53" s="141"/>
    </row>
    <row r="54" spans="1:17" x14ac:dyDescent="0.2">
      <c r="A54" s="346"/>
      <c r="B54" s="347"/>
      <c r="C54" s="347"/>
      <c r="D54" s="347"/>
      <c r="E54" s="347"/>
      <c r="F54" s="347"/>
      <c r="G54" s="347"/>
      <c r="H54" s="347"/>
      <c r="I54" s="347"/>
      <c r="J54" s="347"/>
      <c r="K54" s="347"/>
      <c r="L54" s="347"/>
      <c r="M54" s="347"/>
      <c r="N54" s="347"/>
      <c r="O54" s="347"/>
      <c r="P54" s="347"/>
      <c r="Q54" s="141"/>
    </row>
    <row r="55" spans="1:17" x14ac:dyDescent="0.2">
      <c r="A55" s="346"/>
      <c r="B55" s="347"/>
      <c r="C55" s="347"/>
      <c r="D55" s="347"/>
      <c r="E55" s="347"/>
      <c r="F55" s="347"/>
      <c r="G55" s="347"/>
      <c r="H55" s="347"/>
      <c r="I55" s="347"/>
      <c r="J55" s="347"/>
      <c r="K55" s="347"/>
      <c r="L55" s="347"/>
      <c r="M55" s="347"/>
      <c r="N55" s="347"/>
      <c r="O55" s="347"/>
      <c r="P55" s="347"/>
      <c r="Q55" s="141"/>
    </row>
    <row r="56" spans="1:17" x14ac:dyDescent="0.2">
      <c r="A56" s="346" t="s">
        <v>153</v>
      </c>
      <c r="B56" s="347" t="s">
        <v>154</v>
      </c>
      <c r="C56" s="348"/>
      <c r="D56" s="348"/>
      <c r="E56" s="348"/>
      <c r="F56" s="348"/>
      <c r="G56" s="348"/>
      <c r="H56" s="348"/>
      <c r="I56" s="348"/>
      <c r="J56" s="348"/>
      <c r="K56" s="348"/>
      <c r="L56" s="348"/>
      <c r="M56" s="348"/>
      <c r="N56" s="348"/>
      <c r="O56" s="348"/>
      <c r="P56" s="348"/>
      <c r="Q56" s="141"/>
    </row>
    <row r="57" spans="1:17" x14ac:dyDescent="0.2">
      <c r="A57" s="346"/>
      <c r="B57" s="347"/>
      <c r="C57" s="348"/>
      <c r="D57" s="348"/>
      <c r="E57" s="348"/>
      <c r="F57" s="348"/>
      <c r="G57" s="348"/>
      <c r="H57" s="348"/>
      <c r="I57" s="348"/>
      <c r="J57" s="348"/>
      <c r="K57" s="348"/>
      <c r="L57" s="348"/>
      <c r="M57" s="348"/>
      <c r="N57" s="348"/>
      <c r="O57" s="348"/>
      <c r="P57" s="348"/>
      <c r="Q57" s="141"/>
    </row>
    <row r="58" spans="1:17" x14ac:dyDescent="0.2">
      <c r="A58" s="346"/>
      <c r="B58" s="348"/>
      <c r="C58" s="348"/>
      <c r="D58" s="348"/>
      <c r="E58" s="348"/>
      <c r="F58" s="348"/>
      <c r="G58" s="348"/>
      <c r="H58" s="348"/>
      <c r="I58" s="348"/>
      <c r="J58" s="348"/>
      <c r="K58" s="348"/>
      <c r="L58" s="348"/>
      <c r="M58" s="348"/>
      <c r="N58" s="348"/>
      <c r="O58" s="348"/>
      <c r="P58" s="348"/>
      <c r="Q58" s="141"/>
    </row>
    <row r="59" spans="1:17" x14ac:dyDescent="0.2">
      <c r="A59" s="346" t="s">
        <v>155</v>
      </c>
      <c r="B59" s="347" t="s">
        <v>156</v>
      </c>
      <c r="C59" s="348"/>
      <c r="D59" s="348"/>
      <c r="E59" s="348"/>
      <c r="F59" s="348"/>
      <c r="G59" s="348"/>
      <c r="H59" s="348"/>
      <c r="I59" s="348"/>
      <c r="J59" s="348"/>
      <c r="K59" s="348"/>
      <c r="L59" s="348"/>
      <c r="M59" s="348"/>
      <c r="N59" s="348"/>
      <c r="O59" s="348"/>
      <c r="P59" s="348"/>
      <c r="Q59" s="141"/>
    </row>
    <row r="60" spans="1:17" x14ac:dyDescent="0.2">
      <c r="A60" s="346"/>
      <c r="B60" s="347"/>
      <c r="C60" s="348"/>
      <c r="D60" s="348"/>
      <c r="E60" s="348"/>
      <c r="F60" s="348"/>
      <c r="G60" s="348"/>
      <c r="H60" s="348"/>
      <c r="I60" s="348"/>
      <c r="J60" s="348"/>
      <c r="K60" s="348"/>
      <c r="L60" s="348"/>
      <c r="M60" s="348"/>
      <c r="N60" s="348"/>
      <c r="O60" s="348"/>
      <c r="P60" s="348"/>
    </row>
    <row r="61" spans="1:17" x14ac:dyDescent="0.2">
      <c r="A61" s="346"/>
      <c r="B61" s="347"/>
      <c r="C61" s="348"/>
      <c r="D61" s="348"/>
      <c r="E61" s="348"/>
      <c r="F61" s="348"/>
      <c r="G61" s="348"/>
      <c r="H61" s="348"/>
      <c r="I61" s="348"/>
      <c r="J61" s="348"/>
      <c r="K61" s="348"/>
      <c r="L61" s="348"/>
      <c r="M61" s="348"/>
      <c r="N61" s="348"/>
      <c r="O61" s="348"/>
      <c r="P61" s="348"/>
    </row>
    <row r="62" spans="1:17" x14ac:dyDescent="0.2">
      <c r="A62" s="346"/>
      <c r="B62" s="347"/>
      <c r="C62" s="348"/>
      <c r="D62" s="348"/>
      <c r="E62" s="348"/>
      <c r="F62" s="348"/>
      <c r="G62" s="348"/>
      <c r="H62" s="348"/>
      <c r="I62" s="348"/>
      <c r="J62" s="348"/>
      <c r="K62" s="348"/>
      <c r="L62" s="348"/>
      <c r="M62" s="348"/>
      <c r="N62" s="348"/>
      <c r="O62" s="348"/>
      <c r="P62" s="348"/>
    </row>
    <row r="63" spans="1:17" x14ac:dyDescent="0.2">
      <c r="A63" s="346"/>
      <c r="B63" s="347"/>
      <c r="C63" s="348"/>
      <c r="D63" s="348"/>
      <c r="E63" s="348"/>
      <c r="F63" s="348"/>
      <c r="G63" s="348"/>
      <c r="H63" s="348"/>
      <c r="I63" s="348"/>
      <c r="J63" s="348"/>
      <c r="K63" s="348"/>
      <c r="L63" s="348"/>
      <c r="M63" s="348"/>
      <c r="N63" s="348"/>
      <c r="O63" s="348"/>
      <c r="P63" s="348"/>
    </row>
    <row r="64" spans="1:17" x14ac:dyDescent="0.2">
      <c r="A64" s="346"/>
      <c r="B64" s="347"/>
      <c r="C64" s="348"/>
      <c r="D64" s="348"/>
      <c r="E64" s="348"/>
      <c r="F64" s="348"/>
      <c r="G64" s="348"/>
      <c r="H64" s="348"/>
      <c r="I64" s="348"/>
      <c r="J64" s="348"/>
      <c r="K64" s="348"/>
      <c r="L64" s="348"/>
      <c r="M64" s="348"/>
      <c r="N64" s="348"/>
      <c r="O64" s="348"/>
      <c r="P64" s="348"/>
    </row>
    <row r="65" spans="1:16" x14ac:dyDescent="0.2">
      <c r="A65" s="346"/>
      <c r="B65" s="347"/>
      <c r="C65" s="348"/>
      <c r="D65" s="348"/>
      <c r="E65" s="348"/>
      <c r="F65" s="348"/>
      <c r="G65" s="348"/>
      <c r="H65" s="348"/>
      <c r="I65" s="348"/>
      <c r="J65" s="348"/>
      <c r="K65" s="348"/>
      <c r="L65" s="348"/>
      <c r="M65" s="348"/>
      <c r="N65" s="348"/>
      <c r="O65" s="348"/>
      <c r="P65" s="348"/>
    </row>
    <row r="66" spans="1:16" x14ac:dyDescent="0.2">
      <c r="A66" s="346"/>
      <c r="B66" s="347"/>
      <c r="C66" s="348"/>
      <c r="D66" s="348"/>
      <c r="E66" s="348"/>
      <c r="F66" s="348"/>
      <c r="G66" s="348"/>
      <c r="H66" s="348"/>
      <c r="I66" s="348"/>
      <c r="J66" s="348"/>
      <c r="K66" s="348"/>
      <c r="L66" s="348"/>
      <c r="M66" s="348"/>
      <c r="N66" s="348"/>
      <c r="O66" s="348"/>
      <c r="P66" s="348"/>
    </row>
    <row r="67" spans="1:16" x14ac:dyDescent="0.2">
      <c r="A67" s="346"/>
      <c r="B67" s="347"/>
      <c r="C67" s="348"/>
      <c r="D67" s="348"/>
      <c r="E67" s="348"/>
      <c r="F67" s="348"/>
      <c r="G67" s="348"/>
      <c r="H67" s="348"/>
      <c r="I67" s="348"/>
      <c r="J67" s="348"/>
      <c r="K67" s="348"/>
      <c r="L67" s="348"/>
      <c r="M67" s="348"/>
      <c r="N67" s="348"/>
      <c r="O67" s="348"/>
      <c r="P67" s="348"/>
    </row>
    <row r="68" spans="1:16" x14ac:dyDescent="0.2">
      <c r="A68" s="346"/>
      <c r="B68" s="347"/>
      <c r="C68" s="348"/>
      <c r="D68" s="348"/>
      <c r="E68" s="348"/>
      <c r="F68" s="348"/>
      <c r="G68" s="348"/>
      <c r="H68" s="348"/>
      <c r="I68" s="348"/>
      <c r="J68" s="348"/>
      <c r="K68" s="348"/>
      <c r="L68" s="348"/>
      <c r="M68" s="348"/>
      <c r="N68" s="348"/>
      <c r="O68" s="348"/>
      <c r="P68" s="348"/>
    </row>
    <row r="69" spans="1:16" x14ac:dyDescent="0.2">
      <c r="A69" s="346"/>
      <c r="B69" s="347"/>
      <c r="C69" s="348"/>
      <c r="D69" s="348"/>
      <c r="E69" s="348"/>
      <c r="F69" s="348"/>
      <c r="G69" s="348"/>
      <c r="H69" s="348"/>
      <c r="I69" s="348"/>
      <c r="J69" s="348"/>
      <c r="K69" s="348"/>
      <c r="L69" s="348"/>
      <c r="M69" s="348"/>
      <c r="N69" s="348"/>
      <c r="O69" s="348"/>
      <c r="P69" s="348"/>
    </row>
    <row r="70" spans="1:16" x14ac:dyDescent="0.2">
      <c r="A70" s="346"/>
      <c r="B70" s="347"/>
      <c r="C70" s="348"/>
      <c r="D70" s="348"/>
      <c r="E70" s="348"/>
      <c r="F70" s="348"/>
      <c r="G70" s="348"/>
      <c r="H70" s="348"/>
      <c r="I70" s="348"/>
      <c r="J70" s="348"/>
      <c r="K70" s="348"/>
      <c r="L70" s="348"/>
      <c r="M70" s="348"/>
      <c r="N70" s="348"/>
      <c r="O70" s="348"/>
      <c r="P70" s="348"/>
    </row>
    <row r="71" spans="1:16" x14ac:dyDescent="0.2">
      <c r="A71" s="346"/>
      <c r="B71" s="347"/>
      <c r="C71" s="348"/>
      <c r="D71" s="348"/>
      <c r="E71" s="348"/>
      <c r="F71" s="348"/>
      <c r="G71" s="348"/>
      <c r="H71" s="348"/>
      <c r="I71" s="348"/>
      <c r="J71" s="348"/>
      <c r="K71" s="348"/>
      <c r="L71" s="348"/>
      <c r="M71" s="348"/>
      <c r="N71" s="348"/>
      <c r="O71" s="348"/>
      <c r="P71" s="348"/>
    </row>
    <row r="72" spans="1:16" x14ac:dyDescent="0.2">
      <c r="A72" s="346"/>
      <c r="B72" s="348"/>
      <c r="C72" s="348"/>
      <c r="D72" s="348"/>
      <c r="E72" s="348"/>
      <c r="F72" s="348"/>
      <c r="G72" s="348"/>
      <c r="H72" s="348"/>
      <c r="I72" s="348"/>
      <c r="J72" s="348"/>
      <c r="K72" s="348"/>
      <c r="L72" s="348"/>
      <c r="M72" s="348"/>
      <c r="N72" s="348"/>
      <c r="O72" s="348"/>
      <c r="P72" s="348"/>
    </row>
    <row r="73" spans="1:16" x14ac:dyDescent="0.2">
      <c r="A73" s="346" t="s">
        <v>157</v>
      </c>
      <c r="B73" s="347" t="s">
        <v>158</v>
      </c>
      <c r="C73" s="348"/>
      <c r="D73" s="348"/>
      <c r="E73" s="348"/>
      <c r="F73" s="348"/>
      <c r="G73" s="348"/>
      <c r="H73" s="348"/>
      <c r="I73" s="348"/>
      <c r="J73" s="348"/>
      <c r="K73" s="348"/>
      <c r="L73" s="348"/>
      <c r="M73" s="348"/>
      <c r="N73" s="348"/>
      <c r="O73" s="348"/>
      <c r="P73" s="348"/>
    </row>
    <row r="74" spans="1:16" x14ac:dyDescent="0.2">
      <c r="A74" s="346"/>
      <c r="B74" s="348"/>
      <c r="C74" s="348"/>
      <c r="D74" s="348"/>
      <c r="E74" s="348"/>
      <c r="F74" s="348"/>
      <c r="G74" s="348"/>
      <c r="H74" s="348"/>
      <c r="I74" s="348"/>
      <c r="J74" s="348"/>
      <c r="K74" s="348"/>
      <c r="L74" s="348"/>
      <c r="M74" s="348"/>
      <c r="N74" s="348"/>
      <c r="O74" s="348"/>
      <c r="P74" s="348"/>
    </row>
  </sheetData>
  <sheetProtection selectLockedCells="1"/>
  <mergeCells count="120">
    <mergeCell ref="R13:R14"/>
    <mergeCell ref="S13:T13"/>
    <mergeCell ref="R33:S33"/>
    <mergeCell ref="R34:S34"/>
    <mergeCell ref="R35:S35"/>
    <mergeCell ref="R36:S36"/>
    <mergeCell ref="R37:S37"/>
    <mergeCell ref="R38:S38"/>
    <mergeCell ref="R39:S39"/>
    <mergeCell ref="B9:D9"/>
    <mergeCell ref="F9:J9"/>
    <mergeCell ref="M9:N9"/>
    <mergeCell ref="O9:P9"/>
    <mergeCell ref="B10:D10"/>
    <mergeCell ref="F10:J10"/>
    <mergeCell ref="M10:N12"/>
    <mergeCell ref="O10:P12"/>
    <mergeCell ref="M13:N15"/>
    <mergeCell ref="O13:P15"/>
    <mergeCell ref="F14:J14"/>
    <mergeCell ref="F15:J15"/>
    <mergeCell ref="E11:J11"/>
    <mergeCell ref="E12:J12"/>
    <mergeCell ref="B2:D2"/>
    <mergeCell ref="E2:J2"/>
    <mergeCell ref="M2:P2"/>
    <mergeCell ref="B4:D4"/>
    <mergeCell ref="F4:J4"/>
    <mergeCell ref="M4:N4"/>
    <mergeCell ref="O4:P4"/>
    <mergeCell ref="O7:P7"/>
    <mergeCell ref="F8:J8"/>
    <mergeCell ref="B8:D8"/>
    <mergeCell ref="M8:N8"/>
    <mergeCell ref="O8:P8"/>
    <mergeCell ref="B6:D6"/>
    <mergeCell ref="F6:J6"/>
    <mergeCell ref="M6:N6"/>
    <mergeCell ref="B7:D7"/>
    <mergeCell ref="F7:J7"/>
    <mergeCell ref="M7:N7"/>
    <mergeCell ref="B5:D5"/>
    <mergeCell ref="F5:J5"/>
    <mergeCell ref="M5:N5"/>
    <mergeCell ref="O5:P5"/>
    <mergeCell ref="F16:J16"/>
    <mergeCell ref="M16:N16"/>
    <mergeCell ref="O16:P16"/>
    <mergeCell ref="B11:D12"/>
    <mergeCell ref="B13:D15"/>
    <mergeCell ref="E13:E15"/>
    <mergeCell ref="F13:J13"/>
    <mergeCell ref="B17:D17"/>
    <mergeCell ref="F17:J17"/>
    <mergeCell ref="M17:N17"/>
    <mergeCell ref="O17:P17"/>
    <mergeCell ref="B16:D16"/>
    <mergeCell ref="K11:L11"/>
    <mergeCell ref="K12:L12"/>
    <mergeCell ref="O23:P23"/>
    <mergeCell ref="B24:D24"/>
    <mergeCell ref="F24:J24"/>
    <mergeCell ref="M24:N24"/>
    <mergeCell ref="O24:P24"/>
    <mergeCell ref="O18:P20"/>
    <mergeCell ref="F19:J20"/>
    <mergeCell ref="B21:C22"/>
    <mergeCell ref="F21:J21"/>
    <mergeCell ref="M21:N22"/>
    <mergeCell ref="O21:P22"/>
    <mergeCell ref="F22:J22"/>
    <mergeCell ref="B18:D20"/>
    <mergeCell ref="E18:E20"/>
    <mergeCell ref="F18:J18"/>
    <mergeCell ref="K18:K20"/>
    <mergeCell ref="L18:L20"/>
    <mergeCell ref="M18:N20"/>
    <mergeCell ref="B23:D23"/>
    <mergeCell ref="F23:J23"/>
    <mergeCell ref="M23:N23"/>
    <mergeCell ref="B27:B28"/>
    <mergeCell ref="C27:C28"/>
    <mergeCell ref="D27:D28"/>
    <mergeCell ref="B26:H26"/>
    <mergeCell ref="E27:H28"/>
    <mergeCell ref="E29:H29"/>
    <mergeCell ref="E30:H30"/>
    <mergeCell ref="B32:P32"/>
    <mergeCell ref="B33:B34"/>
    <mergeCell ref="C33:C34"/>
    <mergeCell ref="D33:D34"/>
    <mergeCell ref="E33:P33"/>
    <mergeCell ref="B49:D49"/>
    <mergeCell ref="B50:D50"/>
    <mergeCell ref="R32:T32"/>
    <mergeCell ref="B35:B39"/>
    <mergeCell ref="C35:C39"/>
    <mergeCell ref="B42:P42"/>
    <mergeCell ref="B43:B44"/>
    <mergeCell ref="C43:C44"/>
    <mergeCell ref="D43:D44"/>
    <mergeCell ref="E43:P43"/>
    <mergeCell ref="C45:C46"/>
    <mergeCell ref="D45:D46"/>
    <mergeCell ref="C47:C48"/>
    <mergeCell ref="D47:D48"/>
    <mergeCell ref="R40:S40"/>
    <mergeCell ref="R41:S41"/>
    <mergeCell ref="R42:S42"/>
    <mergeCell ref="R44:S44"/>
    <mergeCell ref="R43:S43"/>
    <mergeCell ref="A59:A72"/>
    <mergeCell ref="B59:P72"/>
    <mergeCell ref="A73:A74"/>
    <mergeCell ref="B73:P74"/>
    <mergeCell ref="A52:P52"/>
    <mergeCell ref="A53:A55"/>
    <mergeCell ref="B53:P55"/>
    <mergeCell ref="A56:A58"/>
    <mergeCell ref="B56:P58"/>
  </mergeCells>
  <conditionalFormatting sqref="K11:K12">
    <cfRule type="cellIs" dxfId="0" priority="1" operator="equal">
      <formula>FALSE</formula>
    </cfRule>
  </conditionalFormatting>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2" r:id="rId4" name="Drop Down 2">
              <controlPr defaultSize="0" autoLine="0" autoPict="0">
                <anchor moveWithCells="1">
                  <from>
                    <xdr:col>5</xdr:col>
                    <xdr:colOff>0</xdr:colOff>
                    <xdr:row>15</xdr:row>
                    <xdr:rowOff>0</xdr:rowOff>
                  </from>
                  <to>
                    <xdr:col>10</xdr:col>
                    <xdr:colOff>0</xdr:colOff>
                    <xdr:row>16</xdr:row>
                    <xdr:rowOff>9525</xdr:rowOff>
                  </to>
                </anchor>
              </controlPr>
            </control>
          </mc:Choice>
        </mc:AlternateContent>
        <mc:AlternateContent xmlns:mc="http://schemas.openxmlformats.org/markup-compatibility/2006">
          <mc:Choice Requires="x14">
            <control shapeId="15364" r:id="rId5" name="Drop Down 4">
              <controlPr defaultSize="0" autoLine="0" autoPict="0">
                <anchor moveWithCells="1">
                  <from>
                    <xdr:col>5</xdr:col>
                    <xdr:colOff>0</xdr:colOff>
                    <xdr:row>12</xdr:row>
                    <xdr:rowOff>0</xdr:rowOff>
                  </from>
                  <to>
                    <xdr:col>10</xdr:col>
                    <xdr:colOff>0</xdr:colOff>
                    <xdr:row>13</xdr:row>
                    <xdr:rowOff>0</xdr:rowOff>
                  </to>
                </anchor>
              </controlPr>
            </control>
          </mc:Choice>
        </mc:AlternateContent>
        <mc:AlternateContent xmlns:mc="http://schemas.openxmlformats.org/markup-compatibility/2006">
          <mc:Choice Requires="x14">
            <control shapeId="15366" r:id="rId6" name="Drop Down 6">
              <controlPr defaultSize="0" autoLine="0" autoPict="0">
                <anchor moveWithCells="1">
                  <from>
                    <xdr:col>5</xdr:col>
                    <xdr:colOff>0</xdr:colOff>
                    <xdr:row>17</xdr:row>
                    <xdr:rowOff>0</xdr:rowOff>
                  </from>
                  <to>
                    <xdr:col>10</xdr:col>
                    <xdr:colOff>0</xdr:colOff>
                    <xdr:row>18</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2:M37"/>
  <sheetViews>
    <sheetView workbookViewId="0"/>
  </sheetViews>
  <sheetFormatPr defaultRowHeight="12.75" x14ac:dyDescent="0.2"/>
  <cols>
    <col min="1" max="1" width="2.5703125" style="12" customWidth="1"/>
    <col min="2" max="2" width="35.7109375" style="14" bestFit="1" customWidth="1"/>
    <col min="3" max="3" width="4" style="37" customWidth="1"/>
    <col min="4" max="4" width="27.5703125" style="14" bestFit="1" customWidth="1"/>
    <col min="5" max="5" width="9.5703125" style="161" customWidth="1"/>
    <col min="6" max="6" width="6.140625" style="14" bestFit="1" customWidth="1"/>
    <col min="7" max="7" width="10.7109375" style="14" bestFit="1" customWidth="1"/>
    <col min="8" max="8" width="13.7109375" style="14" bestFit="1" customWidth="1"/>
    <col min="9" max="9" width="2.5703125" style="14" customWidth="1"/>
    <col min="10" max="10" width="22.42578125" style="37" bestFit="1" customWidth="1"/>
    <col min="11" max="11" width="9.140625" style="37"/>
    <col min="12" max="12" width="5.140625" style="14" customWidth="1"/>
    <col min="13" max="16384" width="9.140625" style="14"/>
  </cols>
  <sheetData>
    <row r="2" spans="1:13" ht="13.5" thickBot="1" x14ac:dyDescent="0.25">
      <c r="B2" s="13"/>
      <c r="C2" s="414" t="s">
        <v>77</v>
      </c>
      <c r="D2" s="414"/>
      <c r="E2" s="158" t="s">
        <v>78</v>
      </c>
      <c r="F2" s="13" t="s">
        <v>79</v>
      </c>
      <c r="G2" s="414" t="s">
        <v>80</v>
      </c>
      <c r="H2" s="414"/>
      <c r="J2" s="145" t="s">
        <v>1159</v>
      </c>
      <c r="K2" s="145" t="s">
        <v>1040</v>
      </c>
    </row>
    <row r="3" spans="1:13" x14ac:dyDescent="0.2">
      <c r="C3" s="14"/>
      <c r="E3" s="159"/>
      <c r="J3" s="148" t="s">
        <v>1160</v>
      </c>
      <c r="K3" s="18">
        <v>0.8</v>
      </c>
    </row>
    <row r="4" spans="1:13" ht="15.75" customHeight="1" x14ac:dyDescent="0.2">
      <c r="A4" s="415" t="s">
        <v>159</v>
      </c>
      <c r="B4" s="134" t="s">
        <v>16</v>
      </c>
      <c r="C4" s="162" t="s">
        <v>1074</v>
      </c>
      <c r="D4" s="177"/>
      <c r="E4" s="25">
        <f>_bldg_theta</f>
        <v>18.43494882292201</v>
      </c>
      <c r="F4" s="16" t="s">
        <v>87</v>
      </c>
      <c r="G4" s="134" t="s">
        <v>82</v>
      </c>
      <c r="H4" s="178"/>
      <c r="I4" s="17"/>
      <c r="J4" s="20" t="s">
        <v>1161</v>
      </c>
      <c r="K4" s="21">
        <v>1</v>
      </c>
      <c r="L4" s="17"/>
      <c r="M4" s="17"/>
    </row>
    <row r="5" spans="1:13" ht="18" x14ac:dyDescent="0.2">
      <c r="A5" s="415"/>
      <c r="B5" s="134" t="s">
        <v>161</v>
      </c>
      <c r="C5" s="146" t="s">
        <v>1142</v>
      </c>
      <c r="D5" s="23">
        <v>1</v>
      </c>
      <c r="E5" s="128">
        <f>INDEX('NBCC_G-1'!$K$3:$K$6,'NBCC_G-1'!$D$5)</f>
        <v>0.8</v>
      </c>
      <c r="F5" s="177"/>
      <c r="G5" s="17" t="s">
        <v>90</v>
      </c>
      <c r="H5" s="17" t="s">
        <v>162</v>
      </c>
      <c r="I5" s="17"/>
      <c r="J5" s="20" t="s">
        <v>1162</v>
      </c>
      <c r="K5" s="24">
        <v>1.1499999999999999</v>
      </c>
      <c r="L5" s="17"/>
      <c r="M5" s="17"/>
    </row>
    <row r="6" spans="1:13" ht="16.5" thickBot="1" x14ac:dyDescent="0.25">
      <c r="A6" s="415"/>
      <c r="B6" s="99" t="s">
        <v>163</v>
      </c>
      <c r="C6" s="100" t="s">
        <v>164</v>
      </c>
      <c r="D6" s="177"/>
      <c r="E6" s="25">
        <f>_load_Ss</f>
        <v>3</v>
      </c>
      <c r="F6" s="17" t="s">
        <v>105</v>
      </c>
      <c r="G6" s="99" t="s">
        <v>90</v>
      </c>
      <c r="H6" s="99" t="s">
        <v>106</v>
      </c>
      <c r="I6" s="17"/>
      <c r="J6" s="147" t="s">
        <v>1163</v>
      </c>
      <c r="K6" s="26">
        <v>1.25</v>
      </c>
      <c r="L6" s="17"/>
      <c r="M6" s="17"/>
    </row>
    <row r="7" spans="1:13" ht="15.75" x14ac:dyDescent="0.2">
      <c r="A7" s="415"/>
      <c r="B7" s="99" t="s">
        <v>166</v>
      </c>
      <c r="C7" s="100" t="s">
        <v>167</v>
      </c>
      <c r="D7" s="177"/>
      <c r="E7" s="25">
        <f>_load_Sr</f>
        <v>0.1</v>
      </c>
      <c r="F7" s="17" t="s">
        <v>105</v>
      </c>
      <c r="G7" s="99" t="s">
        <v>90</v>
      </c>
      <c r="H7" s="99" t="s">
        <v>106</v>
      </c>
      <c r="I7" s="17"/>
      <c r="J7" s="22"/>
      <c r="K7" s="22"/>
      <c r="L7" s="17"/>
      <c r="M7" s="17"/>
    </row>
    <row r="8" spans="1:13" ht="13.5" customHeight="1" thickBot="1" x14ac:dyDescent="0.25">
      <c r="A8" s="415"/>
      <c r="B8" s="135" t="s">
        <v>15</v>
      </c>
      <c r="C8" s="102" t="s">
        <v>24</v>
      </c>
      <c r="D8" s="177"/>
      <c r="E8" s="105">
        <f>_bldg_width</f>
        <v>10.972800000000001</v>
      </c>
      <c r="F8" s="33" t="s">
        <v>83</v>
      </c>
      <c r="G8" s="134" t="s">
        <v>82</v>
      </c>
      <c r="H8" s="178"/>
      <c r="I8" s="17"/>
      <c r="J8" s="416" t="s">
        <v>1158</v>
      </c>
      <c r="K8" s="416"/>
      <c r="L8" s="17"/>
      <c r="M8" s="17"/>
    </row>
    <row r="9" spans="1:13" x14ac:dyDescent="0.2">
      <c r="A9" s="415"/>
      <c r="B9" s="136" t="s">
        <v>30</v>
      </c>
      <c r="C9" s="102" t="s">
        <v>20</v>
      </c>
      <c r="D9" s="177"/>
      <c r="E9" s="105">
        <f>_bldg_length</f>
        <v>27.432000000000002</v>
      </c>
      <c r="F9" s="33" t="s">
        <v>83</v>
      </c>
      <c r="G9" s="99"/>
      <c r="H9" s="99"/>
      <c r="I9" s="17"/>
      <c r="J9" s="421" t="s">
        <v>1161</v>
      </c>
      <c r="K9" s="422"/>
      <c r="L9" s="17"/>
      <c r="M9" s="17"/>
    </row>
    <row r="10" spans="1:13" ht="15" thickBot="1" x14ac:dyDescent="0.25">
      <c r="A10" s="415"/>
      <c r="B10" s="101" t="s">
        <v>169</v>
      </c>
      <c r="C10" s="102" t="s">
        <v>135</v>
      </c>
      <c r="D10" s="177"/>
      <c r="E10" s="25">
        <f>E8*E9</f>
        <v>301.00584960000003</v>
      </c>
      <c r="F10" s="33" t="s">
        <v>170</v>
      </c>
      <c r="G10" s="134" t="s">
        <v>82</v>
      </c>
      <c r="H10" s="178"/>
      <c r="I10" s="17"/>
      <c r="J10" s="419" t="s">
        <v>1164</v>
      </c>
      <c r="K10" s="420"/>
      <c r="L10" s="17"/>
      <c r="M10" s="17"/>
    </row>
    <row r="11" spans="1:13" ht="15.75" customHeight="1" x14ac:dyDescent="0.2">
      <c r="A11" s="417" t="s">
        <v>171</v>
      </c>
      <c r="B11" s="17" t="s">
        <v>172</v>
      </c>
      <c r="C11" s="146" t="s">
        <v>1177</v>
      </c>
      <c r="D11" s="177"/>
      <c r="E11" s="160">
        <v>0.8</v>
      </c>
      <c r="F11" s="177"/>
      <c r="G11" s="17" t="s">
        <v>90</v>
      </c>
      <c r="H11" s="17" t="s">
        <v>173</v>
      </c>
      <c r="I11" s="17"/>
      <c r="J11" s="34"/>
      <c r="K11" s="35"/>
      <c r="L11" s="17"/>
      <c r="M11" s="17"/>
    </row>
    <row r="12" spans="1:13" ht="18.75" thickBot="1" x14ac:dyDescent="0.25">
      <c r="A12" s="417"/>
      <c r="B12" s="17" t="s">
        <v>174</v>
      </c>
      <c r="C12" s="22" t="s">
        <v>175</v>
      </c>
      <c r="D12" s="36">
        <v>2</v>
      </c>
      <c r="E12" s="128">
        <f>INDEX('NBCC_G-1'!$K$13:$K$15,'NBCC_G-1'!$D$12)</f>
        <v>0.75</v>
      </c>
      <c r="F12" s="177"/>
      <c r="G12" s="17" t="s">
        <v>90</v>
      </c>
      <c r="H12" s="17" t="s">
        <v>176</v>
      </c>
      <c r="I12" s="17"/>
      <c r="J12" s="145" t="s">
        <v>1157</v>
      </c>
      <c r="K12" s="15" t="s">
        <v>168</v>
      </c>
      <c r="L12" s="17"/>
      <c r="M12" s="17"/>
    </row>
    <row r="13" spans="1:13" ht="18" x14ac:dyDescent="0.2">
      <c r="A13" s="417"/>
      <c r="B13" s="418" t="s">
        <v>177</v>
      </c>
      <c r="C13" s="409" t="s">
        <v>178</v>
      </c>
      <c r="D13" s="23">
        <v>2</v>
      </c>
      <c r="E13" s="406">
        <f>CHOOSE('NBCC_G-1'!$D$13,IF(_bldg_theta&gt;70,0,IF(_bldg_theta&gt;30,(70-_bldg_theta)/40,1)),IF(_bldg_theta&gt;60,0,IF(_bldg_theta&gt;15,(60-_bldg_theta)/45,1)))</f>
        <v>0.92366780393506642</v>
      </c>
      <c r="F13" s="407"/>
      <c r="G13" s="408" t="s">
        <v>90</v>
      </c>
      <c r="H13" s="408" t="s">
        <v>179</v>
      </c>
      <c r="I13" s="17"/>
      <c r="J13" s="27" t="s">
        <v>1165</v>
      </c>
      <c r="K13" s="28">
        <v>1</v>
      </c>
      <c r="L13" s="17"/>
      <c r="M13" s="17"/>
    </row>
    <row r="14" spans="1:13" ht="12.75" customHeight="1" x14ac:dyDescent="0.2">
      <c r="A14" s="417"/>
      <c r="B14" s="418"/>
      <c r="C14" s="409"/>
      <c r="D14" s="423" t="str">
        <f>CHOOSE(D13,"= 1.0                   for θ≤30°
= (70° - θ)/40°
= 0                      for θ&gt;70°","= 1.0                   for θ≤15°
= (60° - θ)/45°
= 0                      for θ&gt;60°")</f>
        <v>= 1.0                   for θ≤15°
= (60° - θ)/45°
= 0                      for θ&gt;60°</v>
      </c>
      <c r="E14" s="406"/>
      <c r="F14" s="407"/>
      <c r="G14" s="408"/>
      <c r="H14" s="408"/>
      <c r="I14" s="17"/>
      <c r="J14" s="29" t="s">
        <v>1166</v>
      </c>
      <c r="K14" s="30">
        <f>CHOOSE($D$5,0.75,0.75,1,1)</f>
        <v>0.75</v>
      </c>
      <c r="L14" s="17"/>
    </row>
    <row r="15" spans="1:13" ht="13.5" thickBot="1" x14ac:dyDescent="0.25">
      <c r="A15" s="417"/>
      <c r="B15" s="418"/>
      <c r="C15" s="409"/>
      <c r="D15" s="423"/>
      <c r="E15" s="406"/>
      <c r="F15" s="407"/>
      <c r="G15" s="408"/>
      <c r="H15" s="408"/>
      <c r="J15" s="31" t="s">
        <v>1167</v>
      </c>
      <c r="K15" s="32">
        <f>CHOOSE($D$5,0.5,0.5,1,1)</f>
        <v>0.5</v>
      </c>
    </row>
    <row r="16" spans="1:13" x14ac:dyDescent="0.2">
      <c r="A16" s="417"/>
      <c r="B16" s="418"/>
      <c r="C16" s="409"/>
      <c r="D16" s="423"/>
      <c r="E16" s="406"/>
      <c r="F16" s="407"/>
      <c r="G16" s="408"/>
      <c r="H16" s="408"/>
    </row>
    <row r="17" spans="1:11" x14ac:dyDescent="0.2">
      <c r="A17" s="417"/>
      <c r="B17" s="418"/>
      <c r="C17" s="409"/>
      <c r="D17" s="423"/>
      <c r="E17" s="406"/>
      <c r="F17" s="407"/>
      <c r="G17" s="408"/>
      <c r="H17" s="408"/>
    </row>
    <row r="18" spans="1:11" ht="15.75" x14ac:dyDescent="0.2">
      <c r="A18" s="417"/>
      <c r="B18" s="17" t="s">
        <v>180</v>
      </c>
      <c r="C18" s="22" t="s">
        <v>181</v>
      </c>
      <c r="D18" s="19" t="s">
        <v>182</v>
      </c>
      <c r="E18" s="160">
        <v>1</v>
      </c>
      <c r="F18" s="177"/>
      <c r="G18" s="17" t="s">
        <v>90</v>
      </c>
      <c r="H18" s="17" t="s">
        <v>183</v>
      </c>
    </row>
    <row r="19" spans="1:11" x14ac:dyDescent="0.2">
      <c r="A19" s="417"/>
      <c r="B19" s="418" t="s">
        <v>184</v>
      </c>
      <c r="C19" s="409" t="s">
        <v>185</v>
      </c>
      <c r="D19" s="405" t="s">
        <v>1092</v>
      </c>
      <c r="E19" s="406">
        <f>IF(E4&lt;15,NA(),IF(E4&gt;20,1.25,0.25+E4/20))</f>
        <v>1.1717474411461004</v>
      </c>
      <c r="F19" s="407"/>
      <c r="G19" s="408" t="s">
        <v>90</v>
      </c>
      <c r="H19" s="408" t="s">
        <v>186</v>
      </c>
    </row>
    <row r="20" spans="1:11" x14ac:dyDescent="0.2">
      <c r="A20" s="417"/>
      <c r="B20" s="418"/>
      <c r="C20" s="409"/>
      <c r="D20" s="405"/>
      <c r="E20" s="406"/>
      <c r="F20" s="407"/>
      <c r="G20" s="408"/>
      <c r="H20" s="408"/>
    </row>
    <row r="21" spans="1:11" x14ac:dyDescent="0.2">
      <c r="A21" s="417"/>
      <c r="B21" s="418"/>
      <c r="C21" s="409"/>
      <c r="D21" s="405"/>
      <c r="E21" s="406"/>
      <c r="F21" s="407"/>
      <c r="G21" s="408"/>
      <c r="H21" s="408"/>
    </row>
    <row r="22" spans="1:11" x14ac:dyDescent="0.2">
      <c r="A22" s="417"/>
      <c r="B22" s="418"/>
      <c r="C22" s="409"/>
      <c r="D22" s="405"/>
      <c r="E22" s="406"/>
      <c r="F22" s="407"/>
      <c r="G22" s="408"/>
      <c r="H22" s="408"/>
    </row>
    <row r="23" spans="1:11" ht="15.75" customHeight="1" x14ac:dyDescent="0.2">
      <c r="A23" s="417"/>
      <c r="B23" s="99" t="s">
        <v>187</v>
      </c>
      <c r="C23" s="100" t="s">
        <v>188</v>
      </c>
      <c r="D23" s="104" t="s">
        <v>1180</v>
      </c>
      <c r="E23" s="105">
        <f>E$5*(E$6*PRODUCT(E$11*E$12*E$13*E18)+E$7)</f>
        <v>1.410081637666496</v>
      </c>
      <c r="F23" s="17" t="s">
        <v>105</v>
      </c>
      <c r="G23" s="99" t="s">
        <v>90</v>
      </c>
      <c r="H23" s="99" t="s">
        <v>189</v>
      </c>
    </row>
    <row r="24" spans="1:11" ht="15.75" x14ac:dyDescent="0.2">
      <c r="A24" s="417"/>
      <c r="B24" s="99" t="s">
        <v>190</v>
      </c>
      <c r="C24" s="100" t="s">
        <v>191</v>
      </c>
      <c r="D24" s="104" t="s">
        <v>1181</v>
      </c>
      <c r="E24" s="105">
        <f>E$5*(E$6*PRODUCT(E$11*E$12*E$13*E19)+E$7)</f>
        <v>1.6385197554511313</v>
      </c>
      <c r="F24" s="17" t="s">
        <v>105</v>
      </c>
      <c r="G24" s="99" t="s">
        <v>90</v>
      </c>
      <c r="H24" s="99" t="s">
        <v>189</v>
      </c>
    </row>
    <row r="25" spans="1:11" ht="15.75" customHeight="1" x14ac:dyDescent="0.2">
      <c r="A25" s="404" t="s">
        <v>192</v>
      </c>
      <c r="B25" s="410" t="s">
        <v>1176</v>
      </c>
      <c r="C25" s="412" t="s">
        <v>1174</v>
      </c>
      <c r="D25" s="412"/>
      <c r="E25" s="411" t="str">
        <f>IF(_bldg_width&gt;12.2,"Part 9 n/a","Part 9 ok")</f>
        <v>Part 9 ok</v>
      </c>
      <c r="F25" s="411"/>
    </row>
    <row r="26" spans="1:11" ht="15.75" customHeight="1" x14ac:dyDescent="0.2">
      <c r="A26" s="404"/>
      <c r="B26" s="410"/>
      <c r="C26" s="413" t="s">
        <v>1175</v>
      </c>
      <c r="D26" s="412"/>
      <c r="E26" s="411" t="str">
        <f>IF(E10&gt;4550,"Part 9 n/a","Part 9 ok")</f>
        <v>Part 9 ok</v>
      </c>
      <c r="F26" s="411"/>
      <c r="G26" s="149"/>
      <c r="H26" s="103"/>
    </row>
    <row r="27" spans="1:11" ht="15.75" customHeight="1" x14ac:dyDescent="0.2">
      <c r="A27" s="404"/>
      <c r="B27" s="17" t="s">
        <v>172</v>
      </c>
      <c r="C27" s="146" t="s">
        <v>1178</v>
      </c>
      <c r="D27" s="38" t="s">
        <v>193</v>
      </c>
      <c r="E27" s="39">
        <f>IF(E8&lt;4.3,0.45,0.55)</f>
        <v>0.55000000000000004</v>
      </c>
      <c r="F27" s="177"/>
      <c r="G27" s="17" t="s">
        <v>90</v>
      </c>
      <c r="H27" s="33" t="s">
        <v>194</v>
      </c>
    </row>
    <row r="28" spans="1:11" ht="15.75" x14ac:dyDescent="0.2">
      <c r="A28" s="404"/>
      <c r="B28" s="99" t="s">
        <v>187</v>
      </c>
      <c r="C28" s="102" t="s">
        <v>37</v>
      </c>
      <c r="D28" s="104" t="s">
        <v>1179</v>
      </c>
      <c r="E28" s="105">
        <f>MAX(1,E27*E6+E7)</f>
        <v>1.7500000000000002</v>
      </c>
      <c r="F28" s="17" t="s">
        <v>105</v>
      </c>
      <c r="G28" s="99" t="s">
        <v>90</v>
      </c>
      <c r="H28" s="103" t="s">
        <v>194</v>
      </c>
    </row>
    <row r="30" spans="1:11" x14ac:dyDescent="0.2">
      <c r="J30" s="14"/>
      <c r="K30" s="14"/>
    </row>
    <row r="31" spans="1:11" x14ac:dyDescent="0.2">
      <c r="J31" s="14"/>
      <c r="K31" s="14"/>
    </row>
    <row r="32" spans="1:11" x14ac:dyDescent="0.2">
      <c r="J32" s="14"/>
      <c r="K32" s="14"/>
    </row>
    <row r="33" spans="10:11" x14ac:dyDescent="0.2">
      <c r="J33" s="14"/>
      <c r="K33" s="14"/>
    </row>
    <row r="34" spans="10:11" x14ac:dyDescent="0.2">
      <c r="J34" s="14"/>
      <c r="K34" s="14"/>
    </row>
    <row r="35" spans="10:11" x14ac:dyDescent="0.2">
      <c r="J35" s="14"/>
      <c r="K35" s="14"/>
    </row>
    <row r="36" spans="10:11" x14ac:dyDescent="0.2">
      <c r="J36" s="14"/>
      <c r="K36" s="14"/>
    </row>
    <row r="37" spans="10:11" x14ac:dyDescent="0.2">
      <c r="J37" s="14"/>
      <c r="K37" s="14"/>
    </row>
  </sheetData>
  <mergeCells count="27">
    <mergeCell ref="H19:H22"/>
    <mergeCell ref="C2:D2"/>
    <mergeCell ref="G2:H2"/>
    <mergeCell ref="A4:A10"/>
    <mergeCell ref="J8:K8"/>
    <mergeCell ref="A11:A24"/>
    <mergeCell ref="B13:B17"/>
    <mergeCell ref="C13:C17"/>
    <mergeCell ref="E13:E17"/>
    <mergeCell ref="F13:F17"/>
    <mergeCell ref="J10:K10"/>
    <mergeCell ref="J9:K9"/>
    <mergeCell ref="G13:G17"/>
    <mergeCell ref="H13:H17"/>
    <mergeCell ref="D14:D17"/>
    <mergeCell ref="B19:B22"/>
    <mergeCell ref="A25:A28"/>
    <mergeCell ref="D19:D22"/>
    <mergeCell ref="E19:E22"/>
    <mergeCell ref="F19:F22"/>
    <mergeCell ref="G19:G22"/>
    <mergeCell ref="C19:C22"/>
    <mergeCell ref="B25:B26"/>
    <mergeCell ref="E25:F25"/>
    <mergeCell ref="E26:F26"/>
    <mergeCell ref="C25:D25"/>
    <mergeCell ref="C26:D26"/>
  </mergeCells>
  <printOptions gridLines="1"/>
  <pageMargins left="0.74803149606299213" right="0.74803149606299213" top="0.98425196850393704" bottom="0.98425196850393704" header="0.51181102362204722" footer="0.51181102362204722"/>
  <pageSetup scale="65" orientation="portrait" blackAndWhite="1"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3" r:id="rId4" name="Drop Down 5">
              <controlPr defaultSize="0" autoLine="0" autoPict="0">
                <anchor moveWithCells="1">
                  <from>
                    <xdr:col>3</xdr:col>
                    <xdr:colOff>0</xdr:colOff>
                    <xdr:row>4</xdr:row>
                    <xdr:rowOff>0</xdr:rowOff>
                  </from>
                  <to>
                    <xdr:col>4</xdr:col>
                    <xdr:colOff>0</xdr:colOff>
                    <xdr:row>5</xdr:row>
                    <xdr:rowOff>0</xdr:rowOff>
                  </to>
                </anchor>
              </controlPr>
            </control>
          </mc:Choice>
        </mc:AlternateContent>
        <mc:AlternateContent xmlns:mc="http://schemas.openxmlformats.org/markup-compatibility/2006">
          <mc:Choice Requires="x14">
            <control shapeId="2054" r:id="rId5" name="Drop Down 6">
              <controlPr defaultSize="0" autoLine="0" autoPict="0">
                <anchor moveWithCells="1">
                  <from>
                    <xdr:col>3</xdr:col>
                    <xdr:colOff>0</xdr:colOff>
                    <xdr:row>12</xdr:row>
                    <xdr:rowOff>0</xdr:rowOff>
                  </from>
                  <to>
                    <xdr:col>4</xdr:col>
                    <xdr:colOff>0</xdr:colOff>
                    <xdr:row>13</xdr:row>
                    <xdr:rowOff>0</xdr:rowOff>
                  </to>
                </anchor>
              </controlPr>
            </control>
          </mc:Choice>
        </mc:AlternateContent>
        <mc:AlternateContent xmlns:mc="http://schemas.openxmlformats.org/markup-compatibility/2006">
          <mc:Choice Requires="x14">
            <control shapeId="2055" r:id="rId6" name="Drop Down 7">
              <controlPr defaultSize="0" autoLine="0" autoPict="0">
                <anchor moveWithCells="1">
                  <from>
                    <xdr:col>3</xdr:col>
                    <xdr:colOff>0</xdr:colOff>
                    <xdr:row>11</xdr:row>
                    <xdr:rowOff>0</xdr:rowOff>
                  </from>
                  <to>
                    <xdr:col>4</xdr:col>
                    <xdr:colOff>0</xdr:colOff>
                    <xdr:row>12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2:T89"/>
  <sheetViews>
    <sheetView topLeftCell="A53" zoomScale="85" zoomScaleNormal="85" workbookViewId="0">
      <selection activeCell="C98" sqref="C98"/>
    </sheetView>
  </sheetViews>
  <sheetFormatPr defaultRowHeight="12.75" x14ac:dyDescent="0.2"/>
  <cols>
    <col min="1" max="1" width="3.7109375" style="305" customWidth="1"/>
    <col min="2" max="5" width="9.140625" style="151" customWidth="1"/>
    <col min="6" max="6" width="9.140625" style="92" customWidth="1"/>
    <col min="7" max="10" width="9.140625" style="151" customWidth="1"/>
    <col min="11" max="12" width="9.140625" style="92" customWidth="1"/>
    <col min="13" max="15" width="9.140625" style="154" customWidth="1"/>
    <col min="16" max="16384" width="9.140625" style="92"/>
  </cols>
  <sheetData>
    <row r="2" spans="1:20" x14ac:dyDescent="0.2">
      <c r="B2" s="459" t="s">
        <v>1</v>
      </c>
      <c r="C2" s="459"/>
      <c r="D2" s="459"/>
      <c r="E2" s="459"/>
      <c r="F2" s="459" t="s">
        <v>2</v>
      </c>
      <c r="G2" s="459"/>
      <c r="H2" s="459"/>
      <c r="I2" s="459"/>
      <c r="J2" s="459"/>
      <c r="K2" s="300" t="s">
        <v>3</v>
      </c>
      <c r="L2" s="300" t="s">
        <v>4</v>
      </c>
      <c r="M2" s="460" t="s">
        <v>5</v>
      </c>
      <c r="N2" s="460"/>
      <c r="O2" s="460"/>
    </row>
    <row r="3" spans="1:20" x14ac:dyDescent="0.2">
      <c r="B3" s="305"/>
      <c r="C3" s="305"/>
      <c r="D3" s="305"/>
      <c r="E3" s="305"/>
      <c r="F3" s="305"/>
      <c r="G3" s="305"/>
      <c r="H3" s="305"/>
      <c r="I3" s="305"/>
      <c r="J3" s="305"/>
      <c r="K3" s="305"/>
      <c r="L3" s="305"/>
      <c r="M3" s="305"/>
      <c r="N3" s="305"/>
      <c r="O3" s="305"/>
      <c r="P3" s="305"/>
      <c r="Q3" s="305"/>
    </row>
    <row r="4" spans="1:20" ht="15.75" x14ac:dyDescent="0.2">
      <c r="A4" s="472" t="s">
        <v>1066</v>
      </c>
      <c r="B4" s="433" t="s">
        <v>1056</v>
      </c>
      <c r="C4" s="433"/>
      <c r="D4" s="434"/>
      <c r="E4" s="434"/>
      <c r="F4" s="153" t="s">
        <v>1060</v>
      </c>
      <c r="G4" s="435"/>
      <c r="H4" s="437"/>
      <c r="I4" s="437"/>
      <c r="J4" s="437"/>
      <c r="K4" s="184">
        <v>10</v>
      </c>
      <c r="L4" s="133"/>
      <c r="M4" s="445" t="s">
        <v>82</v>
      </c>
      <c r="N4" s="445"/>
      <c r="O4" s="445"/>
    </row>
    <row r="5" spans="1:20" ht="15.75" x14ac:dyDescent="0.2">
      <c r="A5" s="472"/>
      <c r="B5" s="433" t="s">
        <v>1054</v>
      </c>
      <c r="C5" s="433"/>
      <c r="D5" s="434"/>
      <c r="E5" s="434"/>
      <c r="F5" s="152" t="s">
        <v>1061</v>
      </c>
      <c r="G5" s="462" t="s">
        <v>1062</v>
      </c>
      <c r="H5" s="437"/>
      <c r="I5" s="437"/>
      <c r="J5" s="437"/>
      <c r="K5" s="96">
        <f>_bldg_nf-1</f>
        <v>9</v>
      </c>
      <c r="L5" s="133"/>
      <c r="M5" s="445"/>
      <c r="N5" s="445"/>
      <c r="O5" s="445"/>
    </row>
    <row r="6" spans="1:20" x14ac:dyDescent="0.2">
      <c r="A6" s="473"/>
      <c r="B6" s="433" t="s">
        <v>1043</v>
      </c>
      <c r="C6" s="433"/>
      <c r="D6" s="433"/>
      <c r="E6" s="433"/>
      <c r="F6" s="461" t="s">
        <v>26</v>
      </c>
      <c r="G6" s="432"/>
      <c r="H6" s="432"/>
      <c r="I6" s="432"/>
      <c r="J6" s="432"/>
      <c r="K6" s="184">
        <v>120</v>
      </c>
      <c r="L6" s="152" t="s">
        <v>122</v>
      </c>
      <c r="M6" s="445" t="s">
        <v>82</v>
      </c>
      <c r="N6" s="446"/>
      <c r="O6" s="446"/>
    </row>
    <row r="7" spans="1:20" x14ac:dyDescent="0.2">
      <c r="A7" s="473"/>
      <c r="B7" s="433"/>
      <c r="C7" s="433"/>
      <c r="D7" s="433"/>
      <c r="E7" s="433"/>
      <c r="F7" s="461"/>
      <c r="G7" s="432"/>
      <c r="H7" s="432"/>
      <c r="I7" s="432"/>
      <c r="J7" s="432"/>
      <c r="K7" s="96" t="str">
        <f>lentext(K6/12)</f>
        <v>10' 0"</v>
      </c>
      <c r="L7" s="152" t="s">
        <v>0</v>
      </c>
      <c r="M7" s="445"/>
      <c r="N7" s="446"/>
      <c r="O7" s="446"/>
    </row>
    <row r="8" spans="1:20" x14ac:dyDescent="0.2">
      <c r="A8" s="473"/>
      <c r="B8" s="433"/>
      <c r="C8" s="433"/>
      <c r="D8" s="433"/>
      <c r="E8" s="433"/>
      <c r="F8" s="461"/>
      <c r="G8" s="432"/>
      <c r="H8" s="432"/>
      <c r="I8" s="432"/>
      <c r="J8" s="432"/>
      <c r="K8" s="127">
        <f>K6*0.0254</f>
        <v>3.048</v>
      </c>
      <c r="L8" s="152" t="s">
        <v>83</v>
      </c>
      <c r="M8" s="446"/>
      <c r="N8" s="446"/>
      <c r="O8" s="446"/>
    </row>
    <row r="9" spans="1:20" x14ac:dyDescent="0.2">
      <c r="A9" s="473"/>
      <c r="B9" s="433" t="s">
        <v>1045</v>
      </c>
      <c r="C9" s="433"/>
      <c r="D9" s="433"/>
      <c r="E9" s="433"/>
      <c r="F9" s="431" t="s">
        <v>20</v>
      </c>
      <c r="G9" s="462" t="s">
        <v>1059</v>
      </c>
      <c r="H9" s="462"/>
      <c r="I9" s="462"/>
      <c r="J9" s="462"/>
      <c r="K9" s="96">
        <f>K5*feet(K7)</f>
        <v>90</v>
      </c>
      <c r="L9" s="152" t="s">
        <v>0</v>
      </c>
      <c r="M9" s="445" t="s">
        <v>82</v>
      </c>
      <c r="N9" s="446"/>
      <c r="O9" s="446"/>
    </row>
    <row r="10" spans="1:20" x14ac:dyDescent="0.2">
      <c r="A10" s="473"/>
      <c r="B10" s="433"/>
      <c r="C10" s="433"/>
      <c r="D10" s="433"/>
      <c r="E10" s="433"/>
      <c r="F10" s="431"/>
      <c r="G10" s="462"/>
      <c r="H10" s="462"/>
      <c r="I10" s="462"/>
      <c r="J10" s="462"/>
      <c r="K10" s="132">
        <f>K9*0.3048</f>
        <v>27.432000000000002</v>
      </c>
      <c r="L10" s="152" t="s">
        <v>83</v>
      </c>
      <c r="M10" s="446"/>
      <c r="N10" s="446"/>
      <c r="O10" s="446"/>
    </row>
    <row r="11" spans="1:20" x14ac:dyDescent="0.2">
      <c r="A11" s="473"/>
      <c r="B11" s="433" t="s">
        <v>1044</v>
      </c>
      <c r="C11" s="433"/>
      <c r="D11" s="433"/>
      <c r="E11" s="433"/>
      <c r="F11" s="431" t="s">
        <v>24</v>
      </c>
      <c r="G11" s="432"/>
      <c r="H11" s="432"/>
      <c r="I11" s="432"/>
      <c r="J11" s="432"/>
      <c r="K11" s="184">
        <v>36</v>
      </c>
      <c r="L11" s="152" t="s">
        <v>0</v>
      </c>
      <c r="M11" s="445" t="s">
        <v>82</v>
      </c>
      <c r="N11" s="446"/>
      <c r="O11" s="446"/>
      <c r="S11"/>
      <c r="T11"/>
    </row>
    <row r="12" spans="1:20" x14ac:dyDescent="0.2">
      <c r="A12" s="473"/>
      <c r="B12" s="433"/>
      <c r="C12" s="433"/>
      <c r="D12" s="433"/>
      <c r="E12" s="433"/>
      <c r="F12" s="431"/>
      <c r="G12" s="432"/>
      <c r="H12" s="432"/>
      <c r="I12" s="432"/>
      <c r="J12" s="432"/>
      <c r="K12" s="132">
        <f>K11*0.3048</f>
        <v>10.972800000000001</v>
      </c>
      <c r="L12" s="152" t="s">
        <v>83</v>
      </c>
      <c r="M12" s="446"/>
      <c r="N12" s="446"/>
      <c r="O12" s="446"/>
      <c r="S12"/>
      <c r="T12"/>
    </row>
    <row r="13" spans="1:20" x14ac:dyDescent="0.2">
      <c r="A13" s="473"/>
      <c r="B13" s="464" t="s">
        <v>1144</v>
      </c>
      <c r="C13" s="464"/>
      <c r="D13" s="464"/>
      <c r="E13" s="464"/>
      <c r="F13" s="465" t="s">
        <v>1052</v>
      </c>
      <c r="G13" s="432"/>
      <c r="H13" s="432"/>
      <c r="I13" s="432"/>
      <c r="J13" s="432"/>
      <c r="K13" s="184">
        <v>60</v>
      </c>
      <c r="L13" s="152" t="s">
        <v>122</v>
      </c>
      <c r="M13" s="445" t="s">
        <v>82</v>
      </c>
      <c r="N13" s="446"/>
      <c r="O13" s="446"/>
      <c r="S13"/>
      <c r="T13"/>
    </row>
    <row r="14" spans="1:20" x14ac:dyDescent="0.2">
      <c r="A14" s="473"/>
      <c r="B14" s="464"/>
      <c r="C14" s="464"/>
      <c r="D14" s="464"/>
      <c r="E14" s="464"/>
      <c r="F14" s="465"/>
      <c r="G14" s="432"/>
      <c r="H14" s="432"/>
      <c r="I14" s="432"/>
      <c r="J14" s="432"/>
      <c r="K14" s="96" t="str">
        <f>lentext(K13/12)</f>
        <v>5' 0"</v>
      </c>
      <c r="L14" s="157" t="s">
        <v>0</v>
      </c>
      <c r="M14" s="446"/>
      <c r="N14" s="446"/>
      <c r="O14" s="446"/>
    </row>
    <row r="15" spans="1:20" x14ac:dyDescent="0.2">
      <c r="A15" s="473"/>
      <c r="B15" s="464"/>
      <c r="C15" s="464"/>
      <c r="D15" s="464"/>
      <c r="E15" s="464"/>
      <c r="F15" s="465"/>
      <c r="G15" s="432"/>
      <c r="H15" s="432"/>
      <c r="I15" s="432"/>
      <c r="J15" s="432"/>
      <c r="K15" s="127">
        <f>K13*0.0254</f>
        <v>1.524</v>
      </c>
      <c r="L15" s="152" t="s">
        <v>83</v>
      </c>
      <c r="M15" s="446"/>
      <c r="N15" s="446"/>
      <c r="O15" s="446"/>
    </row>
    <row r="16" spans="1:20" x14ac:dyDescent="0.2">
      <c r="A16" s="473"/>
      <c r="B16" s="433" t="s">
        <v>16</v>
      </c>
      <c r="C16" s="433"/>
      <c r="D16" s="433"/>
      <c r="E16" s="433"/>
      <c r="F16" s="466" t="s">
        <v>1074</v>
      </c>
      <c r="G16" s="432"/>
      <c r="H16" s="432"/>
      <c r="I16" s="432"/>
      <c r="J16" s="432"/>
      <c r="K16" s="184">
        <v>4</v>
      </c>
      <c r="L16" s="130" t="s">
        <v>160</v>
      </c>
      <c r="M16" s="445" t="s">
        <v>82</v>
      </c>
      <c r="N16" s="446"/>
      <c r="O16" s="446"/>
    </row>
    <row r="17" spans="1:18" ht="15.75" x14ac:dyDescent="0.2">
      <c r="A17" s="473"/>
      <c r="B17" s="433"/>
      <c r="C17" s="433"/>
      <c r="D17" s="433"/>
      <c r="E17" s="433"/>
      <c r="F17" s="466"/>
      <c r="G17" s="432"/>
      <c r="H17" s="432"/>
      <c r="I17" s="432"/>
      <c r="J17" s="432"/>
      <c r="K17" s="25">
        <f>DEGREES(ATAN(K16/12))</f>
        <v>18.43494882292201</v>
      </c>
      <c r="L17" s="131" t="s">
        <v>87</v>
      </c>
      <c r="M17" s="446"/>
      <c r="N17" s="446"/>
      <c r="O17" s="446"/>
    </row>
    <row r="18" spans="1:18" x14ac:dyDescent="0.2">
      <c r="A18" s="473"/>
      <c r="B18" s="433" t="s">
        <v>1053</v>
      </c>
      <c r="C18" s="433"/>
      <c r="D18" s="433"/>
      <c r="E18" s="433"/>
      <c r="F18" s="467" t="s">
        <v>1051</v>
      </c>
      <c r="G18" s="435" t="s">
        <v>1075</v>
      </c>
      <c r="H18" s="435"/>
      <c r="I18" s="435"/>
      <c r="J18" s="435"/>
      <c r="K18" s="128" t="str">
        <f>lentext(_bldg_height_truss/0.3048)</f>
        <v>5' 8 1/4"</v>
      </c>
      <c r="L18" s="152" t="s">
        <v>0</v>
      </c>
      <c r="M18" s="445" t="s">
        <v>82</v>
      </c>
      <c r="N18" s="446"/>
      <c r="O18" s="446"/>
    </row>
    <row r="19" spans="1:18" x14ac:dyDescent="0.2">
      <c r="A19" s="473"/>
      <c r="B19" s="433"/>
      <c r="C19" s="433"/>
      <c r="D19" s="433"/>
      <c r="E19" s="433"/>
      <c r="F19" s="467"/>
      <c r="G19" s="435"/>
      <c r="H19" s="435"/>
      <c r="I19" s="435"/>
      <c r="J19" s="435"/>
      <c r="K19" s="127">
        <f>_bldg_width/2*SIN(RADIANS(_bldg_theta))</f>
        <v>1.73495201547478</v>
      </c>
      <c r="L19" s="152" t="s">
        <v>83</v>
      </c>
      <c r="M19" s="446"/>
      <c r="N19" s="446"/>
      <c r="O19" s="446"/>
    </row>
    <row r="20" spans="1:18" ht="15.75" x14ac:dyDescent="0.2">
      <c r="A20" s="473"/>
      <c r="B20" s="443" t="s">
        <v>1364</v>
      </c>
      <c r="C20" s="443"/>
      <c r="D20" s="444" t="s">
        <v>1362</v>
      </c>
      <c r="E20" s="433"/>
      <c r="F20" s="187" t="s">
        <v>1365</v>
      </c>
      <c r="G20" s="432"/>
      <c r="H20" s="432"/>
      <c r="I20" s="432"/>
      <c r="J20" s="432"/>
      <c r="K20" s="184">
        <v>6</v>
      </c>
      <c r="L20" s="133"/>
      <c r="M20" s="445" t="s">
        <v>82</v>
      </c>
      <c r="N20" s="446"/>
      <c r="O20" s="446"/>
    </row>
    <row r="21" spans="1:18" ht="15.75" x14ac:dyDescent="0.2">
      <c r="A21" s="473"/>
      <c r="B21" s="443"/>
      <c r="C21" s="443"/>
      <c r="D21" s="429" t="s">
        <v>1363</v>
      </c>
      <c r="E21" s="433"/>
      <c r="F21" s="187" t="s">
        <v>1366</v>
      </c>
      <c r="G21" s="432"/>
      <c r="H21" s="432"/>
      <c r="I21" s="432"/>
      <c r="J21" s="432"/>
      <c r="K21" s="184">
        <v>6</v>
      </c>
      <c r="L21" s="133"/>
      <c r="M21" s="446"/>
      <c r="N21" s="446"/>
      <c r="O21" s="446"/>
    </row>
    <row r="22" spans="1:18" x14ac:dyDescent="0.2">
      <c r="A22" s="473"/>
      <c r="B22" s="297"/>
      <c r="C22" s="297"/>
      <c r="D22" s="297"/>
      <c r="E22" s="297"/>
      <c r="G22" s="150"/>
      <c r="H22" s="150"/>
      <c r="I22" s="150"/>
      <c r="J22" s="150"/>
      <c r="M22" s="446"/>
      <c r="N22" s="446"/>
      <c r="O22" s="446"/>
    </row>
    <row r="23" spans="1:18" ht="18" x14ac:dyDescent="0.2">
      <c r="A23" s="470" t="s">
        <v>55</v>
      </c>
      <c r="B23" s="428" t="s">
        <v>1490</v>
      </c>
      <c r="C23" s="449"/>
      <c r="D23" s="428" t="s">
        <v>1342</v>
      </c>
      <c r="E23" s="449"/>
      <c r="F23" s="133"/>
      <c r="G23" s="425">
        <v>2</v>
      </c>
      <c r="H23" s="425"/>
      <c r="I23" s="425"/>
      <c r="J23" s="425"/>
      <c r="K23" s="133"/>
      <c r="L23" s="133"/>
      <c r="M23" s="445" t="s">
        <v>82</v>
      </c>
      <c r="N23" s="445"/>
      <c r="O23" s="445"/>
    </row>
    <row r="24" spans="1:18" ht="18" x14ac:dyDescent="0.2">
      <c r="A24" s="470"/>
      <c r="B24" s="449"/>
      <c r="C24" s="449"/>
      <c r="D24" s="428" t="s">
        <v>56</v>
      </c>
      <c r="E24" s="449"/>
      <c r="F24" s="133"/>
      <c r="G24" s="425">
        <v>1</v>
      </c>
      <c r="H24" s="425"/>
      <c r="I24" s="425"/>
      <c r="J24" s="425"/>
      <c r="K24" s="133"/>
      <c r="L24" s="133"/>
      <c r="M24" s="445"/>
      <c r="N24" s="445"/>
      <c r="O24" s="445"/>
    </row>
    <row r="25" spans="1:18" ht="18" x14ac:dyDescent="0.2">
      <c r="A25" s="470"/>
      <c r="B25" s="449"/>
      <c r="C25" s="449"/>
      <c r="D25" s="428" t="s">
        <v>57</v>
      </c>
      <c r="E25" s="449"/>
      <c r="F25" s="133"/>
      <c r="G25" s="425">
        <v>1</v>
      </c>
      <c r="H25" s="425"/>
      <c r="I25" s="425"/>
      <c r="J25" s="425"/>
      <c r="K25" s="133"/>
      <c r="L25" s="133"/>
      <c r="M25" s="445"/>
      <c r="N25" s="445"/>
      <c r="O25" s="445"/>
    </row>
    <row r="26" spans="1:18" ht="18.75" thickBot="1" x14ac:dyDescent="0.25">
      <c r="A26" s="470"/>
      <c r="B26" s="428" t="s">
        <v>1489</v>
      </c>
      <c r="C26" s="428" t="s">
        <v>1189</v>
      </c>
      <c r="D26" s="428" t="s">
        <v>1194</v>
      </c>
      <c r="E26" s="428"/>
      <c r="F26" s="431" t="s">
        <v>70</v>
      </c>
      <c r="G26" s="425">
        <v>2</v>
      </c>
      <c r="H26" s="425"/>
      <c r="I26" s="425"/>
      <c r="J26" s="425"/>
      <c r="K26" s="262">
        <f>INDEX(CHOOSE(_post_type_index,_post_b1,_post_b2),_post_b_index)</f>
        <v>6</v>
      </c>
      <c r="L26" s="187" t="s">
        <v>122</v>
      </c>
      <c r="M26" s="445"/>
      <c r="N26" s="445"/>
      <c r="O26" s="445"/>
      <c r="Q26" s="438" t="s">
        <v>1495</v>
      </c>
      <c r="R26" s="438"/>
    </row>
    <row r="27" spans="1:18" x14ac:dyDescent="0.2">
      <c r="A27" s="470"/>
      <c r="B27" s="428"/>
      <c r="C27" s="428"/>
      <c r="D27" s="428" t="s">
        <v>1195</v>
      </c>
      <c r="E27" s="428"/>
      <c r="F27" s="431"/>
      <c r="G27" s="450"/>
      <c r="H27" s="450"/>
      <c r="I27" s="450"/>
      <c r="J27" s="450"/>
      <c r="K27" s="262">
        <f>INDEX(CHOOSE(_post_type_index,_post_b1_mm,_post_b2_mm),_post_b_index)</f>
        <v>140</v>
      </c>
      <c r="L27" s="187" t="s">
        <v>1193</v>
      </c>
      <c r="M27" s="445"/>
      <c r="N27" s="445"/>
      <c r="O27" s="445"/>
      <c r="Q27" s="439" t="s">
        <v>1492</v>
      </c>
      <c r="R27" s="440"/>
    </row>
    <row r="28" spans="1:18" ht="18" x14ac:dyDescent="0.2">
      <c r="A28" s="470"/>
      <c r="B28" s="428"/>
      <c r="C28" s="428" t="s">
        <v>1190</v>
      </c>
      <c r="D28" s="428" t="s">
        <v>1194</v>
      </c>
      <c r="E28" s="428"/>
      <c r="F28" s="431" t="s">
        <v>1191</v>
      </c>
      <c r="G28" s="425">
        <v>2</v>
      </c>
      <c r="H28" s="425"/>
      <c r="I28" s="425"/>
      <c r="J28" s="425"/>
      <c r="K28" s="262">
        <f>INDEX(CHOOSE(_post_type_index,_post_d1,_post_d2),_post_d_index)</f>
        <v>6</v>
      </c>
      <c r="L28" s="187" t="s">
        <v>122</v>
      </c>
      <c r="M28" s="445"/>
      <c r="N28" s="445"/>
      <c r="O28" s="445"/>
      <c r="Q28" s="441" t="s">
        <v>1493</v>
      </c>
      <c r="R28" s="442"/>
    </row>
    <row r="29" spans="1:18" ht="13.5" thickBot="1" x14ac:dyDescent="0.25">
      <c r="A29" s="470"/>
      <c r="B29" s="428"/>
      <c r="C29" s="428"/>
      <c r="D29" s="428" t="s">
        <v>1195</v>
      </c>
      <c r="E29" s="428"/>
      <c r="F29" s="431"/>
      <c r="G29" s="450"/>
      <c r="H29" s="450"/>
      <c r="I29" s="450"/>
      <c r="J29" s="450"/>
      <c r="K29" s="262">
        <f>INDEX(CHOOSE(_post_type_index,_post_d1_mm,_post_d2_mm),_post_d_index)</f>
        <v>140</v>
      </c>
      <c r="L29" s="187" t="s">
        <v>1193</v>
      </c>
      <c r="M29" s="445"/>
      <c r="N29" s="445"/>
      <c r="O29" s="445"/>
      <c r="Q29" s="451" t="s">
        <v>1494</v>
      </c>
      <c r="R29" s="452"/>
    </row>
    <row r="30" spans="1:18" ht="15.75" x14ac:dyDescent="0.2">
      <c r="A30" s="470"/>
      <c r="B30" s="428"/>
      <c r="C30" s="428" t="s">
        <v>1352</v>
      </c>
      <c r="D30" s="428"/>
      <c r="E30" s="428"/>
      <c r="F30" s="187" t="s">
        <v>1192</v>
      </c>
      <c r="G30" s="432"/>
      <c r="H30" s="432"/>
      <c r="I30" s="432"/>
      <c r="J30" s="432"/>
      <c r="K30" s="184">
        <v>1</v>
      </c>
      <c r="L30" s="133"/>
      <c r="M30" s="445"/>
      <c r="N30" s="445"/>
      <c r="O30" s="445"/>
    </row>
    <row r="31" spans="1:18" ht="15.75" x14ac:dyDescent="0.2">
      <c r="A31" s="470"/>
      <c r="B31" s="428"/>
      <c r="C31" s="433" t="s">
        <v>1346</v>
      </c>
      <c r="D31" s="433"/>
      <c r="E31" s="433"/>
      <c r="F31" s="152" t="s">
        <v>1040</v>
      </c>
      <c r="G31" s="435" t="s">
        <v>1351</v>
      </c>
      <c r="H31" s="437"/>
      <c r="I31" s="437"/>
      <c r="J31" s="437"/>
      <c r="K31" s="263">
        <f>CHOOSE(_post_type_index,_post_nply,1)*_post_b*_post_d^3/12</f>
        <v>32013333.333333332</v>
      </c>
      <c r="L31" s="187" t="s">
        <v>1196</v>
      </c>
      <c r="M31" s="446"/>
      <c r="N31" s="446"/>
      <c r="O31" s="446"/>
    </row>
    <row r="32" spans="1:18" x14ac:dyDescent="0.2">
      <c r="A32" s="471"/>
      <c r="B32" s="428" t="s">
        <v>1488</v>
      </c>
      <c r="C32" s="428" t="s">
        <v>1347</v>
      </c>
      <c r="D32" s="428"/>
      <c r="E32" s="428"/>
      <c r="F32" s="152" t="s">
        <v>21</v>
      </c>
      <c r="G32" s="437"/>
      <c r="H32" s="437"/>
      <c r="I32" s="437"/>
      <c r="J32" s="437"/>
      <c r="K32" s="258">
        <f>VLOOKUP(_post_type_index&amp;_post_species_index&amp;_post_grade_index,_post_O86_T5.3.1,7)</f>
        <v>12000</v>
      </c>
      <c r="L32" s="187" t="s">
        <v>1345</v>
      </c>
      <c r="M32" s="445" t="s">
        <v>1353</v>
      </c>
      <c r="N32" s="446"/>
      <c r="O32" s="446"/>
    </row>
    <row r="33" spans="1:15" x14ac:dyDescent="0.2">
      <c r="A33" s="471"/>
      <c r="B33" s="428"/>
      <c r="C33" s="449"/>
      <c r="D33" s="449"/>
      <c r="E33" s="449"/>
      <c r="F33" s="187"/>
      <c r="G33" s="437"/>
      <c r="H33" s="437"/>
      <c r="I33" s="437"/>
      <c r="J33" s="437"/>
      <c r="K33" s="93"/>
      <c r="L33" s="187"/>
      <c r="M33" s="446"/>
      <c r="N33" s="446"/>
      <c r="O33" s="446"/>
    </row>
    <row r="34" spans="1:15" ht="18" x14ac:dyDescent="0.2">
      <c r="A34" s="471"/>
      <c r="B34" s="430" t="s">
        <v>1482</v>
      </c>
      <c r="C34" s="428" t="s">
        <v>1113</v>
      </c>
      <c r="D34" s="428"/>
      <c r="E34" s="428"/>
      <c r="F34" s="301" t="s">
        <v>1484</v>
      </c>
      <c r="G34" s="436">
        <v>1</v>
      </c>
      <c r="H34" s="436"/>
      <c r="I34" s="436"/>
      <c r="J34" s="436"/>
      <c r="K34" s="304">
        <f>CHOOSE(_post_fixity_index,1/2,3/8,3/8)</f>
        <v>0.5</v>
      </c>
      <c r="L34" s="133"/>
      <c r="M34" s="445" t="s">
        <v>1491</v>
      </c>
      <c r="N34" s="446"/>
      <c r="O34" s="446"/>
    </row>
    <row r="35" spans="1:15" ht="16.5" thickBot="1" x14ac:dyDescent="0.25">
      <c r="A35" s="471"/>
      <c r="B35" s="430"/>
      <c r="C35" s="428" t="s">
        <v>1112</v>
      </c>
      <c r="D35" s="428"/>
      <c r="E35" s="428"/>
      <c r="F35" s="301" t="s">
        <v>1485</v>
      </c>
      <c r="G35" s="478" t="s">
        <v>1486</v>
      </c>
      <c r="H35" s="478"/>
      <c r="I35" s="478"/>
      <c r="J35" s="478"/>
      <c r="K35" s="304">
        <f>CHOOSE(_post_fixity_index,1/2,1/2,3/8)</f>
        <v>0.5</v>
      </c>
      <c r="L35" s="133"/>
      <c r="M35" s="446"/>
      <c r="N35" s="446"/>
      <c r="O35" s="446"/>
    </row>
    <row r="36" spans="1:15" ht="16.5" customHeight="1" thickBot="1" x14ac:dyDescent="0.25">
      <c r="A36" s="471"/>
      <c r="B36" s="426" t="s">
        <v>1487</v>
      </c>
      <c r="C36" s="427" t="s">
        <v>1362</v>
      </c>
      <c r="D36" s="427"/>
      <c r="E36" s="427"/>
      <c r="F36" s="187" t="s">
        <v>1367</v>
      </c>
      <c r="G36" s="447" t="s">
        <v>1499</v>
      </c>
      <c r="H36" s="448"/>
      <c r="I36" s="448"/>
      <c r="J36" s="448"/>
      <c r="K36" s="264">
        <f>inputs_ki*_bldg_np1/2</f>
        <v>1953.5734609526962</v>
      </c>
      <c r="L36" s="186" t="s">
        <v>1350</v>
      </c>
      <c r="M36" s="445"/>
      <c r="N36" s="445"/>
      <c r="O36" s="445"/>
    </row>
    <row r="37" spans="1:15" ht="16.5" thickBot="1" x14ac:dyDescent="0.25">
      <c r="A37" s="471"/>
      <c r="B37" s="426"/>
      <c r="C37" s="428" t="s">
        <v>1501</v>
      </c>
      <c r="D37" s="428"/>
      <c r="E37" s="428"/>
      <c r="F37" s="152" t="s">
        <v>1049</v>
      </c>
      <c r="G37" s="463" t="s">
        <v>1057</v>
      </c>
      <c r="H37" s="448"/>
      <c r="I37" s="448"/>
      <c r="J37" s="448"/>
      <c r="K37" s="264">
        <f>6*_post_E*_post_I/(_bldg_height_wall*1000)^3</f>
        <v>651.19115365089874</v>
      </c>
      <c r="L37" s="186" t="s">
        <v>1350</v>
      </c>
      <c r="M37" s="446"/>
      <c r="N37" s="446"/>
      <c r="O37" s="446"/>
    </row>
    <row r="38" spans="1:15" ht="16.5" thickBot="1" x14ac:dyDescent="0.25">
      <c r="A38" s="471"/>
      <c r="B38" s="426"/>
      <c r="C38" s="429" t="s">
        <v>1363</v>
      </c>
      <c r="D38" s="429"/>
      <c r="E38" s="429"/>
      <c r="F38" s="187" t="s">
        <v>1368</v>
      </c>
      <c r="G38" s="447" t="s">
        <v>1500</v>
      </c>
      <c r="H38" s="448"/>
      <c r="I38" s="448"/>
      <c r="J38" s="448"/>
      <c r="K38" s="264">
        <f>inputs_ki*_bldg_npnf/2</f>
        <v>1953.5734609526962</v>
      </c>
      <c r="L38" s="186" t="s">
        <v>1350</v>
      </c>
      <c r="M38" s="188"/>
      <c r="N38" s="188"/>
      <c r="O38" s="188"/>
    </row>
    <row r="39" spans="1:15" x14ac:dyDescent="0.2">
      <c r="A39" s="471"/>
      <c r="B39" s="306"/>
      <c r="C39" s="306"/>
      <c r="D39" s="306"/>
      <c r="E39" s="306"/>
      <c r="G39" s="92"/>
      <c r="H39" s="92"/>
      <c r="I39" s="92"/>
      <c r="J39" s="92"/>
      <c r="M39" s="446"/>
      <c r="N39" s="446"/>
      <c r="O39" s="446"/>
    </row>
    <row r="40" spans="1:15" ht="18" x14ac:dyDescent="0.2">
      <c r="A40" s="424" t="s">
        <v>50</v>
      </c>
      <c r="B40" s="294" t="s">
        <v>1498</v>
      </c>
      <c r="C40" s="306"/>
      <c r="D40" s="306"/>
      <c r="E40" s="306"/>
      <c r="G40" s="425"/>
      <c r="H40" s="425"/>
      <c r="I40" s="425"/>
      <c r="J40" s="425"/>
      <c r="K40" s="133"/>
      <c r="L40" s="133"/>
      <c r="M40" s="295"/>
      <c r="N40" s="295"/>
      <c r="O40" s="295"/>
    </row>
    <row r="41" spans="1:15" x14ac:dyDescent="0.2">
      <c r="A41" s="424"/>
      <c r="B41" s="306"/>
      <c r="C41" s="306"/>
      <c r="D41" s="306"/>
      <c r="E41" s="306"/>
      <c r="G41" s="92"/>
      <c r="H41" s="92"/>
      <c r="I41" s="92"/>
      <c r="J41" s="92"/>
      <c r="M41" s="295"/>
      <c r="N41" s="295"/>
      <c r="O41" s="295"/>
    </row>
    <row r="42" spans="1:15" ht="18" x14ac:dyDescent="0.2">
      <c r="A42" s="424"/>
      <c r="B42" s="428" t="s">
        <v>1355</v>
      </c>
      <c r="C42" s="428" t="s">
        <v>1357</v>
      </c>
      <c r="D42" s="428"/>
      <c r="E42" s="428"/>
      <c r="F42" s="133"/>
      <c r="G42" s="425">
        <v>11</v>
      </c>
      <c r="H42" s="425"/>
      <c r="I42" s="425"/>
      <c r="J42" s="425"/>
      <c r="K42" s="133"/>
      <c r="L42" s="133"/>
      <c r="M42" s="481" t="s">
        <v>1356</v>
      </c>
      <c r="N42" s="481"/>
      <c r="O42" s="481"/>
    </row>
    <row r="43" spans="1:15" x14ac:dyDescent="0.2">
      <c r="A43" s="424"/>
      <c r="B43" s="428"/>
      <c r="C43" s="428" t="s">
        <v>1503</v>
      </c>
      <c r="D43" s="428"/>
      <c r="E43" s="428"/>
      <c r="F43" s="152" t="s">
        <v>63</v>
      </c>
      <c r="G43" s="432"/>
      <c r="H43" s="432"/>
      <c r="I43" s="432"/>
      <c r="J43" s="432"/>
      <c r="K43" s="268">
        <f>VLOOKUP(_diaph_test_panel_index,_diaph_PFBDM_T6.1,5)</f>
        <v>3700</v>
      </c>
      <c r="L43" s="152" t="s">
        <v>1039</v>
      </c>
      <c r="M43" s="481"/>
      <c r="N43" s="481"/>
      <c r="O43" s="481"/>
    </row>
    <row r="44" spans="1:15" x14ac:dyDescent="0.2">
      <c r="A44" s="424"/>
      <c r="B44" s="428"/>
      <c r="C44" s="428" t="s">
        <v>1189</v>
      </c>
      <c r="D44" s="428"/>
      <c r="E44" s="428"/>
      <c r="F44" s="152" t="s">
        <v>69</v>
      </c>
      <c r="G44" s="432"/>
      <c r="H44" s="432"/>
      <c r="I44" s="432"/>
      <c r="J44" s="432"/>
      <c r="K44" s="262">
        <f>VLOOKUP(_diaph_test_panel_index,_diaph_PFBDM_T6.1,2)</f>
        <v>36</v>
      </c>
      <c r="L44" s="152" t="s">
        <v>0</v>
      </c>
      <c r="M44" s="481"/>
      <c r="N44" s="481"/>
      <c r="O44" s="481"/>
    </row>
    <row r="45" spans="1:15" x14ac:dyDescent="0.2">
      <c r="A45" s="424"/>
      <c r="B45" s="428"/>
      <c r="C45" s="428" t="s">
        <v>1354</v>
      </c>
      <c r="D45" s="428"/>
      <c r="E45" s="428"/>
      <c r="F45" s="152" t="s">
        <v>70</v>
      </c>
      <c r="G45" s="432"/>
      <c r="H45" s="432"/>
      <c r="I45" s="432"/>
      <c r="J45" s="432"/>
      <c r="K45" s="262">
        <f>VLOOKUP(_diaph_test_panel_index,_diaph_PFBDM_T6.1,3)</f>
        <v>12</v>
      </c>
      <c r="L45" s="152" t="s">
        <v>0</v>
      </c>
      <c r="M45" s="481"/>
      <c r="N45" s="481"/>
      <c r="O45" s="481"/>
    </row>
    <row r="46" spans="1:15" x14ac:dyDescent="0.2">
      <c r="A46" s="424"/>
      <c r="B46" s="428"/>
      <c r="C46" s="428" t="s">
        <v>1504</v>
      </c>
      <c r="D46" s="428"/>
      <c r="E46" s="428"/>
      <c r="F46" s="298" t="s">
        <v>1502</v>
      </c>
      <c r="G46" s="432"/>
      <c r="H46" s="432"/>
      <c r="I46" s="432"/>
      <c r="J46" s="432"/>
      <c r="K46" s="268">
        <f>VLOOKUP(_diaph_test_panel_index,_diaph_PFBDM_T6.1,6)</f>
        <v>3700</v>
      </c>
      <c r="L46" s="298" t="s">
        <v>1039</v>
      </c>
      <c r="M46" s="481"/>
      <c r="N46" s="481"/>
      <c r="O46" s="481"/>
    </row>
    <row r="47" spans="1:15" ht="15.75" x14ac:dyDescent="0.2">
      <c r="A47" s="424"/>
      <c r="B47" s="433" t="s">
        <v>1507</v>
      </c>
      <c r="C47" s="433"/>
      <c r="D47" s="434"/>
      <c r="E47" s="434"/>
      <c r="F47" s="153" t="s">
        <v>1042</v>
      </c>
      <c r="G47" s="435" t="s">
        <v>1371</v>
      </c>
      <c r="H47" s="437"/>
      <c r="I47" s="437"/>
      <c r="J47" s="437"/>
      <c r="K47" s="93">
        <f>K11/COS(RADIANS(K17))</f>
        <v>37.947331922020552</v>
      </c>
      <c r="L47" s="152" t="s">
        <v>0</v>
      </c>
      <c r="M47" s="446"/>
      <c r="N47" s="446"/>
      <c r="O47" s="446"/>
    </row>
    <row r="48" spans="1:15" ht="15.75" x14ac:dyDescent="0.2">
      <c r="A48" s="424"/>
      <c r="B48" s="433" t="s">
        <v>1497</v>
      </c>
      <c r="C48" s="433"/>
      <c r="D48" s="433"/>
      <c r="E48" s="433"/>
      <c r="F48" s="310" t="s">
        <v>1046</v>
      </c>
      <c r="G48" s="468" t="s">
        <v>1055</v>
      </c>
      <c r="H48" s="469"/>
      <c r="I48" s="469"/>
      <c r="J48" s="469"/>
      <c r="K48" s="311">
        <f>K43*(K44/K45)*(K47/feet(K7))</f>
        <v>42121.538433442809</v>
      </c>
      <c r="L48" s="310" t="s">
        <v>1039</v>
      </c>
      <c r="M48" s="479" t="s">
        <v>1058</v>
      </c>
      <c r="N48" s="479"/>
      <c r="O48" s="479"/>
    </row>
    <row r="49" spans="1:15" ht="15.75" x14ac:dyDescent="0.2">
      <c r="A49" s="424"/>
      <c r="B49" s="433"/>
      <c r="C49" s="433"/>
      <c r="D49" s="433"/>
      <c r="E49" s="433"/>
      <c r="F49" s="298" t="s">
        <v>1046</v>
      </c>
      <c r="G49" s="435" t="s">
        <v>1508</v>
      </c>
      <c r="H49" s="437"/>
      <c r="I49" s="437"/>
      <c r="J49" s="437"/>
      <c r="K49" s="94">
        <f>K46*K47/feet(K7)</f>
        <v>14040.512811147604</v>
      </c>
      <c r="L49" s="298" t="s">
        <v>1039</v>
      </c>
      <c r="M49" s="445" t="s">
        <v>1509</v>
      </c>
      <c r="N49" s="445"/>
      <c r="O49" s="445"/>
    </row>
    <row r="50" spans="1:15" ht="15.75" customHeight="1" x14ac:dyDescent="0.2">
      <c r="A50" s="424"/>
      <c r="B50" s="433"/>
      <c r="C50" s="433"/>
      <c r="D50" s="433"/>
      <c r="E50" s="433"/>
      <c r="F50" s="431" t="s">
        <v>1041</v>
      </c>
      <c r="G50" s="435" t="s">
        <v>1370</v>
      </c>
      <c r="H50" s="435"/>
      <c r="I50" s="435"/>
      <c r="J50" s="435"/>
      <c r="K50" s="311">
        <f>K48*COS(RADIANS(K17))^2</f>
        <v>37909.384590098525</v>
      </c>
      <c r="L50" s="310" t="s">
        <v>1039</v>
      </c>
      <c r="M50" s="479" t="s">
        <v>1058</v>
      </c>
      <c r="N50" s="479"/>
      <c r="O50" s="479"/>
    </row>
    <row r="51" spans="1:15" ht="16.5" customHeight="1" thickBot="1" x14ac:dyDescent="0.25">
      <c r="A51" s="424"/>
      <c r="B51" s="433"/>
      <c r="C51" s="433"/>
      <c r="D51" s="433"/>
      <c r="E51" s="433"/>
      <c r="F51" s="431"/>
      <c r="G51" s="435"/>
      <c r="H51" s="435"/>
      <c r="I51" s="435"/>
      <c r="J51" s="435"/>
      <c r="K51" s="94">
        <f>K49*COS(RADIANS(_bldg_theta))^2</f>
        <v>12636.461530032842</v>
      </c>
      <c r="L51" s="152" t="s">
        <v>1039</v>
      </c>
      <c r="M51" s="445" t="s">
        <v>1510</v>
      </c>
      <c r="N51" s="445"/>
      <c r="O51" s="445"/>
    </row>
    <row r="52" spans="1:15" ht="13.5" thickBot="1" x14ac:dyDescent="0.25">
      <c r="A52" s="424"/>
      <c r="B52" s="433"/>
      <c r="C52" s="433"/>
      <c r="D52" s="433"/>
      <c r="E52" s="433"/>
      <c r="F52" s="431"/>
      <c r="G52" s="435"/>
      <c r="H52" s="435"/>
      <c r="I52" s="435"/>
      <c r="J52" s="435"/>
      <c r="K52" s="95">
        <f>K50*0.175126835</f>
        <v>6638.9505400617272</v>
      </c>
      <c r="L52" s="186" t="s">
        <v>1350</v>
      </c>
      <c r="M52" s="445"/>
      <c r="N52" s="445"/>
      <c r="O52" s="445"/>
    </row>
    <row r="53" spans="1:15" x14ac:dyDescent="0.2">
      <c r="A53" s="424"/>
      <c r="B53" s="307"/>
      <c r="C53" s="307"/>
      <c r="D53" s="307"/>
      <c r="E53" s="307"/>
      <c r="F53" s="152"/>
      <c r="G53" s="155"/>
      <c r="L53" s="152"/>
      <c r="M53" s="480"/>
      <c r="N53" s="480"/>
      <c r="O53" s="480"/>
    </row>
    <row r="54" spans="1:15" ht="18" x14ac:dyDescent="0.2">
      <c r="A54" s="453" t="s">
        <v>1496</v>
      </c>
      <c r="B54" s="433" t="s">
        <v>1095</v>
      </c>
      <c r="C54" s="433" t="s">
        <v>161</v>
      </c>
      <c r="D54" s="433"/>
      <c r="E54" s="433"/>
      <c r="F54" s="152" t="s">
        <v>1040</v>
      </c>
      <c r="G54" s="425"/>
      <c r="H54" s="425"/>
      <c r="I54" s="425"/>
      <c r="J54" s="425"/>
      <c r="K54" s="128">
        <f>_load_I</f>
        <v>0.8</v>
      </c>
      <c r="L54" s="133"/>
      <c r="M54" s="446"/>
      <c r="N54" s="446"/>
      <c r="O54" s="446"/>
    </row>
    <row r="55" spans="1:15" ht="18" x14ac:dyDescent="0.2">
      <c r="A55" s="453"/>
      <c r="B55" s="433"/>
      <c r="C55" s="433" t="s">
        <v>1169</v>
      </c>
      <c r="D55" s="433"/>
      <c r="E55" s="433"/>
      <c r="F55" s="133"/>
      <c r="G55" s="425"/>
      <c r="H55" s="425"/>
      <c r="I55" s="425"/>
      <c r="J55" s="425"/>
      <c r="K55" s="133"/>
      <c r="L55" s="133"/>
      <c r="M55" s="446"/>
      <c r="N55" s="446"/>
      <c r="O55" s="446"/>
    </row>
    <row r="56" spans="1:15" ht="15.75" x14ac:dyDescent="0.2">
      <c r="A56" s="454"/>
      <c r="B56" s="443" t="s">
        <v>1094</v>
      </c>
      <c r="C56" s="433" t="s">
        <v>1170</v>
      </c>
      <c r="D56" s="433"/>
      <c r="E56" s="433"/>
      <c r="F56" s="146" t="s">
        <v>175</v>
      </c>
      <c r="G56" s="432"/>
      <c r="H56" s="432"/>
      <c r="I56" s="432"/>
      <c r="J56" s="432"/>
      <c r="K56" s="128">
        <f>_Cw</f>
        <v>0.75</v>
      </c>
      <c r="L56" s="133"/>
      <c r="M56" s="446"/>
      <c r="N56" s="446"/>
      <c r="O56" s="446"/>
    </row>
    <row r="57" spans="1:15" ht="18" x14ac:dyDescent="0.2">
      <c r="A57" s="454"/>
      <c r="B57" s="443"/>
      <c r="C57" s="433" t="s">
        <v>1093</v>
      </c>
      <c r="D57" s="433"/>
      <c r="E57" s="433"/>
      <c r="F57" s="146" t="s">
        <v>178</v>
      </c>
      <c r="G57" s="425"/>
      <c r="H57" s="425"/>
      <c r="I57" s="425"/>
      <c r="J57" s="425"/>
      <c r="K57" s="128">
        <f>_Cs</f>
        <v>0.92366780393506642</v>
      </c>
      <c r="L57" s="133"/>
      <c r="M57" s="446"/>
      <c r="N57" s="446"/>
      <c r="O57" s="446"/>
    </row>
    <row r="58" spans="1:15" ht="15.75" x14ac:dyDescent="0.2">
      <c r="A58" s="454"/>
      <c r="B58" s="443" t="s">
        <v>1096</v>
      </c>
      <c r="C58" s="433" t="s">
        <v>1170</v>
      </c>
      <c r="D58" s="433"/>
      <c r="E58" s="433"/>
      <c r="F58" s="142" t="s">
        <v>108</v>
      </c>
      <c r="G58" s="432"/>
      <c r="H58" s="432"/>
      <c r="I58" s="432"/>
      <c r="J58" s="432"/>
      <c r="K58" s="128">
        <f>_Ce</f>
        <v>0.9</v>
      </c>
      <c r="L58" s="133"/>
      <c r="M58" s="446"/>
      <c r="N58" s="446"/>
      <c r="O58" s="446"/>
    </row>
    <row r="59" spans="1:15" ht="18" x14ac:dyDescent="0.2">
      <c r="A59" s="454"/>
      <c r="B59" s="443"/>
      <c r="C59" s="433" t="s">
        <v>1153</v>
      </c>
      <c r="D59" s="433"/>
      <c r="E59" s="433"/>
      <c r="F59" s="1" t="s">
        <v>1171</v>
      </c>
      <c r="G59" s="425"/>
      <c r="H59" s="425"/>
      <c r="I59" s="425"/>
      <c r="J59" s="425"/>
      <c r="K59" s="128">
        <f>_Cpimin</f>
        <v>-0.7</v>
      </c>
      <c r="L59" s="133"/>
      <c r="M59" s="446"/>
      <c r="N59" s="446"/>
      <c r="O59" s="446"/>
    </row>
    <row r="60" spans="1:15" ht="15.75" x14ac:dyDescent="0.2">
      <c r="A60" s="454"/>
      <c r="B60" s="443"/>
      <c r="C60" s="433"/>
      <c r="D60" s="433"/>
      <c r="E60" s="433"/>
      <c r="F60" s="1" t="s">
        <v>1172</v>
      </c>
      <c r="G60" s="432"/>
      <c r="H60" s="432"/>
      <c r="I60" s="432"/>
      <c r="J60" s="432"/>
      <c r="K60" s="128">
        <f>_Cpimax</f>
        <v>0.7</v>
      </c>
      <c r="L60" s="133"/>
      <c r="M60" s="446"/>
      <c r="N60" s="446"/>
      <c r="O60" s="446"/>
    </row>
    <row r="61" spans="1:15" ht="15.75" x14ac:dyDescent="0.2">
      <c r="A61" s="454"/>
      <c r="B61" s="443"/>
      <c r="C61" s="428" t="s">
        <v>1173</v>
      </c>
      <c r="D61" s="449"/>
      <c r="E61" s="294" t="s">
        <v>111</v>
      </c>
      <c r="F61" s="142" t="s">
        <v>112</v>
      </c>
      <c r="G61" s="432"/>
      <c r="H61" s="432"/>
      <c r="I61" s="432"/>
      <c r="J61" s="432"/>
      <c r="K61" s="183">
        <v>2</v>
      </c>
      <c r="L61" s="133"/>
      <c r="M61" s="446"/>
      <c r="N61" s="446"/>
      <c r="O61" s="446"/>
    </row>
    <row r="62" spans="1:15" ht="15.75" x14ac:dyDescent="0.2">
      <c r="A62" s="454"/>
      <c r="B62" s="443"/>
      <c r="C62" s="449"/>
      <c r="D62" s="449"/>
      <c r="E62" s="294" t="s">
        <v>114</v>
      </c>
      <c r="F62" s="142" t="s">
        <v>115</v>
      </c>
      <c r="G62" s="432"/>
      <c r="H62" s="432"/>
      <c r="I62" s="432"/>
      <c r="J62" s="432"/>
      <c r="K62" s="183">
        <v>2</v>
      </c>
      <c r="L62" s="133"/>
      <c r="M62" s="446"/>
      <c r="N62" s="446"/>
      <c r="O62" s="446"/>
    </row>
    <row r="63" spans="1:15" x14ac:dyDescent="0.2">
      <c r="A63" s="454"/>
      <c r="B63" s="308"/>
      <c r="C63" s="308"/>
      <c r="D63" s="308"/>
      <c r="E63" s="308"/>
    </row>
    <row r="64" spans="1:15" x14ac:dyDescent="0.2">
      <c r="A64" s="476" t="s">
        <v>1067</v>
      </c>
      <c r="B64" s="428" t="s">
        <v>1068</v>
      </c>
      <c r="C64" s="428"/>
      <c r="D64" s="428"/>
      <c r="E64" s="428"/>
      <c r="F64" s="431" t="s">
        <v>1069</v>
      </c>
      <c r="G64" s="432"/>
      <c r="H64" s="432"/>
      <c r="I64" s="432"/>
      <c r="J64" s="432"/>
      <c r="K64" s="152">
        <v>12</v>
      </c>
      <c r="L64" s="152" t="s">
        <v>165</v>
      </c>
      <c r="M64" s="445" t="s">
        <v>82</v>
      </c>
      <c r="N64" s="445"/>
      <c r="O64" s="446"/>
    </row>
    <row r="65" spans="1:15" x14ac:dyDescent="0.2">
      <c r="A65" s="477"/>
      <c r="B65" s="428"/>
      <c r="C65" s="428"/>
      <c r="D65" s="428"/>
      <c r="E65" s="428"/>
      <c r="F65" s="431"/>
      <c r="G65" s="432"/>
      <c r="H65" s="432"/>
      <c r="I65" s="432"/>
      <c r="J65" s="432"/>
      <c r="K65" s="127">
        <f>K64*0.0478803</f>
        <v>0.57456360000000006</v>
      </c>
      <c r="L65" s="152" t="s">
        <v>105</v>
      </c>
      <c r="M65" s="446"/>
      <c r="N65" s="446"/>
      <c r="O65" s="446"/>
    </row>
    <row r="66" spans="1:15" ht="15.75" x14ac:dyDescent="0.2">
      <c r="A66" s="477"/>
      <c r="B66" s="433" t="s">
        <v>1088</v>
      </c>
      <c r="C66" s="433"/>
      <c r="D66" s="433"/>
      <c r="E66" s="433"/>
      <c r="F66" s="152" t="s">
        <v>240</v>
      </c>
      <c r="G66" s="432"/>
      <c r="H66" s="432"/>
      <c r="I66" s="432"/>
      <c r="J66" s="432"/>
      <c r="K66" s="129">
        <f>design_loads!F10</f>
        <v>3</v>
      </c>
      <c r="L66" s="152" t="s">
        <v>105</v>
      </c>
      <c r="M66" s="445" t="s">
        <v>1077</v>
      </c>
      <c r="N66" s="445"/>
      <c r="O66" s="446"/>
    </row>
    <row r="67" spans="1:15" ht="15.75" x14ac:dyDescent="0.2">
      <c r="A67" s="477"/>
      <c r="B67" s="433" t="s">
        <v>1089</v>
      </c>
      <c r="C67" s="433"/>
      <c r="D67" s="433"/>
      <c r="E67" s="433"/>
      <c r="F67" s="152" t="s">
        <v>167</v>
      </c>
      <c r="G67" s="432"/>
      <c r="H67" s="432"/>
      <c r="I67" s="432"/>
      <c r="J67" s="432"/>
      <c r="K67" s="129">
        <f>design_loads!G10</f>
        <v>0.1</v>
      </c>
      <c r="L67" s="152" t="s">
        <v>105</v>
      </c>
      <c r="M67" s="446"/>
      <c r="N67" s="446"/>
      <c r="O67" s="446"/>
    </row>
    <row r="68" spans="1:15" ht="15.75" x14ac:dyDescent="0.2">
      <c r="A68" s="477"/>
      <c r="B68" s="433" t="s">
        <v>1090</v>
      </c>
      <c r="C68" s="433"/>
      <c r="D68" s="433"/>
      <c r="E68" s="433"/>
      <c r="F68" s="152" t="s">
        <v>242</v>
      </c>
      <c r="G68" s="432"/>
      <c r="H68" s="432"/>
      <c r="I68" s="432"/>
      <c r="J68" s="432"/>
      <c r="K68" s="128">
        <f>design_loads!I10</f>
        <v>0.31</v>
      </c>
      <c r="L68" s="152" t="s">
        <v>105</v>
      </c>
      <c r="M68" s="446"/>
      <c r="N68" s="446"/>
      <c r="O68" s="446"/>
    </row>
    <row r="69" spans="1:15" x14ac:dyDescent="0.2">
      <c r="A69" s="477"/>
      <c r="B69" s="297"/>
      <c r="C69" s="297"/>
      <c r="D69" s="297"/>
      <c r="E69" s="297"/>
      <c r="G69" s="150"/>
      <c r="H69" s="150"/>
      <c r="I69" s="150"/>
      <c r="J69" s="150"/>
    </row>
    <row r="70" spans="1:15" x14ac:dyDescent="0.2">
      <c r="A70" s="474" t="s">
        <v>1105</v>
      </c>
      <c r="B70" s="426" t="s">
        <v>1106</v>
      </c>
      <c r="C70" s="426"/>
      <c r="D70" s="428" t="s">
        <v>1072</v>
      </c>
      <c r="E70" s="449"/>
      <c r="F70" s="467" t="s">
        <v>1070</v>
      </c>
      <c r="G70" s="456" t="s">
        <v>1125</v>
      </c>
      <c r="H70" s="437"/>
      <c r="I70" s="437"/>
      <c r="J70" s="437"/>
      <c r="K70" s="127">
        <f>'NBCC_G-1'!E23</f>
        <v>1.410081637666496</v>
      </c>
      <c r="L70" s="152" t="s">
        <v>105</v>
      </c>
      <c r="M70" s="445" t="s">
        <v>1076</v>
      </c>
      <c r="N70" s="445"/>
      <c r="O70" s="446"/>
    </row>
    <row r="71" spans="1:15" x14ac:dyDescent="0.2">
      <c r="A71" s="474"/>
      <c r="B71" s="426"/>
      <c r="C71" s="426"/>
      <c r="D71" s="449"/>
      <c r="E71" s="449"/>
      <c r="F71" s="431"/>
      <c r="G71" s="437"/>
      <c r="H71" s="437"/>
      <c r="I71" s="437"/>
      <c r="J71" s="437"/>
      <c r="K71" s="129">
        <f>K70/0.0478803</f>
        <v>29.450142076521992</v>
      </c>
      <c r="L71" s="152" t="s">
        <v>165</v>
      </c>
      <c r="M71" s="446"/>
      <c r="N71" s="446"/>
      <c r="O71" s="446"/>
    </row>
    <row r="72" spans="1:15" x14ac:dyDescent="0.2">
      <c r="A72" s="474"/>
      <c r="B72" s="426"/>
      <c r="C72" s="426"/>
      <c r="D72" s="428" t="s">
        <v>1073</v>
      </c>
      <c r="E72" s="449"/>
      <c r="F72" s="431" t="s">
        <v>1071</v>
      </c>
      <c r="G72" s="456" t="s">
        <v>1126</v>
      </c>
      <c r="H72" s="437"/>
      <c r="I72" s="437"/>
      <c r="J72" s="437"/>
      <c r="K72" s="127">
        <f>'NBCC_G-1'!E24</f>
        <v>1.6385197554511313</v>
      </c>
      <c r="L72" s="152" t="s">
        <v>105</v>
      </c>
      <c r="M72" s="445" t="s">
        <v>1091</v>
      </c>
      <c r="N72" s="445"/>
      <c r="O72" s="446"/>
    </row>
    <row r="73" spans="1:15" x14ac:dyDescent="0.2">
      <c r="A73" s="474"/>
      <c r="B73" s="426"/>
      <c r="C73" s="426"/>
      <c r="D73" s="449"/>
      <c r="E73" s="449"/>
      <c r="F73" s="431"/>
      <c r="G73" s="437"/>
      <c r="H73" s="437"/>
      <c r="I73" s="437"/>
      <c r="J73" s="437"/>
      <c r="K73" s="129">
        <f>K72/0.0478803</f>
        <v>34.221167274455908</v>
      </c>
      <c r="L73" s="152" t="s">
        <v>165</v>
      </c>
      <c r="M73" s="446"/>
      <c r="N73" s="446"/>
      <c r="O73" s="446"/>
    </row>
    <row r="74" spans="1:15" ht="15.75" x14ac:dyDescent="0.2">
      <c r="A74" s="474"/>
      <c r="B74" s="455" t="s">
        <v>1107</v>
      </c>
      <c r="C74" s="455" t="s">
        <v>1110</v>
      </c>
      <c r="D74" s="428" t="s">
        <v>1112</v>
      </c>
      <c r="E74" s="428"/>
      <c r="F74" s="152" t="s">
        <v>1114</v>
      </c>
      <c r="G74" s="456" t="s">
        <v>1127</v>
      </c>
      <c r="H74" s="437"/>
      <c r="I74" s="437"/>
      <c r="J74" s="437"/>
      <c r="K74" s="165">
        <f>'NBCC_I-7'!E45</f>
        <v>0.52985800962126994</v>
      </c>
      <c r="L74" s="152" t="s">
        <v>105</v>
      </c>
      <c r="M74" s="481" t="s">
        <v>1141</v>
      </c>
      <c r="N74" s="481"/>
      <c r="O74" s="481"/>
    </row>
    <row r="75" spans="1:15" ht="15.75" x14ac:dyDescent="0.2">
      <c r="A75" s="475"/>
      <c r="B75" s="455"/>
      <c r="C75" s="458"/>
      <c r="D75" s="428" t="s">
        <v>1078</v>
      </c>
      <c r="E75" s="428"/>
      <c r="F75" s="152" t="s">
        <v>1116</v>
      </c>
      <c r="G75" s="456" t="s">
        <v>1128</v>
      </c>
      <c r="H75" s="437"/>
      <c r="I75" s="437"/>
      <c r="J75" s="437"/>
      <c r="K75" s="165">
        <f>'NBCC_I-7'!G45</f>
        <v>2.2319999999999972E-2</v>
      </c>
      <c r="L75" s="152" t="s">
        <v>105</v>
      </c>
      <c r="M75" s="481"/>
      <c r="N75" s="481"/>
      <c r="O75" s="481"/>
    </row>
    <row r="76" spans="1:15" ht="15.75" x14ac:dyDescent="0.2">
      <c r="A76" s="475"/>
      <c r="B76" s="455"/>
      <c r="C76" s="458"/>
      <c r="D76" s="428" t="s">
        <v>1079</v>
      </c>
      <c r="E76" s="428"/>
      <c r="F76" s="152" t="s">
        <v>1117</v>
      </c>
      <c r="G76" s="457" t="s">
        <v>1129</v>
      </c>
      <c r="H76" s="448"/>
      <c r="I76" s="448"/>
      <c r="J76" s="448"/>
      <c r="K76" s="165">
        <f>'NBCC_I-7'!I45</f>
        <v>0.11625759230298409</v>
      </c>
      <c r="L76" s="152" t="s">
        <v>105</v>
      </c>
      <c r="M76" s="481"/>
      <c r="N76" s="481"/>
      <c r="O76" s="481"/>
    </row>
    <row r="77" spans="1:15" ht="15.75" x14ac:dyDescent="0.2">
      <c r="A77" s="475"/>
      <c r="B77" s="455"/>
      <c r="C77" s="458"/>
      <c r="D77" s="428" t="s">
        <v>1113</v>
      </c>
      <c r="E77" s="428"/>
      <c r="F77" s="152" t="s">
        <v>1115</v>
      </c>
      <c r="G77" s="457" t="s">
        <v>1130</v>
      </c>
      <c r="H77" s="448"/>
      <c r="I77" s="448"/>
      <c r="J77" s="448"/>
      <c r="K77" s="165">
        <f>'NBCC_I-7'!K45</f>
        <v>0.13974199037873009</v>
      </c>
      <c r="L77" s="152" t="s">
        <v>105</v>
      </c>
      <c r="M77" s="481"/>
      <c r="N77" s="481"/>
      <c r="O77" s="481"/>
    </row>
    <row r="78" spans="1:15" ht="15.75" x14ac:dyDescent="0.2">
      <c r="A78" s="475"/>
      <c r="B78" s="455"/>
      <c r="C78" s="455" t="s">
        <v>1111</v>
      </c>
      <c r="D78" s="428" t="s">
        <v>1112</v>
      </c>
      <c r="E78" s="428"/>
      <c r="F78" s="152" t="s">
        <v>1119</v>
      </c>
      <c r="G78" s="456" t="s">
        <v>1133</v>
      </c>
      <c r="H78" s="437"/>
      <c r="I78" s="437"/>
      <c r="J78" s="437"/>
      <c r="K78" s="165">
        <f>'NBCC_I-7'!F45</f>
        <v>0.63912921346977791</v>
      </c>
      <c r="L78" s="152" t="s">
        <v>105</v>
      </c>
      <c r="M78" s="481"/>
      <c r="N78" s="481"/>
      <c r="O78" s="481"/>
    </row>
    <row r="79" spans="1:15" ht="15.75" x14ac:dyDescent="0.2">
      <c r="A79" s="475"/>
      <c r="B79" s="455"/>
      <c r="C79" s="458"/>
      <c r="D79" s="428" t="s">
        <v>1078</v>
      </c>
      <c r="E79" s="428"/>
      <c r="F79" s="152" t="s">
        <v>1121</v>
      </c>
      <c r="G79" s="456" t="s">
        <v>1134</v>
      </c>
      <c r="H79" s="437"/>
      <c r="I79" s="437"/>
      <c r="J79" s="437"/>
      <c r="K79" s="165">
        <f>'NBCC_I-7'!H45</f>
        <v>-0.13392000000000004</v>
      </c>
      <c r="L79" s="152" t="s">
        <v>105</v>
      </c>
      <c r="M79" s="481"/>
      <c r="N79" s="481"/>
      <c r="O79" s="481"/>
    </row>
    <row r="80" spans="1:15" ht="15.75" x14ac:dyDescent="0.2">
      <c r="A80" s="475"/>
      <c r="B80" s="455"/>
      <c r="C80" s="458"/>
      <c r="D80" s="428" t="s">
        <v>1079</v>
      </c>
      <c r="E80" s="428"/>
      <c r="F80" s="152" t="s">
        <v>1122</v>
      </c>
      <c r="G80" s="457" t="s">
        <v>1135</v>
      </c>
      <c r="H80" s="448"/>
      <c r="I80" s="448"/>
      <c r="J80" s="448"/>
      <c r="K80" s="165">
        <f>'NBCC_I-7'!J45</f>
        <v>2.9306388454476126E-2</v>
      </c>
      <c r="L80" s="152" t="s">
        <v>105</v>
      </c>
      <c r="M80" s="481"/>
      <c r="N80" s="481"/>
      <c r="O80" s="481"/>
    </row>
    <row r="81" spans="1:15" ht="15.75" x14ac:dyDescent="0.2">
      <c r="A81" s="475"/>
      <c r="B81" s="455"/>
      <c r="C81" s="458"/>
      <c r="D81" s="428" t="s">
        <v>1113</v>
      </c>
      <c r="E81" s="428"/>
      <c r="F81" s="152" t="s">
        <v>1120</v>
      </c>
      <c r="G81" s="457" t="s">
        <v>1136</v>
      </c>
      <c r="H81" s="448"/>
      <c r="I81" s="448"/>
      <c r="J81" s="448"/>
      <c r="K81" s="165">
        <f>'NBCC_I-7'!L45</f>
        <v>5.3955184605968216E-2</v>
      </c>
      <c r="L81" s="152" t="s">
        <v>105</v>
      </c>
      <c r="M81" s="481"/>
      <c r="N81" s="481"/>
      <c r="O81" s="481"/>
    </row>
    <row r="82" spans="1:15" ht="15.75" x14ac:dyDescent="0.2">
      <c r="A82" s="475"/>
      <c r="B82" s="455"/>
      <c r="C82" s="455" t="s">
        <v>1118</v>
      </c>
      <c r="D82" s="428" t="s">
        <v>1112</v>
      </c>
      <c r="E82" s="428"/>
      <c r="F82" s="152" t="s">
        <v>1123</v>
      </c>
      <c r="G82" s="456" t="s">
        <v>1131</v>
      </c>
      <c r="H82" s="437"/>
      <c r="I82" s="437"/>
      <c r="J82" s="437"/>
      <c r="K82" s="165">
        <f>'NBCC_I-7'!M47</f>
        <v>0.47987999999999997</v>
      </c>
      <c r="L82" s="152" t="s">
        <v>105</v>
      </c>
      <c r="M82" s="481"/>
      <c r="N82" s="481"/>
      <c r="O82" s="481"/>
    </row>
    <row r="83" spans="1:15" ht="15.75" x14ac:dyDescent="0.2">
      <c r="A83" s="475"/>
      <c r="B83" s="455"/>
      <c r="C83" s="455"/>
      <c r="D83" s="428"/>
      <c r="E83" s="428"/>
      <c r="F83" s="152" t="s">
        <v>1138</v>
      </c>
      <c r="G83" s="456" t="s">
        <v>1137</v>
      </c>
      <c r="H83" s="437"/>
      <c r="I83" s="437"/>
      <c r="J83" s="437"/>
      <c r="K83" s="165">
        <f>'NBCC_I-7'!N47</f>
        <v>0.56916</v>
      </c>
      <c r="L83" s="152" t="s">
        <v>105</v>
      </c>
      <c r="M83" s="481"/>
      <c r="N83" s="481"/>
      <c r="O83" s="481"/>
    </row>
    <row r="84" spans="1:15" ht="15.75" x14ac:dyDescent="0.2">
      <c r="A84" s="475"/>
      <c r="B84" s="455"/>
      <c r="C84" s="455"/>
      <c r="D84" s="428" t="s">
        <v>1113</v>
      </c>
      <c r="E84" s="428"/>
      <c r="F84" s="152" t="s">
        <v>1124</v>
      </c>
      <c r="G84" s="456" t="s">
        <v>1132</v>
      </c>
      <c r="H84" s="437"/>
      <c r="I84" s="437"/>
      <c r="J84" s="437"/>
      <c r="K84" s="165">
        <f>'NBCC_I-7'!O47</f>
        <v>0.18971999999999997</v>
      </c>
      <c r="L84" s="152" t="s">
        <v>105</v>
      </c>
      <c r="M84" s="481"/>
      <c r="N84" s="481"/>
      <c r="O84" s="481"/>
    </row>
    <row r="85" spans="1:15" ht="16.5" thickBot="1" x14ac:dyDescent="0.25">
      <c r="A85" s="475"/>
      <c r="B85" s="455"/>
      <c r="C85" s="455"/>
      <c r="D85" s="428"/>
      <c r="E85" s="428"/>
      <c r="F85" s="152" t="s">
        <v>1139</v>
      </c>
      <c r="G85" s="456" t="s">
        <v>1140</v>
      </c>
      <c r="H85" s="437"/>
      <c r="I85" s="437"/>
      <c r="J85" s="437"/>
      <c r="K85" s="165">
        <f>'NBCC_I-7'!P47</f>
        <v>0.13391999999999998</v>
      </c>
      <c r="L85" s="152" t="s">
        <v>105</v>
      </c>
      <c r="M85" s="481"/>
      <c r="N85" s="481"/>
      <c r="O85" s="481"/>
    </row>
    <row r="86" spans="1:15" ht="16.5" thickBot="1" x14ac:dyDescent="0.25">
      <c r="A86" s="475"/>
      <c r="B86" s="433" t="s">
        <v>1108</v>
      </c>
      <c r="C86" s="433"/>
      <c r="D86" s="434"/>
      <c r="E86" s="434"/>
      <c r="F86" s="153" t="s">
        <v>1047</v>
      </c>
      <c r="G86" s="435" t="s">
        <v>1483</v>
      </c>
      <c r="H86" s="437"/>
      <c r="I86" s="437"/>
      <c r="J86" s="437"/>
      <c r="K86" s="95">
        <f>_bldg_s*(_bldg_height_truss*(K75-K76)+_bldg_height_wall*(_fw*K74-_fl*K77))*1000</f>
        <v>409.31955189897423</v>
      </c>
      <c r="L86" s="187" t="s">
        <v>1369</v>
      </c>
    </row>
    <row r="87" spans="1:15" ht="16.5" thickBot="1" x14ac:dyDescent="0.25">
      <c r="A87" s="475"/>
      <c r="B87" s="433" t="s">
        <v>1109</v>
      </c>
      <c r="C87" s="433"/>
      <c r="D87" s="434"/>
      <c r="E87" s="434"/>
      <c r="F87" s="152" t="s">
        <v>1048</v>
      </c>
      <c r="G87" s="463" t="s">
        <v>1050</v>
      </c>
      <c r="H87" s="448"/>
      <c r="I87" s="448"/>
      <c r="J87" s="448"/>
      <c r="K87" s="275">
        <f>K86/2</f>
        <v>204.65977594948711</v>
      </c>
      <c r="L87" s="187" t="s">
        <v>1369</v>
      </c>
      <c r="M87" s="156" t="s">
        <v>1063</v>
      </c>
      <c r="N87" s="156"/>
      <c r="O87" s="151"/>
    </row>
    <row r="88" spans="1:15" x14ac:dyDescent="0.2">
      <c r="A88" s="475"/>
      <c r="B88" s="297"/>
      <c r="C88" s="297"/>
      <c r="D88" s="297"/>
      <c r="E88" s="297"/>
      <c r="G88" s="189"/>
      <c r="H88" s="189"/>
      <c r="I88" s="189"/>
      <c r="J88" s="189"/>
    </row>
    <row r="89" spans="1:15" x14ac:dyDescent="0.2">
      <c r="B89" s="185"/>
      <c r="C89" s="185"/>
      <c r="D89" s="185"/>
      <c r="E89" s="185"/>
      <c r="G89" s="185"/>
      <c r="H89" s="185"/>
      <c r="I89" s="185"/>
      <c r="J89" s="185"/>
    </row>
  </sheetData>
  <mergeCells count="203">
    <mergeCell ref="D84:E85"/>
    <mergeCell ref="G85:J85"/>
    <mergeCell ref="G76:J76"/>
    <mergeCell ref="G77:J77"/>
    <mergeCell ref="G78:J78"/>
    <mergeCell ref="G81:J81"/>
    <mergeCell ref="D80:E80"/>
    <mergeCell ref="M31:O31"/>
    <mergeCell ref="M37:O37"/>
    <mergeCell ref="M39:O39"/>
    <mergeCell ref="M51:O51"/>
    <mergeCell ref="M34:O35"/>
    <mergeCell ref="M49:O49"/>
    <mergeCell ref="M42:O46"/>
    <mergeCell ref="M36:O36"/>
    <mergeCell ref="M18:O19"/>
    <mergeCell ref="M13:O15"/>
    <mergeCell ref="M16:O17"/>
    <mergeCell ref="M32:O33"/>
    <mergeCell ref="D82:E83"/>
    <mergeCell ref="M61:O61"/>
    <mergeCell ref="M62:O62"/>
    <mergeCell ref="M52:O52"/>
    <mergeCell ref="M50:O50"/>
    <mergeCell ref="M54:O54"/>
    <mergeCell ref="M55:O55"/>
    <mergeCell ref="M56:O56"/>
    <mergeCell ref="M57:O57"/>
    <mergeCell ref="M58:O58"/>
    <mergeCell ref="M59:O59"/>
    <mergeCell ref="M60:O60"/>
    <mergeCell ref="G74:J74"/>
    <mergeCell ref="M74:O85"/>
    <mergeCell ref="G82:J82"/>
    <mergeCell ref="G84:J84"/>
    <mergeCell ref="G18:J19"/>
    <mergeCell ref="D24:E24"/>
    <mergeCell ref="G24:J24"/>
    <mergeCell ref="G83:J83"/>
    <mergeCell ref="M70:O71"/>
    <mergeCell ref="M72:O73"/>
    <mergeCell ref="M64:O65"/>
    <mergeCell ref="M66:O68"/>
    <mergeCell ref="A23:A39"/>
    <mergeCell ref="A4:A22"/>
    <mergeCell ref="A70:A88"/>
    <mergeCell ref="A64:A69"/>
    <mergeCell ref="B86:E86"/>
    <mergeCell ref="G86:J86"/>
    <mergeCell ref="B87:E87"/>
    <mergeCell ref="G87:J87"/>
    <mergeCell ref="G35:J35"/>
    <mergeCell ref="F64:F65"/>
    <mergeCell ref="B64:E65"/>
    <mergeCell ref="G64:J65"/>
    <mergeCell ref="F70:F71"/>
    <mergeCell ref="F72:F73"/>
    <mergeCell ref="B70:C73"/>
    <mergeCell ref="D70:E71"/>
    <mergeCell ref="M47:O47"/>
    <mergeCell ref="M48:O48"/>
    <mergeCell ref="M53:O53"/>
    <mergeCell ref="M22:O22"/>
    <mergeCell ref="B5:E5"/>
    <mergeCell ref="G66:J66"/>
    <mergeCell ref="G67:J67"/>
    <mergeCell ref="G68:J68"/>
    <mergeCell ref="D72:E73"/>
    <mergeCell ref="G70:J71"/>
    <mergeCell ref="G72:J73"/>
    <mergeCell ref="B66:E66"/>
    <mergeCell ref="G37:J37"/>
    <mergeCell ref="B13:E15"/>
    <mergeCell ref="F13:F15"/>
    <mergeCell ref="G13:J15"/>
    <mergeCell ref="B16:E17"/>
    <mergeCell ref="F16:F17"/>
    <mergeCell ref="G16:J17"/>
    <mergeCell ref="B18:E19"/>
    <mergeCell ref="F18:F19"/>
    <mergeCell ref="B67:E67"/>
    <mergeCell ref="B68:E68"/>
    <mergeCell ref="B26:B31"/>
    <mergeCell ref="C30:E30"/>
    <mergeCell ref="C31:E31"/>
    <mergeCell ref="D27:E27"/>
    <mergeCell ref="G48:J48"/>
    <mergeCell ref="B2:E2"/>
    <mergeCell ref="F2:J2"/>
    <mergeCell ref="M2:O2"/>
    <mergeCell ref="G36:J36"/>
    <mergeCell ref="G32:J32"/>
    <mergeCell ref="G31:J31"/>
    <mergeCell ref="B6:E8"/>
    <mergeCell ref="B11:E12"/>
    <mergeCell ref="F6:F8"/>
    <mergeCell ref="F11:F12"/>
    <mergeCell ref="G6:J8"/>
    <mergeCell ref="G11:J12"/>
    <mergeCell ref="M6:O8"/>
    <mergeCell ref="M4:O5"/>
    <mergeCell ref="D28:E28"/>
    <mergeCell ref="D29:E29"/>
    <mergeCell ref="B32:B33"/>
    <mergeCell ref="M9:O10"/>
    <mergeCell ref="M11:O12"/>
    <mergeCell ref="G5:J5"/>
    <mergeCell ref="B4:E4"/>
    <mergeCell ref="G4:J4"/>
    <mergeCell ref="G9:J10"/>
    <mergeCell ref="F9:F10"/>
    <mergeCell ref="G26:J26"/>
    <mergeCell ref="G30:J30"/>
    <mergeCell ref="C28:C29"/>
    <mergeCell ref="C26:C27"/>
    <mergeCell ref="F26:F27"/>
    <mergeCell ref="D25:E25"/>
    <mergeCell ref="D26:E26"/>
    <mergeCell ref="B9:E10"/>
    <mergeCell ref="C82:C85"/>
    <mergeCell ref="G47:J47"/>
    <mergeCell ref="G79:J79"/>
    <mergeCell ref="G80:J80"/>
    <mergeCell ref="D77:E77"/>
    <mergeCell ref="D76:E76"/>
    <mergeCell ref="G75:J75"/>
    <mergeCell ref="D74:E74"/>
    <mergeCell ref="D75:E75"/>
    <mergeCell ref="C74:C77"/>
    <mergeCell ref="C78:C81"/>
    <mergeCell ref="D78:E78"/>
    <mergeCell ref="D81:E81"/>
    <mergeCell ref="D79:E79"/>
    <mergeCell ref="C46:E46"/>
    <mergeCell ref="B74:B85"/>
    <mergeCell ref="A54:A63"/>
    <mergeCell ref="G54:J54"/>
    <mergeCell ref="B56:B57"/>
    <mergeCell ref="C56:E56"/>
    <mergeCell ref="C57:E57"/>
    <mergeCell ref="C54:E54"/>
    <mergeCell ref="B58:B62"/>
    <mergeCell ref="G55:J55"/>
    <mergeCell ref="G57:J57"/>
    <mergeCell ref="G59:J59"/>
    <mergeCell ref="G62:J62"/>
    <mergeCell ref="C58:E58"/>
    <mergeCell ref="G58:J58"/>
    <mergeCell ref="G61:J61"/>
    <mergeCell ref="B54:B55"/>
    <mergeCell ref="C55:E55"/>
    <mergeCell ref="G56:J56"/>
    <mergeCell ref="C59:E60"/>
    <mergeCell ref="G60:J60"/>
    <mergeCell ref="C61:D62"/>
    <mergeCell ref="Q26:R26"/>
    <mergeCell ref="Q27:R27"/>
    <mergeCell ref="Q28:R28"/>
    <mergeCell ref="G42:J42"/>
    <mergeCell ref="B20:C21"/>
    <mergeCell ref="D20:E20"/>
    <mergeCell ref="D21:E21"/>
    <mergeCell ref="G20:J20"/>
    <mergeCell ref="G21:J21"/>
    <mergeCell ref="M20:O21"/>
    <mergeCell ref="G38:J38"/>
    <mergeCell ref="G33:J33"/>
    <mergeCell ref="G25:J25"/>
    <mergeCell ref="D23:E23"/>
    <mergeCell ref="G23:J23"/>
    <mergeCell ref="G29:J29"/>
    <mergeCell ref="C32:E32"/>
    <mergeCell ref="C33:E33"/>
    <mergeCell ref="F28:F29"/>
    <mergeCell ref="G27:J27"/>
    <mergeCell ref="G28:J28"/>
    <mergeCell ref="M23:O30"/>
    <mergeCell ref="B23:C25"/>
    <mergeCell ref="Q29:R29"/>
    <mergeCell ref="A40:A53"/>
    <mergeCell ref="G40:J40"/>
    <mergeCell ref="B36:B38"/>
    <mergeCell ref="C36:E36"/>
    <mergeCell ref="C37:E37"/>
    <mergeCell ref="C38:E38"/>
    <mergeCell ref="B34:B35"/>
    <mergeCell ref="C34:E34"/>
    <mergeCell ref="C35:E35"/>
    <mergeCell ref="F50:F52"/>
    <mergeCell ref="G43:J43"/>
    <mergeCell ref="B48:E52"/>
    <mergeCell ref="G44:J44"/>
    <mergeCell ref="G45:J45"/>
    <mergeCell ref="B47:E47"/>
    <mergeCell ref="G50:J52"/>
    <mergeCell ref="G34:J34"/>
    <mergeCell ref="G49:J49"/>
    <mergeCell ref="G46:J46"/>
    <mergeCell ref="B42:B46"/>
    <mergeCell ref="C42:E42"/>
    <mergeCell ref="C43:E43"/>
    <mergeCell ref="C44:E44"/>
    <mergeCell ref="C45:E45"/>
  </mergeCells>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6" r:id="rId4" name="Scroll Bar 2">
              <controlPr defaultSize="0" autoPict="0">
                <anchor moveWithCells="1">
                  <from>
                    <xdr:col>6</xdr:col>
                    <xdr:colOff>0</xdr:colOff>
                    <xdr:row>15</xdr:row>
                    <xdr:rowOff>0</xdr:rowOff>
                  </from>
                  <to>
                    <xdr:col>10</xdr:col>
                    <xdr:colOff>0</xdr:colOff>
                    <xdr:row>16</xdr:row>
                    <xdr:rowOff>0</xdr:rowOff>
                  </to>
                </anchor>
              </controlPr>
            </control>
          </mc:Choice>
        </mc:AlternateContent>
        <mc:AlternateContent xmlns:mc="http://schemas.openxmlformats.org/markup-compatibility/2006">
          <mc:Choice Requires="x14">
            <control shapeId="6147" r:id="rId5" name="Scroll Bar 3">
              <controlPr defaultSize="0" autoPict="0">
                <anchor moveWithCells="1">
                  <from>
                    <xdr:col>6</xdr:col>
                    <xdr:colOff>0</xdr:colOff>
                    <xdr:row>12</xdr:row>
                    <xdr:rowOff>0</xdr:rowOff>
                  </from>
                  <to>
                    <xdr:col>10</xdr:col>
                    <xdr:colOff>0</xdr:colOff>
                    <xdr:row>13</xdr:row>
                    <xdr:rowOff>0</xdr:rowOff>
                  </to>
                </anchor>
              </controlPr>
            </control>
          </mc:Choice>
        </mc:AlternateContent>
        <mc:AlternateContent xmlns:mc="http://schemas.openxmlformats.org/markup-compatibility/2006">
          <mc:Choice Requires="x14">
            <control shapeId="6148" r:id="rId6" name="Scroll Bar 4">
              <controlPr defaultSize="0" autoPict="0">
                <anchor moveWithCells="1">
                  <from>
                    <xdr:col>6</xdr:col>
                    <xdr:colOff>0</xdr:colOff>
                    <xdr:row>5</xdr:row>
                    <xdr:rowOff>0</xdr:rowOff>
                  </from>
                  <to>
                    <xdr:col>10</xdr:col>
                    <xdr:colOff>0</xdr:colOff>
                    <xdr:row>6</xdr:row>
                    <xdr:rowOff>0</xdr:rowOff>
                  </to>
                </anchor>
              </controlPr>
            </control>
          </mc:Choice>
        </mc:AlternateContent>
        <mc:AlternateContent xmlns:mc="http://schemas.openxmlformats.org/markup-compatibility/2006">
          <mc:Choice Requires="x14">
            <control shapeId="6149" r:id="rId7" name="Scroll Bar 5">
              <controlPr defaultSize="0" autoPict="0">
                <anchor moveWithCells="1">
                  <from>
                    <xdr:col>6</xdr:col>
                    <xdr:colOff>0</xdr:colOff>
                    <xdr:row>10</xdr:row>
                    <xdr:rowOff>0</xdr:rowOff>
                  </from>
                  <to>
                    <xdr:col>10</xdr:col>
                    <xdr:colOff>0</xdr:colOff>
                    <xdr:row>11</xdr:row>
                    <xdr:rowOff>0</xdr:rowOff>
                  </to>
                </anchor>
              </controlPr>
            </control>
          </mc:Choice>
        </mc:AlternateContent>
        <mc:AlternateContent xmlns:mc="http://schemas.openxmlformats.org/markup-compatibility/2006">
          <mc:Choice Requires="x14">
            <control shapeId="6150" r:id="rId8" name="Scroll Bar 6">
              <controlPr defaultSize="0" autoPict="0">
                <anchor moveWithCells="1">
                  <from>
                    <xdr:col>6</xdr:col>
                    <xdr:colOff>0</xdr:colOff>
                    <xdr:row>3</xdr:row>
                    <xdr:rowOff>0</xdr:rowOff>
                  </from>
                  <to>
                    <xdr:col>10</xdr:col>
                    <xdr:colOff>0</xdr:colOff>
                    <xdr:row>4</xdr:row>
                    <xdr:rowOff>0</xdr:rowOff>
                  </to>
                </anchor>
              </controlPr>
            </control>
          </mc:Choice>
        </mc:AlternateContent>
        <mc:AlternateContent xmlns:mc="http://schemas.openxmlformats.org/markup-compatibility/2006">
          <mc:Choice Requires="x14">
            <control shapeId="6151" r:id="rId9" name="Scroll Bar 7">
              <controlPr defaultSize="0" autoPict="0">
                <anchor moveWithCells="1">
                  <from>
                    <xdr:col>6</xdr:col>
                    <xdr:colOff>0</xdr:colOff>
                    <xdr:row>63</xdr:row>
                    <xdr:rowOff>0</xdr:rowOff>
                  </from>
                  <to>
                    <xdr:col>10</xdr:col>
                    <xdr:colOff>0</xdr:colOff>
                    <xdr:row>64</xdr:row>
                    <xdr:rowOff>0</xdr:rowOff>
                  </to>
                </anchor>
              </controlPr>
            </control>
          </mc:Choice>
        </mc:AlternateContent>
        <mc:AlternateContent xmlns:mc="http://schemas.openxmlformats.org/markup-compatibility/2006">
          <mc:Choice Requires="x14">
            <control shapeId="6152" r:id="rId10" name="Drop Down 8">
              <controlPr defaultSize="0" autoLine="0" autoPict="0">
                <anchor moveWithCells="1">
                  <from>
                    <xdr:col>6</xdr:col>
                    <xdr:colOff>0</xdr:colOff>
                    <xdr:row>56</xdr:row>
                    <xdr:rowOff>0</xdr:rowOff>
                  </from>
                  <to>
                    <xdr:col>10</xdr:col>
                    <xdr:colOff>0</xdr:colOff>
                    <xdr:row>57</xdr:row>
                    <xdr:rowOff>0</xdr:rowOff>
                  </to>
                </anchor>
              </controlPr>
            </control>
          </mc:Choice>
        </mc:AlternateContent>
        <mc:AlternateContent xmlns:mc="http://schemas.openxmlformats.org/markup-compatibility/2006">
          <mc:Choice Requires="x14">
            <control shapeId="6153" r:id="rId11" name="Drop Down 9">
              <controlPr defaultSize="0" autoLine="0" autoPict="0">
                <anchor moveWithCells="1">
                  <from>
                    <xdr:col>6</xdr:col>
                    <xdr:colOff>0</xdr:colOff>
                    <xdr:row>53</xdr:row>
                    <xdr:rowOff>0</xdr:rowOff>
                  </from>
                  <to>
                    <xdr:col>10</xdr:col>
                    <xdr:colOff>0</xdr:colOff>
                    <xdr:row>54</xdr:row>
                    <xdr:rowOff>0</xdr:rowOff>
                  </to>
                </anchor>
              </controlPr>
            </control>
          </mc:Choice>
        </mc:AlternateContent>
        <mc:AlternateContent xmlns:mc="http://schemas.openxmlformats.org/markup-compatibility/2006">
          <mc:Choice Requires="x14">
            <control shapeId="6154" r:id="rId12" name="Drop Down 10">
              <controlPr defaultSize="0" autoLine="0" autoPict="0">
                <anchor moveWithCells="1">
                  <from>
                    <xdr:col>6</xdr:col>
                    <xdr:colOff>0</xdr:colOff>
                    <xdr:row>54</xdr:row>
                    <xdr:rowOff>0</xdr:rowOff>
                  </from>
                  <to>
                    <xdr:col>10</xdr:col>
                    <xdr:colOff>0</xdr:colOff>
                    <xdr:row>55</xdr:row>
                    <xdr:rowOff>0</xdr:rowOff>
                  </to>
                </anchor>
              </controlPr>
            </control>
          </mc:Choice>
        </mc:AlternateContent>
        <mc:AlternateContent xmlns:mc="http://schemas.openxmlformats.org/markup-compatibility/2006">
          <mc:Choice Requires="x14">
            <control shapeId="6163" r:id="rId13" name="Drop Down 19">
              <controlPr defaultSize="0" autoLine="0" autoPict="0">
                <anchor moveWithCells="1">
                  <from>
                    <xdr:col>6</xdr:col>
                    <xdr:colOff>0</xdr:colOff>
                    <xdr:row>58</xdr:row>
                    <xdr:rowOff>0</xdr:rowOff>
                  </from>
                  <to>
                    <xdr:col>10</xdr:col>
                    <xdr:colOff>0</xdr:colOff>
                    <xdr:row>59</xdr:row>
                    <xdr:rowOff>0</xdr:rowOff>
                  </to>
                </anchor>
              </controlPr>
            </control>
          </mc:Choice>
        </mc:AlternateContent>
        <mc:AlternateContent xmlns:mc="http://schemas.openxmlformats.org/markup-compatibility/2006">
          <mc:Choice Requires="x14">
            <control shapeId="6164" r:id="rId14" name="Scroll Bar 20">
              <controlPr defaultSize="0" autoPict="0">
                <anchor moveWithCells="1">
                  <from>
                    <xdr:col>6</xdr:col>
                    <xdr:colOff>0</xdr:colOff>
                    <xdr:row>29</xdr:row>
                    <xdr:rowOff>0</xdr:rowOff>
                  </from>
                  <to>
                    <xdr:col>10</xdr:col>
                    <xdr:colOff>0</xdr:colOff>
                    <xdr:row>29</xdr:row>
                    <xdr:rowOff>190500</xdr:rowOff>
                  </to>
                </anchor>
              </controlPr>
            </control>
          </mc:Choice>
        </mc:AlternateContent>
        <mc:AlternateContent xmlns:mc="http://schemas.openxmlformats.org/markup-compatibility/2006">
          <mc:Choice Requires="x14">
            <control shapeId="6165" r:id="rId15" name="Drop Down 21">
              <controlPr defaultSize="0" autoLine="0" autoPict="0">
                <anchor moveWithCells="1">
                  <from>
                    <xdr:col>6</xdr:col>
                    <xdr:colOff>0</xdr:colOff>
                    <xdr:row>23</xdr:row>
                    <xdr:rowOff>0</xdr:rowOff>
                  </from>
                  <to>
                    <xdr:col>10</xdr:col>
                    <xdr:colOff>0</xdr:colOff>
                    <xdr:row>24</xdr:row>
                    <xdr:rowOff>0</xdr:rowOff>
                  </to>
                </anchor>
              </controlPr>
            </control>
          </mc:Choice>
        </mc:AlternateContent>
        <mc:AlternateContent xmlns:mc="http://schemas.openxmlformats.org/markup-compatibility/2006">
          <mc:Choice Requires="x14">
            <control shapeId="6166" r:id="rId16" name="Drop Down 22">
              <controlPr defaultSize="0" autoLine="0" autoPict="0">
                <anchor moveWithCells="1">
                  <from>
                    <xdr:col>6</xdr:col>
                    <xdr:colOff>0</xdr:colOff>
                    <xdr:row>22</xdr:row>
                    <xdr:rowOff>0</xdr:rowOff>
                  </from>
                  <to>
                    <xdr:col>10</xdr:col>
                    <xdr:colOff>0</xdr:colOff>
                    <xdr:row>23</xdr:row>
                    <xdr:rowOff>0</xdr:rowOff>
                  </to>
                </anchor>
              </controlPr>
            </control>
          </mc:Choice>
        </mc:AlternateContent>
        <mc:AlternateContent xmlns:mc="http://schemas.openxmlformats.org/markup-compatibility/2006">
          <mc:Choice Requires="x14">
            <control shapeId="6167" r:id="rId17" name="Drop Down 23">
              <controlPr defaultSize="0" autoLine="0" autoPict="0">
                <anchor moveWithCells="1">
                  <from>
                    <xdr:col>6</xdr:col>
                    <xdr:colOff>0</xdr:colOff>
                    <xdr:row>24</xdr:row>
                    <xdr:rowOff>0</xdr:rowOff>
                  </from>
                  <to>
                    <xdr:col>10</xdr:col>
                    <xdr:colOff>0</xdr:colOff>
                    <xdr:row>25</xdr:row>
                    <xdr:rowOff>0</xdr:rowOff>
                  </to>
                </anchor>
              </controlPr>
            </control>
          </mc:Choice>
        </mc:AlternateContent>
        <mc:AlternateContent xmlns:mc="http://schemas.openxmlformats.org/markup-compatibility/2006">
          <mc:Choice Requires="x14">
            <control shapeId="6169" r:id="rId18" name="Drop Down 25">
              <controlPr defaultSize="0" autoLine="0" autoPict="0">
                <anchor moveWithCells="1">
                  <from>
                    <xdr:col>6</xdr:col>
                    <xdr:colOff>0</xdr:colOff>
                    <xdr:row>25</xdr:row>
                    <xdr:rowOff>0</xdr:rowOff>
                  </from>
                  <to>
                    <xdr:col>10</xdr:col>
                    <xdr:colOff>0</xdr:colOff>
                    <xdr:row>25</xdr:row>
                    <xdr:rowOff>228600</xdr:rowOff>
                  </to>
                </anchor>
              </controlPr>
            </control>
          </mc:Choice>
        </mc:AlternateContent>
        <mc:AlternateContent xmlns:mc="http://schemas.openxmlformats.org/markup-compatibility/2006">
          <mc:Choice Requires="x14">
            <control shapeId="6170" r:id="rId19" name="Drop Down 26">
              <controlPr defaultSize="0" autoLine="0" autoPict="0">
                <anchor moveWithCells="1">
                  <from>
                    <xdr:col>6</xdr:col>
                    <xdr:colOff>0</xdr:colOff>
                    <xdr:row>27</xdr:row>
                    <xdr:rowOff>0</xdr:rowOff>
                  </from>
                  <to>
                    <xdr:col>10</xdr:col>
                    <xdr:colOff>0</xdr:colOff>
                    <xdr:row>28</xdr:row>
                    <xdr:rowOff>0</xdr:rowOff>
                  </to>
                </anchor>
              </controlPr>
            </control>
          </mc:Choice>
        </mc:AlternateContent>
        <mc:AlternateContent xmlns:mc="http://schemas.openxmlformats.org/markup-compatibility/2006">
          <mc:Choice Requires="x14">
            <control shapeId="6171" r:id="rId20" name="Drop Down 27">
              <controlPr defaultSize="0" autoLine="0" autoPict="0">
                <anchor moveWithCells="1">
                  <from>
                    <xdr:col>6</xdr:col>
                    <xdr:colOff>0</xdr:colOff>
                    <xdr:row>41</xdr:row>
                    <xdr:rowOff>0</xdr:rowOff>
                  </from>
                  <to>
                    <xdr:col>10</xdr:col>
                    <xdr:colOff>0</xdr:colOff>
                    <xdr:row>42</xdr:row>
                    <xdr:rowOff>0</xdr:rowOff>
                  </to>
                </anchor>
              </controlPr>
            </control>
          </mc:Choice>
        </mc:AlternateContent>
        <mc:AlternateContent xmlns:mc="http://schemas.openxmlformats.org/markup-compatibility/2006">
          <mc:Choice Requires="x14">
            <control shapeId="6172" r:id="rId21" name="Drop Down 28">
              <controlPr defaultSize="0" autoLine="0" autoPict="0">
                <anchor moveWithCells="1">
                  <from>
                    <xdr:col>6</xdr:col>
                    <xdr:colOff>0</xdr:colOff>
                    <xdr:row>33</xdr:row>
                    <xdr:rowOff>0</xdr:rowOff>
                  </from>
                  <to>
                    <xdr:col>10</xdr:col>
                    <xdr:colOff>0</xdr:colOff>
                    <xdr:row>34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W24"/>
  <sheetViews>
    <sheetView tabSelected="1" zoomScale="70" zoomScaleNormal="70" workbookViewId="0">
      <selection activeCell="B3" sqref="B3"/>
    </sheetView>
  </sheetViews>
  <sheetFormatPr defaultRowHeight="12.75" x14ac:dyDescent="0.2"/>
  <cols>
    <col min="1" max="1" width="2.140625" style="109" customWidth="1"/>
    <col min="2" max="2" width="9.28515625" style="109" bestFit="1" customWidth="1"/>
    <col min="3" max="3" width="2.140625" style="109" bestFit="1" customWidth="1"/>
    <col min="4" max="4" width="10.85546875" style="109" bestFit="1" customWidth="1"/>
    <col min="5" max="5" width="2.140625" style="109" bestFit="1" customWidth="1"/>
    <col min="6" max="6" width="16.140625" style="109" bestFit="1" customWidth="1"/>
    <col min="7" max="7" width="2.140625" style="109" bestFit="1" customWidth="1"/>
    <col min="8" max="8" width="11.28515625" style="109" bestFit="1" customWidth="1"/>
    <col min="9" max="9" width="2.140625" style="109" bestFit="1" customWidth="1"/>
    <col min="10" max="10" width="9.42578125" style="109" bestFit="1" customWidth="1"/>
    <col min="11" max="11" width="2.5703125" style="109" customWidth="1"/>
    <col min="12" max="12" width="9.42578125" style="109" bestFit="1" customWidth="1"/>
    <col min="13" max="13" width="2.28515625" style="109" customWidth="1"/>
    <col min="14" max="14" width="9.5703125" style="109" bestFit="1" customWidth="1"/>
    <col min="15" max="16384" width="9.140625" style="109"/>
  </cols>
  <sheetData>
    <row r="1" spans="1:23" ht="13.5" thickBot="1" x14ac:dyDescent="0.25">
      <c r="F1" s="97"/>
      <c r="H1" s="97"/>
      <c r="J1" s="482"/>
      <c r="K1" s="482"/>
      <c r="L1" s="482"/>
      <c r="M1" s="482"/>
      <c r="N1" s="482"/>
    </row>
    <row r="2" spans="1:23" ht="13.5" thickBot="1" x14ac:dyDescent="0.25">
      <c r="B2" s="115">
        <f>_bldg_nf</f>
        <v>10</v>
      </c>
    </row>
    <row r="3" spans="1:23" x14ac:dyDescent="0.2">
      <c r="A3" s="483"/>
      <c r="B3" s="316" t="s">
        <v>988</v>
      </c>
      <c r="D3" s="316" t="s">
        <v>1511</v>
      </c>
      <c r="F3" s="316" t="s">
        <v>1512</v>
      </c>
      <c r="H3" s="316" t="s">
        <v>1513</v>
      </c>
      <c r="J3" s="316" t="s">
        <v>1514</v>
      </c>
      <c r="L3" s="316" t="s">
        <v>1515</v>
      </c>
      <c r="N3" s="484" t="s">
        <v>1516</v>
      </c>
      <c r="O3" s="484"/>
      <c r="P3" s="484"/>
      <c r="Q3" s="484"/>
      <c r="R3" s="484"/>
      <c r="S3" s="484"/>
      <c r="T3" s="484"/>
      <c r="U3" s="484"/>
      <c r="V3" s="484"/>
      <c r="W3" s="484"/>
    </row>
    <row r="4" spans="1:23" x14ac:dyDescent="0.2">
      <c r="A4" s="483"/>
      <c r="B4" s="109">
        <v>1</v>
      </c>
      <c r="D4" s="317">
        <v>1953.573486328125</v>
      </c>
      <c r="F4" s="318">
        <v>204.65977478027344</v>
      </c>
      <c r="H4" s="317">
        <v>0.33560675050584127</v>
      </c>
      <c r="J4" s="318">
        <v>655.6324496209495</v>
      </c>
      <c r="L4" s="319">
        <v>3.2035237521630657</v>
      </c>
      <c r="N4" s="317">
        <v>8592.5244140625</v>
      </c>
      <c r="O4" s="317">
        <v>-6638.95068359375</v>
      </c>
      <c r="P4" s="317">
        <v>0</v>
      </c>
      <c r="Q4" s="317">
        <v>0</v>
      </c>
      <c r="R4" s="317">
        <v>0</v>
      </c>
      <c r="S4" s="317">
        <v>0</v>
      </c>
      <c r="T4" s="317">
        <v>0</v>
      </c>
      <c r="U4" s="317">
        <v>0</v>
      </c>
      <c r="V4" s="317">
        <v>0</v>
      </c>
      <c r="W4" s="317">
        <v>0</v>
      </c>
    </row>
    <row r="5" spans="1:23" x14ac:dyDescent="0.2">
      <c r="A5" s="483"/>
      <c r="B5" s="109">
        <v>2</v>
      </c>
      <c r="D5" s="317">
        <v>651.191162109375</v>
      </c>
      <c r="F5" s="318">
        <v>409.31954956054688</v>
      </c>
      <c r="H5" s="317">
        <v>0.40353506904123382</v>
      </c>
      <c r="J5" s="318">
        <v>262.77847056084795</v>
      </c>
      <c r="L5" s="319">
        <v>0.64198856576230434</v>
      </c>
      <c r="N5" s="317">
        <v>-6638.95068359375</v>
      </c>
      <c r="O5" s="317">
        <v>13929.0927734375</v>
      </c>
      <c r="P5" s="317">
        <v>-6638.95068359375</v>
      </c>
      <c r="Q5" s="317">
        <v>0</v>
      </c>
      <c r="R5" s="317">
        <v>0</v>
      </c>
      <c r="S5" s="317">
        <v>0</v>
      </c>
      <c r="T5" s="317">
        <v>0</v>
      </c>
      <c r="U5" s="317">
        <v>0</v>
      </c>
      <c r="V5" s="317">
        <v>0</v>
      </c>
      <c r="W5" s="317">
        <v>0</v>
      </c>
    </row>
    <row r="6" spans="1:23" x14ac:dyDescent="0.2">
      <c r="A6" s="483"/>
      <c r="B6" s="109">
        <v>3</v>
      </c>
      <c r="D6" s="317">
        <v>651.191162109375</v>
      </c>
      <c r="F6" s="318">
        <v>409.31954956054688</v>
      </c>
      <c r="H6" s="317">
        <v>0.44939047463233689</v>
      </c>
      <c r="J6" s="318">
        <v>292.63910541671504</v>
      </c>
      <c r="L6" s="319">
        <v>0.71494045601021949</v>
      </c>
      <c r="N6" s="317">
        <v>0</v>
      </c>
      <c r="O6" s="317">
        <v>-6638.95068359375</v>
      </c>
      <c r="P6" s="317">
        <v>13929.0927734375</v>
      </c>
      <c r="Q6" s="317">
        <v>-6638.95068359375</v>
      </c>
      <c r="R6" s="317">
        <v>0</v>
      </c>
      <c r="S6" s="317">
        <v>0</v>
      </c>
      <c r="T6" s="317">
        <v>0</v>
      </c>
      <c r="U6" s="317">
        <v>0</v>
      </c>
      <c r="V6" s="317">
        <v>0</v>
      </c>
      <c r="W6" s="317">
        <v>0</v>
      </c>
    </row>
    <row r="7" spans="1:23" x14ac:dyDescent="0.2">
      <c r="A7" s="483"/>
      <c r="B7" s="109">
        <v>4</v>
      </c>
      <c r="D7" s="317">
        <v>651.191162109375</v>
      </c>
      <c r="F7" s="318">
        <v>409.31954956054688</v>
      </c>
      <c r="H7" s="317">
        <v>0.47767076331261521</v>
      </c>
      <c r="J7" s="318">
        <v>311.05497946721408</v>
      </c>
      <c r="L7" s="319">
        <v>0.75993189135766548</v>
      </c>
      <c r="N7" s="317">
        <v>0</v>
      </c>
      <c r="O7" s="317">
        <v>0</v>
      </c>
      <c r="P7" s="317">
        <v>-6638.95068359375</v>
      </c>
      <c r="Q7" s="317">
        <v>13929.0927734375</v>
      </c>
      <c r="R7" s="317">
        <v>-6638.95068359375</v>
      </c>
      <c r="S7" s="317">
        <v>0</v>
      </c>
      <c r="T7" s="317">
        <v>0</v>
      </c>
      <c r="U7" s="317">
        <v>0</v>
      </c>
      <c r="V7" s="317">
        <v>0</v>
      </c>
      <c r="W7" s="317">
        <v>0</v>
      </c>
    </row>
    <row r="8" spans="1:23" x14ac:dyDescent="0.2">
      <c r="A8" s="483"/>
      <c r="B8" s="109">
        <v>5</v>
      </c>
      <c r="D8" s="317">
        <v>651.191162109375</v>
      </c>
      <c r="F8" s="318">
        <v>409.31954956054688</v>
      </c>
      <c r="H8" s="317">
        <v>0.49114984949001522</v>
      </c>
      <c r="J8" s="318">
        <v>319.83244125924762</v>
      </c>
      <c r="L8" s="319">
        <v>0.78137592402470324</v>
      </c>
      <c r="N8" s="317">
        <v>0</v>
      </c>
      <c r="O8" s="317">
        <v>0</v>
      </c>
      <c r="P8" s="317">
        <v>0</v>
      </c>
      <c r="Q8" s="317">
        <v>-6638.95068359375</v>
      </c>
      <c r="R8" s="317">
        <v>13929.0927734375</v>
      </c>
      <c r="S8" s="317">
        <v>-6638.95068359375</v>
      </c>
      <c r="T8" s="317">
        <v>0</v>
      </c>
      <c r="U8" s="317">
        <v>0</v>
      </c>
      <c r="V8" s="317">
        <v>0</v>
      </c>
      <c r="W8" s="317">
        <v>0</v>
      </c>
    </row>
    <row r="9" spans="1:23" x14ac:dyDescent="0.2">
      <c r="A9" s="483"/>
      <c r="B9" s="109">
        <v>6</v>
      </c>
      <c r="D9" s="317">
        <v>651.191162109375</v>
      </c>
      <c r="F9" s="318">
        <v>409.31954956054688</v>
      </c>
      <c r="H9" s="317">
        <v>0.49114984949001506</v>
      </c>
      <c r="J9" s="318">
        <v>319.8324412592475</v>
      </c>
      <c r="L9" s="319">
        <v>0.78137592402470291</v>
      </c>
      <c r="N9" s="317">
        <v>0</v>
      </c>
      <c r="O9" s="317">
        <v>0</v>
      </c>
      <c r="P9" s="317">
        <v>0</v>
      </c>
      <c r="Q9" s="317">
        <v>0</v>
      </c>
      <c r="R9" s="317">
        <v>-6638.95068359375</v>
      </c>
      <c r="S9" s="317">
        <v>13929.0927734375</v>
      </c>
      <c r="T9" s="317">
        <v>-6638.95068359375</v>
      </c>
      <c r="U9" s="317">
        <v>0</v>
      </c>
      <c r="V9" s="317">
        <v>0</v>
      </c>
      <c r="W9" s="317">
        <v>0</v>
      </c>
    </row>
    <row r="10" spans="1:23" x14ac:dyDescent="0.2">
      <c r="A10" s="483"/>
      <c r="B10" s="109">
        <v>7</v>
      </c>
      <c r="D10" s="317">
        <v>651.191162109375</v>
      </c>
      <c r="F10" s="318">
        <v>409.31954956054688</v>
      </c>
      <c r="H10" s="317">
        <v>0.47767076331261504</v>
      </c>
      <c r="J10" s="318">
        <v>311.05497946721403</v>
      </c>
      <c r="L10" s="319">
        <v>0.75993189135766537</v>
      </c>
      <c r="N10" s="317">
        <v>0</v>
      </c>
      <c r="O10" s="317">
        <v>0</v>
      </c>
      <c r="P10" s="317">
        <v>0</v>
      </c>
      <c r="Q10" s="317">
        <v>0</v>
      </c>
      <c r="R10" s="317">
        <v>0</v>
      </c>
      <c r="S10" s="317">
        <v>-6638.95068359375</v>
      </c>
      <c r="T10" s="317">
        <v>13929.0927734375</v>
      </c>
      <c r="U10" s="317">
        <v>-6638.95068359375</v>
      </c>
      <c r="V10" s="317">
        <v>0</v>
      </c>
      <c r="W10" s="317">
        <v>0</v>
      </c>
    </row>
    <row r="11" spans="1:23" x14ac:dyDescent="0.2">
      <c r="A11" s="483"/>
      <c r="B11" s="109">
        <v>8</v>
      </c>
      <c r="D11" s="317">
        <v>651.191162109375</v>
      </c>
      <c r="F11" s="318">
        <v>409.31954956054688</v>
      </c>
      <c r="H11" s="317">
        <v>0.44939047463233661</v>
      </c>
      <c r="J11" s="318">
        <v>292.63910541671487</v>
      </c>
      <c r="L11" s="319">
        <v>0.71494045601021916</v>
      </c>
      <c r="N11" s="317">
        <v>0</v>
      </c>
      <c r="O11" s="317">
        <v>0</v>
      </c>
      <c r="P11" s="317">
        <v>0</v>
      </c>
      <c r="Q11" s="317">
        <v>0</v>
      </c>
      <c r="R11" s="317">
        <v>0</v>
      </c>
      <c r="S11" s="317">
        <v>0</v>
      </c>
      <c r="T11" s="317">
        <v>-6638.95068359375</v>
      </c>
      <c r="U11" s="317">
        <v>13929.0927734375</v>
      </c>
      <c r="V11" s="317">
        <v>-6638.95068359375</v>
      </c>
      <c r="W11" s="317">
        <v>0</v>
      </c>
    </row>
    <row r="12" spans="1:23" x14ac:dyDescent="0.2">
      <c r="A12" s="483"/>
      <c r="B12" s="109">
        <v>9</v>
      </c>
      <c r="D12" s="317">
        <v>651.191162109375</v>
      </c>
      <c r="F12" s="318">
        <v>409.31954956054688</v>
      </c>
      <c r="H12" s="317">
        <v>0.40353506904123349</v>
      </c>
      <c r="J12" s="318">
        <v>262.77847056084772</v>
      </c>
      <c r="L12" s="319">
        <v>0.64198856576230379</v>
      </c>
      <c r="N12" s="317">
        <v>0</v>
      </c>
      <c r="O12" s="317">
        <v>0</v>
      </c>
      <c r="P12" s="317">
        <v>0</v>
      </c>
      <c r="Q12" s="317">
        <v>0</v>
      </c>
      <c r="R12" s="317">
        <v>0</v>
      </c>
      <c r="S12" s="317">
        <v>0</v>
      </c>
      <c r="T12" s="317">
        <v>0</v>
      </c>
      <c r="U12" s="317">
        <v>-6638.95068359375</v>
      </c>
      <c r="V12" s="317">
        <v>13929.0927734375</v>
      </c>
      <c r="W12" s="317">
        <v>-6638.95068359375</v>
      </c>
    </row>
    <row r="13" spans="1:23" x14ac:dyDescent="0.2">
      <c r="A13" s="483"/>
      <c r="B13" s="109">
        <v>10</v>
      </c>
      <c r="D13" s="317">
        <v>1953.573486328125</v>
      </c>
      <c r="F13" s="318">
        <v>204.65977478027344</v>
      </c>
      <c r="H13" s="317">
        <v>0.3356067505058411</v>
      </c>
      <c r="J13" s="318">
        <v>655.63244962094927</v>
      </c>
      <c r="L13" s="319">
        <v>3.2035237521630644</v>
      </c>
      <c r="N13" s="317">
        <v>0</v>
      </c>
      <c r="O13" s="317">
        <v>0</v>
      </c>
      <c r="P13" s="317">
        <v>0</v>
      </c>
      <c r="Q13" s="317">
        <v>0</v>
      </c>
      <c r="R13" s="317">
        <v>0</v>
      </c>
      <c r="S13" s="317">
        <v>0</v>
      </c>
      <c r="T13" s="317">
        <v>0</v>
      </c>
      <c r="U13" s="317">
        <v>0</v>
      </c>
      <c r="V13" s="317">
        <v>-6638.95068359375</v>
      </c>
      <c r="W13" s="317">
        <v>8592.5244140625</v>
      </c>
    </row>
    <row r="14" spans="1:23" x14ac:dyDescent="0.2">
      <c r="A14" s="483"/>
    </row>
    <row r="15" spans="1:23" x14ac:dyDescent="0.2">
      <c r="A15" s="483"/>
      <c r="B15" s="316" t="s">
        <v>1517</v>
      </c>
      <c r="D15" s="316" t="s">
        <v>1518</v>
      </c>
      <c r="F15" s="316" t="s">
        <v>1519</v>
      </c>
      <c r="H15" s="316" t="s">
        <v>1520</v>
      </c>
    </row>
    <row r="16" spans="1:23" x14ac:dyDescent="0.2">
      <c r="A16" s="483"/>
      <c r="B16" s="109">
        <v>1</v>
      </c>
      <c r="D16" s="317">
        <v>6638.95068359375</v>
      </c>
      <c r="F16" s="317">
        <v>6.7928318535392551E-2</v>
      </c>
      <c r="H16" s="318">
        <v>450.97275677591836</v>
      </c>
    </row>
    <row r="17" spans="1:8" x14ac:dyDescent="0.2">
      <c r="A17" s="483"/>
      <c r="B17" s="109">
        <v>2</v>
      </c>
      <c r="D17" s="317">
        <v>6638.95068359375</v>
      </c>
      <c r="F17" s="317">
        <v>4.5855405591103071E-2</v>
      </c>
      <c r="H17" s="318">
        <v>304.43177629552241</v>
      </c>
    </row>
    <row r="18" spans="1:8" x14ac:dyDescent="0.2">
      <c r="A18" s="483"/>
      <c r="B18" s="109">
        <v>3</v>
      </c>
      <c r="D18" s="317">
        <v>6638.95068359375</v>
      </c>
      <c r="F18" s="317">
        <v>2.828028868027832E-2</v>
      </c>
      <c r="H18" s="318">
        <v>187.75144186616234</v>
      </c>
    </row>
    <row r="19" spans="1:8" x14ac:dyDescent="0.2">
      <c r="A19" s="483"/>
      <c r="B19" s="109">
        <v>4</v>
      </c>
      <c r="D19" s="317">
        <v>6638.95068359375</v>
      </c>
      <c r="F19" s="317">
        <v>1.3479086177400013E-2</v>
      </c>
      <c r="H19" s="318">
        <v>89.486988391668874</v>
      </c>
    </row>
    <row r="20" spans="1:8" x14ac:dyDescent="0.2">
      <c r="A20" s="483"/>
      <c r="B20" s="109">
        <v>5</v>
      </c>
      <c r="D20" s="317">
        <v>6638.95068359375</v>
      </c>
      <c r="F20" s="317">
        <v>1.6653345369377348E-16</v>
      </c>
      <c r="H20" s="318">
        <v>1.1056073862415056E-12</v>
      </c>
    </row>
    <row r="21" spans="1:8" x14ac:dyDescent="0.2">
      <c r="A21" s="483"/>
      <c r="B21" s="109">
        <v>6</v>
      </c>
      <c r="D21" s="317">
        <v>6638.95068359375</v>
      </c>
      <c r="F21" s="317">
        <v>1.3479086177400013E-2</v>
      </c>
      <c r="H21" s="318">
        <v>89.486988391668874</v>
      </c>
    </row>
    <row r="22" spans="1:8" x14ac:dyDescent="0.2">
      <c r="A22" s="483"/>
      <c r="B22" s="109">
        <v>7</v>
      </c>
      <c r="D22" s="317">
        <v>6638.95068359375</v>
      </c>
      <c r="F22" s="317">
        <v>2.8280288680278431E-2</v>
      </c>
      <c r="H22" s="318">
        <v>187.75144186616308</v>
      </c>
    </row>
    <row r="23" spans="1:8" x14ac:dyDescent="0.2">
      <c r="A23" s="483"/>
      <c r="B23" s="109">
        <v>8</v>
      </c>
      <c r="D23" s="317">
        <v>6638.95068359375</v>
      </c>
      <c r="F23" s="317">
        <v>4.5855405591103127E-2</v>
      </c>
      <c r="H23" s="318">
        <v>304.43177629552275</v>
      </c>
    </row>
    <row r="24" spans="1:8" x14ac:dyDescent="0.2">
      <c r="A24" s="483"/>
      <c r="B24" s="109">
        <v>9</v>
      </c>
      <c r="D24" s="317">
        <v>6638.95068359375</v>
      </c>
      <c r="F24" s="317">
        <v>6.7928318535392385E-2</v>
      </c>
      <c r="H24" s="318">
        <v>450.97275677591728</v>
      </c>
    </row>
  </sheetData>
  <mergeCells count="3">
    <mergeCell ref="J1:N1"/>
    <mergeCell ref="A3:A24"/>
    <mergeCell ref="N3:W3"/>
  </mergeCells>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Spinner 1">
              <controlPr defaultSize="0" autoPict="0">
                <anchor moveWithCells="1" sizeWithCells="1">
                  <from>
                    <xdr:col>3</xdr:col>
                    <xdr:colOff>0</xdr:colOff>
                    <xdr:row>0</xdr:row>
                    <xdr:rowOff>0</xdr:rowOff>
                  </from>
                  <to>
                    <xdr:col>4</xdr:col>
                    <xdr:colOff>0</xdr:colOff>
                    <xdr:row>2</xdr:row>
                    <xdr:rowOff>0</xdr:rowOff>
                  </to>
                </anchor>
              </controlPr>
            </control>
          </mc:Choice>
        </mc:AlternateContent>
        <mc:AlternateContent xmlns:mc="http://schemas.openxmlformats.org/markup-compatibility/2006">
          <mc:Choice Requires="x14">
            <control shapeId="10242" r:id="rId5" name="Button 2">
              <controlPr defaultSize="0" print="0" autoFill="0" autoPict="0" macro="[0]!setup_general">
                <anchor moveWithCells="1" sizeWithCells="1">
                  <from>
                    <xdr:col>5</xdr:col>
                    <xdr:colOff>0</xdr:colOff>
                    <xdr:row>0</xdr:row>
                    <xdr:rowOff>0</xdr:rowOff>
                  </from>
                  <to>
                    <xdr:col>6</xdr:col>
                    <xdr:colOff>0</xdr:colOff>
                    <xdr:row>1</xdr:row>
                    <xdr:rowOff>0</xdr:rowOff>
                  </to>
                </anchor>
              </controlPr>
            </control>
          </mc:Choice>
        </mc:AlternateContent>
        <mc:AlternateContent xmlns:mc="http://schemas.openxmlformats.org/markup-compatibility/2006">
          <mc:Choice Requires="x14">
            <control shapeId="10243" r:id="rId6" name="Button 3">
              <controlPr defaultSize="0" print="0" autoFill="0" autoPict="0" macro="[0]!DAFI_clear">
                <anchor moveWithCells="1" sizeWithCells="1">
                  <from>
                    <xdr:col>5</xdr:col>
                    <xdr:colOff>0</xdr:colOff>
                    <xdr:row>1</xdr:row>
                    <xdr:rowOff>0</xdr:rowOff>
                  </from>
                  <to>
                    <xdr:col>6</xdr:col>
                    <xdr:colOff>0</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2:L117"/>
  <sheetViews>
    <sheetView topLeftCell="B86" workbookViewId="0"/>
  </sheetViews>
  <sheetFormatPr defaultRowHeight="15" x14ac:dyDescent="0.2"/>
  <cols>
    <col min="1" max="1" width="3.85546875" style="190" bestFit="1" customWidth="1"/>
    <col min="2" max="2" width="40.7109375" style="190" bestFit="1" customWidth="1"/>
    <col min="3" max="3" width="13.140625" style="190" bestFit="1" customWidth="1"/>
    <col min="4" max="4" width="9.7109375" style="190" bestFit="1" customWidth="1"/>
    <col min="5" max="5" width="9.5703125" style="190" bestFit="1" customWidth="1"/>
    <col min="6" max="6" width="10" style="190" bestFit="1" customWidth="1"/>
    <col min="7" max="7" width="13.5703125" style="190" bestFit="1" customWidth="1"/>
    <col min="8" max="8" width="5" style="190" bestFit="1" customWidth="1"/>
    <col min="9" max="9" width="9.5703125" style="190" bestFit="1" customWidth="1"/>
    <col min="10" max="10" width="10.5703125" style="190" bestFit="1" customWidth="1"/>
    <col min="11" max="16384" width="9.140625" style="190"/>
  </cols>
  <sheetData>
    <row r="2" spans="2:7" ht="18.75" thickBot="1" x14ac:dyDescent="0.25">
      <c r="B2" s="485" t="s">
        <v>1197</v>
      </c>
      <c r="C2" s="485"/>
      <c r="D2" s="485"/>
      <c r="E2" s="485"/>
      <c r="F2" s="485"/>
      <c r="G2" s="485"/>
    </row>
    <row r="3" spans="2:7" x14ac:dyDescent="0.2">
      <c r="B3" s="191" t="s">
        <v>1198</v>
      </c>
      <c r="C3" s="191" t="s">
        <v>1199</v>
      </c>
    </row>
    <row r="4" spans="2:7" x14ac:dyDescent="0.2">
      <c r="B4" s="190" t="s">
        <v>1200</v>
      </c>
      <c r="C4" s="192">
        <v>0.65</v>
      </c>
    </row>
    <row r="5" spans="2:7" x14ac:dyDescent="0.2">
      <c r="B5" s="190" t="s">
        <v>1341</v>
      </c>
      <c r="C5" s="192">
        <v>1</v>
      </c>
    </row>
    <row r="6" spans="2:7" x14ac:dyDescent="0.2">
      <c r="B6" s="190" t="s">
        <v>1201</v>
      </c>
      <c r="C6" s="192">
        <v>1.1499999999999999</v>
      </c>
    </row>
    <row r="8" spans="2:7" ht="18.75" thickBot="1" x14ac:dyDescent="0.25">
      <c r="B8" s="485" t="s">
        <v>1202</v>
      </c>
      <c r="C8" s="485"/>
      <c r="D8" s="485"/>
      <c r="E8" s="485"/>
      <c r="F8" s="485"/>
      <c r="G8" s="485"/>
    </row>
    <row r="9" spans="2:7" x14ac:dyDescent="0.2">
      <c r="B9" s="191" t="s">
        <v>1203</v>
      </c>
      <c r="C9" s="191" t="s">
        <v>1204</v>
      </c>
      <c r="D9" s="191" t="s">
        <v>1205</v>
      </c>
      <c r="E9" s="191" t="s">
        <v>1206</v>
      </c>
      <c r="F9" s="191" t="s">
        <v>1207</v>
      </c>
      <c r="G9" s="191" t="s">
        <v>1208</v>
      </c>
    </row>
    <row r="10" spans="2:7" ht="18" x14ac:dyDescent="0.2">
      <c r="B10" s="190" t="s">
        <v>1209</v>
      </c>
      <c r="C10" s="193" t="s">
        <v>1210</v>
      </c>
      <c r="D10" s="192">
        <v>1</v>
      </c>
      <c r="E10" s="192">
        <v>0.84</v>
      </c>
      <c r="F10" s="192">
        <v>1</v>
      </c>
      <c r="G10" s="190">
        <v>89</v>
      </c>
    </row>
    <row r="11" spans="2:7" ht="18" x14ac:dyDescent="0.2">
      <c r="B11" s="190" t="s">
        <v>1211</v>
      </c>
      <c r="C11" s="193" t="s">
        <v>1212</v>
      </c>
      <c r="D11" s="192">
        <v>1</v>
      </c>
      <c r="E11" s="192">
        <v>0.69</v>
      </c>
      <c r="F11" s="192">
        <v>0.91</v>
      </c>
    </row>
    <row r="12" spans="2:7" ht="18" x14ac:dyDescent="0.2">
      <c r="C12" s="193" t="s">
        <v>1213</v>
      </c>
      <c r="D12" s="192">
        <v>1</v>
      </c>
      <c r="E12" s="192">
        <v>0.67</v>
      </c>
      <c r="F12" s="192">
        <v>0.67</v>
      </c>
    </row>
    <row r="13" spans="2:7" ht="18" x14ac:dyDescent="0.2">
      <c r="C13" s="193" t="s">
        <v>1214</v>
      </c>
      <c r="D13" s="192">
        <v>1</v>
      </c>
      <c r="E13" s="192">
        <v>0.94</v>
      </c>
      <c r="F13" s="192">
        <v>1</v>
      </c>
    </row>
    <row r="14" spans="2:7" ht="18" x14ac:dyDescent="0.2">
      <c r="C14" s="193" t="s">
        <v>1215</v>
      </c>
      <c r="D14" s="192">
        <v>1</v>
      </c>
      <c r="E14" s="192">
        <v>0.7</v>
      </c>
      <c r="F14" s="192">
        <v>0.7</v>
      </c>
    </row>
    <row r="15" spans="2:7" ht="18" x14ac:dyDescent="0.2">
      <c r="C15" s="193" t="s">
        <v>1216</v>
      </c>
      <c r="D15" s="192">
        <v>1</v>
      </c>
      <c r="E15" s="192">
        <v>0.84</v>
      </c>
      <c r="F15" s="192">
        <v>1</v>
      </c>
    </row>
    <row r="16" spans="2:7" ht="18" x14ac:dyDescent="0.2">
      <c r="C16" s="193" t="s">
        <v>1217</v>
      </c>
      <c r="D16" s="192">
        <v>1</v>
      </c>
      <c r="E16" s="192">
        <v>0.96</v>
      </c>
      <c r="F16" s="192">
        <v>1</v>
      </c>
    </row>
    <row r="18" spans="2:7" ht="18.75" thickBot="1" x14ac:dyDescent="0.25">
      <c r="B18" s="485" t="s">
        <v>1218</v>
      </c>
      <c r="C18" s="485"/>
      <c r="D18" s="485"/>
      <c r="E18" s="485"/>
      <c r="F18" s="485"/>
      <c r="G18" s="485"/>
    </row>
    <row r="19" spans="2:7" x14ac:dyDescent="0.2">
      <c r="B19" s="191" t="s">
        <v>1219</v>
      </c>
      <c r="C19" s="191" t="s">
        <v>1220</v>
      </c>
      <c r="D19" s="191" t="s">
        <v>1221</v>
      </c>
      <c r="E19" s="191" t="s">
        <v>1222</v>
      </c>
      <c r="F19" s="191" t="s">
        <v>1223</v>
      </c>
    </row>
    <row r="20" spans="2:7" x14ac:dyDescent="0.2">
      <c r="B20" s="190" t="s">
        <v>1224</v>
      </c>
      <c r="C20" s="192">
        <v>0.75</v>
      </c>
      <c r="D20" s="192">
        <v>0.85</v>
      </c>
      <c r="E20" s="192">
        <v>0.9</v>
      </c>
      <c r="F20" s="192">
        <v>0.95</v>
      </c>
    </row>
    <row r="21" spans="2:7" x14ac:dyDescent="0.2">
      <c r="B21" s="190" t="s">
        <v>1225</v>
      </c>
      <c r="C21" s="192">
        <v>1</v>
      </c>
      <c r="D21" s="192">
        <v>1</v>
      </c>
      <c r="E21" s="192">
        <v>1</v>
      </c>
      <c r="F21" s="192">
        <v>1</v>
      </c>
    </row>
    <row r="22" spans="2:7" x14ac:dyDescent="0.2">
      <c r="B22" s="190" t="s">
        <v>1226</v>
      </c>
      <c r="C22" s="192">
        <v>1</v>
      </c>
      <c r="D22" s="192">
        <v>1</v>
      </c>
      <c r="E22" s="192">
        <v>1</v>
      </c>
      <c r="F22" s="192">
        <v>1</v>
      </c>
    </row>
    <row r="24" spans="2:7" ht="18.75" thickBot="1" x14ac:dyDescent="0.25">
      <c r="B24" s="485" t="s">
        <v>1227</v>
      </c>
      <c r="C24" s="485"/>
      <c r="D24" s="485"/>
      <c r="E24" s="485"/>
      <c r="F24" s="485"/>
      <c r="G24" s="485"/>
    </row>
    <row r="25" spans="2:7" x14ac:dyDescent="0.2">
      <c r="B25" s="191" t="s">
        <v>1228</v>
      </c>
      <c r="C25" s="191" t="s">
        <v>1229</v>
      </c>
      <c r="D25" s="191" t="s">
        <v>1230</v>
      </c>
      <c r="E25" s="191" t="s">
        <v>1231</v>
      </c>
      <c r="F25" s="191" t="s">
        <v>1232</v>
      </c>
    </row>
    <row r="26" spans="2:7" ht="18" x14ac:dyDescent="0.2">
      <c r="B26" s="190" t="s">
        <v>1233</v>
      </c>
      <c r="C26" s="193" t="s">
        <v>1234</v>
      </c>
      <c r="D26" s="192">
        <v>1</v>
      </c>
      <c r="E26" s="192">
        <v>1</v>
      </c>
      <c r="F26" s="192">
        <v>1</v>
      </c>
    </row>
    <row r="27" spans="2:7" ht="18" x14ac:dyDescent="0.2">
      <c r="B27" s="190" t="s">
        <v>1235</v>
      </c>
      <c r="C27" s="193" t="s">
        <v>1236</v>
      </c>
      <c r="D27" s="192">
        <v>1</v>
      </c>
      <c r="E27" s="192">
        <v>1.1000000000000001</v>
      </c>
      <c r="F27" s="192">
        <v>1.4</v>
      </c>
    </row>
    <row r="28" spans="2:7" ht="18" x14ac:dyDescent="0.2">
      <c r="B28" s="190" t="s">
        <v>1237</v>
      </c>
      <c r="C28" s="193" t="s">
        <v>1238</v>
      </c>
      <c r="D28" s="192">
        <v>1</v>
      </c>
      <c r="E28" s="192">
        <v>1.1000000000000001</v>
      </c>
      <c r="F28" s="192">
        <v>1.1000000000000001</v>
      </c>
    </row>
    <row r="29" spans="2:7" ht="18" x14ac:dyDescent="0.2">
      <c r="C29" s="193" t="s">
        <v>1239</v>
      </c>
      <c r="D29" s="192">
        <v>1</v>
      </c>
      <c r="E29" s="192">
        <v>1.1000000000000001</v>
      </c>
      <c r="F29" s="194">
        <v>1</v>
      </c>
    </row>
    <row r="30" spans="2:7" ht="18" x14ac:dyDescent="0.2">
      <c r="C30" s="193" t="s">
        <v>1240</v>
      </c>
      <c r="D30" s="192">
        <v>1</v>
      </c>
      <c r="E30" s="192">
        <v>1.1000000000000001</v>
      </c>
      <c r="F30" s="192">
        <v>1.4</v>
      </c>
    </row>
    <row r="32" spans="2:7" ht="18.75" thickBot="1" x14ac:dyDescent="0.25">
      <c r="B32" s="485" t="s">
        <v>1241</v>
      </c>
      <c r="C32" s="485"/>
      <c r="D32" s="485"/>
      <c r="E32" s="485"/>
      <c r="F32" s="485"/>
      <c r="G32" s="485"/>
    </row>
    <row r="33" spans="2:7" x14ac:dyDescent="0.2">
      <c r="B33" s="191" t="s">
        <v>1242</v>
      </c>
      <c r="C33" s="191" t="s">
        <v>1243</v>
      </c>
      <c r="D33" s="191" t="s">
        <v>1244</v>
      </c>
      <c r="E33" s="191" t="s">
        <v>1245</v>
      </c>
      <c r="F33" s="191" t="s">
        <v>1246</v>
      </c>
      <c r="G33" s="191" t="s">
        <v>1247</v>
      </c>
    </row>
    <row r="34" spans="2:7" x14ac:dyDescent="0.2">
      <c r="B34" s="190">
        <v>0</v>
      </c>
      <c r="C34" s="190">
        <v>0</v>
      </c>
      <c r="D34" s="195">
        <v>1.7</v>
      </c>
      <c r="E34" s="195" t="e">
        <f>NA()</f>
        <v>#N/A</v>
      </c>
      <c r="F34" s="195" t="e">
        <f>NA()</f>
        <v>#N/A</v>
      </c>
      <c r="G34" s="195">
        <v>1.5</v>
      </c>
    </row>
    <row r="35" spans="2:7" x14ac:dyDescent="0.2">
      <c r="B35" s="190">
        <v>65</v>
      </c>
      <c r="C35" s="190">
        <v>39</v>
      </c>
      <c r="D35" s="195">
        <v>1.7</v>
      </c>
      <c r="E35" s="195" t="e">
        <f>NA()</f>
        <v>#N/A</v>
      </c>
      <c r="F35" s="195" t="e">
        <f>NA()</f>
        <v>#N/A</v>
      </c>
      <c r="G35" s="195">
        <v>1.5</v>
      </c>
    </row>
    <row r="36" spans="2:7" x14ac:dyDescent="0.2">
      <c r="B36" s="190">
        <v>103</v>
      </c>
      <c r="C36" s="190">
        <v>65</v>
      </c>
      <c r="D36" s="195">
        <v>1.7</v>
      </c>
      <c r="E36" s="195">
        <v>1.7</v>
      </c>
      <c r="F36" s="195" t="e">
        <f>NA()</f>
        <v>#N/A</v>
      </c>
      <c r="G36" s="195">
        <v>1.5</v>
      </c>
    </row>
    <row r="37" spans="2:7" x14ac:dyDescent="0.2">
      <c r="C37" s="190">
        <v>90</v>
      </c>
      <c r="D37" s="195">
        <v>1.5</v>
      </c>
      <c r="E37" s="195">
        <v>1.6</v>
      </c>
      <c r="F37" s="195">
        <v>1.3</v>
      </c>
      <c r="G37" s="195">
        <v>1.4</v>
      </c>
    </row>
    <row r="38" spans="2:7" x14ac:dyDescent="0.2">
      <c r="C38" s="190">
        <v>115</v>
      </c>
      <c r="D38" s="195">
        <v>1.4</v>
      </c>
      <c r="E38" s="195">
        <v>1.5</v>
      </c>
      <c r="F38" s="195">
        <v>1.3</v>
      </c>
      <c r="G38" s="195">
        <v>1.3</v>
      </c>
    </row>
    <row r="39" spans="2:7" x14ac:dyDescent="0.2">
      <c r="C39" s="190">
        <v>141</v>
      </c>
      <c r="D39" s="195">
        <v>1.2</v>
      </c>
      <c r="E39" s="195">
        <v>1.3</v>
      </c>
      <c r="F39" s="195">
        <v>1.3</v>
      </c>
      <c r="G39" s="195">
        <v>1.2</v>
      </c>
    </row>
    <row r="40" spans="2:7" x14ac:dyDescent="0.2">
      <c r="C40" s="190">
        <v>192</v>
      </c>
      <c r="D40" s="195">
        <v>1.1000000000000001</v>
      </c>
      <c r="E40" s="195">
        <v>1.2</v>
      </c>
      <c r="F40" s="195">
        <v>1.2</v>
      </c>
      <c r="G40" s="195">
        <v>1.1000000000000001</v>
      </c>
    </row>
    <row r="41" spans="2:7" x14ac:dyDescent="0.2">
      <c r="C41" s="190">
        <v>242</v>
      </c>
      <c r="D41" s="195">
        <v>1</v>
      </c>
      <c r="E41" s="195">
        <v>1.1000000000000001</v>
      </c>
      <c r="F41" s="195">
        <v>1.1000000000000001</v>
      </c>
      <c r="G41" s="195">
        <v>1</v>
      </c>
    </row>
    <row r="42" spans="2:7" x14ac:dyDescent="0.2">
      <c r="C42" s="190">
        <v>293</v>
      </c>
      <c r="D42" s="195">
        <v>0.9</v>
      </c>
      <c r="E42" s="195">
        <v>1</v>
      </c>
      <c r="F42" s="195">
        <v>1</v>
      </c>
      <c r="G42" s="195">
        <v>0.9</v>
      </c>
    </row>
    <row r="43" spans="2:7" x14ac:dyDescent="0.2">
      <c r="C43" s="190">
        <v>344</v>
      </c>
      <c r="D43" s="195">
        <v>0.8</v>
      </c>
      <c r="E43" s="195">
        <v>0.9</v>
      </c>
      <c r="F43" s="195">
        <v>0.9</v>
      </c>
      <c r="G43" s="195">
        <v>0.8</v>
      </c>
    </row>
    <row r="45" spans="2:7" ht="18.75" thickBot="1" x14ac:dyDescent="0.25">
      <c r="B45" s="485" t="s">
        <v>1248</v>
      </c>
      <c r="C45" s="485"/>
      <c r="D45" s="485"/>
      <c r="E45" s="485"/>
      <c r="F45" s="485"/>
      <c r="G45" s="485"/>
    </row>
    <row r="46" spans="2:7" x14ac:dyDescent="0.2">
      <c r="B46" s="191" t="s">
        <v>1249</v>
      </c>
      <c r="C46" s="191" t="s">
        <v>1250</v>
      </c>
    </row>
    <row r="47" spans="2:7" x14ac:dyDescent="0.2">
      <c r="B47" s="196">
        <v>1</v>
      </c>
      <c r="C47" s="192">
        <v>1</v>
      </c>
    </row>
    <row r="48" spans="2:7" x14ac:dyDescent="0.2">
      <c r="B48" s="196">
        <v>2</v>
      </c>
      <c r="C48" s="192">
        <v>1.1499999999999999</v>
      </c>
    </row>
    <row r="50" spans="1:7" ht="18.75" thickBot="1" x14ac:dyDescent="0.25">
      <c r="B50" s="485" t="s">
        <v>1251</v>
      </c>
      <c r="C50" s="485"/>
      <c r="D50" s="485"/>
      <c r="E50" s="485"/>
      <c r="F50" s="485"/>
      <c r="G50" s="485"/>
    </row>
    <row r="51" spans="1:7" x14ac:dyDescent="0.2">
      <c r="B51" s="191" t="s">
        <v>1252</v>
      </c>
      <c r="C51" s="191" t="s">
        <v>1253</v>
      </c>
    </row>
    <row r="52" spans="1:7" x14ac:dyDescent="0.2">
      <c r="B52" s="196">
        <v>0</v>
      </c>
      <c r="C52" s="192">
        <v>1.75</v>
      </c>
    </row>
    <row r="53" spans="1:7" x14ac:dyDescent="0.2">
      <c r="B53" s="196">
        <v>12.6</v>
      </c>
      <c r="C53" s="192">
        <v>1.38</v>
      </c>
    </row>
    <row r="54" spans="1:7" x14ac:dyDescent="0.2">
      <c r="B54" s="190">
        <v>25.1</v>
      </c>
      <c r="C54" s="192">
        <v>1.25</v>
      </c>
    </row>
    <row r="55" spans="1:7" x14ac:dyDescent="0.2">
      <c r="B55" s="190">
        <v>38.1</v>
      </c>
      <c r="C55" s="192">
        <v>1.19</v>
      </c>
    </row>
    <row r="56" spans="1:7" x14ac:dyDescent="0.2">
      <c r="B56" s="190">
        <v>50.1</v>
      </c>
      <c r="C56" s="192">
        <v>1.1299999999999999</v>
      </c>
    </row>
    <row r="57" spans="1:7" x14ac:dyDescent="0.2">
      <c r="B57" s="190">
        <v>75.099999999999994</v>
      </c>
      <c r="C57" s="192">
        <v>1.1000000000000001</v>
      </c>
    </row>
    <row r="58" spans="1:7" x14ac:dyDescent="0.2">
      <c r="B58" s="190">
        <v>100.1</v>
      </c>
      <c r="C58" s="192">
        <v>1</v>
      </c>
    </row>
    <row r="60" spans="1:7" ht="18.75" thickBot="1" x14ac:dyDescent="0.25">
      <c r="B60" s="485" t="s">
        <v>1254</v>
      </c>
      <c r="C60" s="485"/>
      <c r="D60" s="485"/>
      <c r="E60" s="485"/>
      <c r="F60" s="485"/>
      <c r="G60" s="485"/>
    </row>
    <row r="61" spans="1:7" x14ac:dyDescent="0.25">
      <c r="A61" s="197"/>
      <c r="B61" s="191" t="s">
        <v>1255</v>
      </c>
      <c r="C61" s="191" t="s">
        <v>1256</v>
      </c>
      <c r="D61" s="198"/>
    </row>
    <row r="62" spans="1:7" x14ac:dyDescent="0.25">
      <c r="A62" s="197"/>
      <c r="B62" s="197" t="s">
        <v>1257</v>
      </c>
      <c r="C62" s="190">
        <v>4</v>
      </c>
      <c r="D62" s="198"/>
    </row>
    <row r="63" spans="1:7" x14ac:dyDescent="0.25">
      <c r="A63" s="197"/>
      <c r="B63" s="197" t="s">
        <v>1258</v>
      </c>
      <c r="C63" s="190">
        <v>5</v>
      </c>
      <c r="D63" s="198"/>
    </row>
    <row r="64" spans="1:7" ht="30" x14ac:dyDescent="0.25">
      <c r="A64" s="197"/>
      <c r="B64" s="197" t="s">
        <v>1259</v>
      </c>
      <c r="C64" s="190">
        <v>6.5</v>
      </c>
      <c r="D64" s="198"/>
    </row>
    <row r="65" spans="1:7" x14ac:dyDescent="0.2">
      <c r="A65" s="197"/>
      <c r="B65" s="197" t="s">
        <v>1260</v>
      </c>
      <c r="C65" s="190">
        <v>7.5</v>
      </c>
    </row>
    <row r="66" spans="1:7" x14ac:dyDescent="0.2">
      <c r="A66" s="197"/>
      <c r="B66" s="197" t="s">
        <v>1261</v>
      </c>
      <c r="C66" s="190">
        <v>9</v>
      </c>
    </row>
    <row r="68" spans="1:7" ht="18.75" thickBot="1" x14ac:dyDescent="0.25">
      <c r="B68" s="485" t="s">
        <v>1262</v>
      </c>
      <c r="C68" s="485"/>
      <c r="D68" s="485"/>
      <c r="E68" s="485"/>
      <c r="F68" s="485"/>
      <c r="G68" s="485"/>
    </row>
    <row r="69" spans="1:7" x14ac:dyDescent="0.2">
      <c r="B69" s="191" t="s">
        <v>1263</v>
      </c>
      <c r="C69" s="191" t="s">
        <v>1264</v>
      </c>
      <c r="D69" s="191" t="s">
        <v>1265</v>
      </c>
    </row>
    <row r="70" spans="1:7" x14ac:dyDescent="0.2">
      <c r="B70" s="190" t="s">
        <v>1266</v>
      </c>
      <c r="C70" s="190">
        <v>1.92</v>
      </c>
      <c r="D70" s="190">
        <v>1.92</v>
      </c>
    </row>
    <row r="71" spans="1:7" x14ac:dyDescent="0.2">
      <c r="B71" s="190" t="s">
        <v>1267</v>
      </c>
      <c r="C71" s="190">
        <v>1.92</v>
      </c>
      <c r="D71" s="190">
        <v>1.92</v>
      </c>
    </row>
    <row r="72" spans="1:7" x14ac:dyDescent="0.2">
      <c r="B72" s="190" t="s">
        <v>1268</v>
      </c>
      <c r="C72" s="190">
        <v>1.1100000000000001</v>
      </c>
      <c r="D72" s="190">
        <v>1.61</v>
      </c>
    </row>
    <row r="73" spans="1:7" x14ac:dyDescent="0.2">
      <c r="B73" s="190" t="s">
        <v>1269</v>
      </c>
      <c r="C73" s="190">
        <v>1.68</v>
      </c>
      <c r="D73" s="199">
        <f t="shared" ref="D73:D78" si="0">D$70</f>
        <v>1.92</v>
      </c>
    </row>
    <row r="74" spans="1:7" x14ac:dyDescent="0.2">
      <c r="B74" s="190" t="s">
        <v>1270</v>
      </c>
      <c r="C74" s="190">
        <v>1.54</v>
      </c>
      <c r="D74" s="199">
        <f t="shared" si="0"/>
        <v>1.92</v>
      </c>
    </row>
    <row r="75" spans="1:7" x14ac:dyDescent="0.2">
      <c r="B75" s="190" t="s">
        <v>1271</v>
      </c>
      <c r="C75" s="190">
        <v>1.68</v>
      </c>
      <c r="D75" s="199">
        <f t="shared" si="0"/>
        <v>1.92</v>
      </c>
    </row>
    <row r="76" spans="1:7" x14ac:dyDescent="0.2">
      <c r="B76" s="190" t="s">
        <v>1272</v>
      </c>
      <c r="C76" s="190">
        <v>1.73</v>
      </c>
      <c r="D76" s="199">
        <f t="shared" si="0"/>
        <v>1.92</v>
      </c>
    </row>
    <row r="77" spans="1:7" x14ac:dyDescent="0.2">
      <c r="B77" s="190" t="s">
        <v>1273</v>
      </c>
      <c r="C77" s="190">
        <v>1.78</v>
      </c>
      <c r="D77" s="199">
        <f t="shared" si="0"/>
        <v>1.92</v>
      </c>
    </row>
    <row r="78" spans="1:7" x14ac:dyDescent="0.2">
      <c r="B78" s="190" t="s">
        <v>1274</v>
      </c>
      <c r="C78" s="190">
        <v>1.84</v>
      </c>
      <c r="D78" s="199">
        <f t="shared" si="0"/>
        <v>1.92</v>
      </c>
    </row>
    <row r="79" spans="1:7" x14ac:dyDescent="0.2">
      <c r="B79" s="190" t="s">
        <v>1275</v>
      </c>
      <c r="C79" s="199" t="e">
        <f>NA()</f>
        <v>#N/A</v>
      </c>
      <c r="D79" s="190">
        <v>1.92</v>
      </c>
    </row>
    <row r="80" spans="1:7" x14ac:dyDescent="0.2">
      <c r="B80" s="190" t="s">
        <v>1276</v>
      </c>
      <c r="C80" s="199" t="e">
        <f>NA()</f>
        <v>#N/A</v>
      </c>
      <c r="D80" s="190">
        <v>1.23</v>
      </c>
    </row>
    <row r="81" spans="2:7" x14ac:dyDescent="0.2">
      <c r="B81" s="190" t="s">
        <v>1277</v>
      </c>
      <c r="C81" s="199" t="e">
        <f>NA()</f>
        <v>#N/A</v>
      </c>
      <c r="D81" s="190">
        <v>1.69</v>
      </c>
    </row>
    <row r="83" spans="2:7" ht="18.75" thickBot="1" x14ac:dyDescent="0.25">
      <c r="B83" s="485" t="s">
        <v>1278</v>
      </c>
      <c r="C83" s="485"/>
      <c r="D83" s="485"/>
      <c r="E83" s="485"/>
      <c r="F83" s="485"/>
      <c r="G83" s="485"/>
    </row>
    <row r="84" spans="2:7" x14ac:dyDescent="0.25">
      <c r="B84" s="191" t="s">
        <v>1279</v>
      </c>
      <c r="C84" s="191" t="s">
        <v>1280</v>
      </c>
      <c r="D84" s="198"/>
      <c r="E84" s="198"/>
      <c r="F84" s="198"/>
      <c r="G84" s="198"/>
    </row>
    <row r="85" spans="2:7" x14ac:dyDescent="0.25">
      <c r="B85" s="190" t="s">
        <v>1281</v>
      </c>
      <c r="C85" s="192">
        <v>0.65</v>
      </c>
      <c r="D85" s="198"/>
      <c r="E85" s="198"/>
      <c r="F85" s="198"/>
    </row>
    <row r="86" spans="2:7" x14ac:dyDescent="0.25">
      <c r="B86" s="190" t="s">
        <v>1282</v>
      </c>
      <c r="C86" s="192">
        <v>0.8</v>
      </c>
      <c r="D86" s="198"/>
      <c r="E86" s="198"/>
      <c r="F86" s="198"/>
    </row>
    <row r="87" spans="2:7" x14ac:dyDescent="0.25">
      <c r="B87" s="190" t="s">
        <v>1283</v>
      </c>
      <c r="C87" s="192">
        <v>0.8</v>
      </c>
      <c r="D87" s="198"/>
      <c r="E87" s="198"/>
      <c r="F87" s="198"/>
    </row>
    <row r="88" spans="2:7" x14ac:dyDescent="0.25">
      <c r="B88" s="190" t="s">
        <v>1284</v>
      </c>
      <c r="C88" s="192">
        <v>1</v>
      </c>
      <c r="D88" s="198"/>
      <c r="E88" s="198"/>
      <c r="F88" s="198"/>
    </row>
    <row r="89" spans="2:7" x14ac:dyDescent="0.25">
      <c r="B89" s="190" t="s">
        <v>1285</v>
      </c>
      <c r="C89" s="192">
        <v>1.2</v>
      </c>
      <c r="D89" s="198"/>
      <c r="E89" s="198"/>
      <c r="F89" s="198"/>
    </row>
    <row r="90" spans="2:7" x14ac:dyDescent="0.25">
      <c r="B90" s="190" t="s">
        <v>1285</v>
      </c>
      <c r="C90" s="192">
        <v>1.2</v>
      </c>
      <c r="D90" s="198"/>
      <c r="E90" s="198"/>
      <c r="F90" s="198"/>
    </row>
    <row r="91" spans="2:7" x14ac:dyDescent="0.25">
      <c r="B91" s="190" t="s">
        <v>1286</v>
      </c>
      <c r="C91" s="192">
        <v>1.5</v>
      </c>
      <c r="D91" s="198"/>
      <c r="E91" s="198"/>
      <c r="F91" s="198"/>
    </row>
    <row r="92" spans="2:7" x14ac:dyDescent="0.25">
      <c r="B92" s="190" t="s">
        <v>1286</v>
      </c>
      <c r="C92" s="192">
        <v>1.5</v>
      </c>
      <c r="D92" s="198"/>
      <c r="E92" s="198"/>
      <c r="F92" s="198"/>
    </row>
    <row r="93" spans="2:7" x14ac:dyDescent="0.25">
      <c r="B93" s="190" t="s">
        <v>1287</v>
      </c>
      <c r="C93" s="192">
        <v>2</v>
      </c>
      <c r="D93" s="198"/>
      <c r="E93" s="198"/>
      <c r="F93" s="198"/>
    </row>
    <row r="94" spans="2:7" x14ac:dyDescent="0.25">
      <c r="B94" s="190" t="s">
        <v>1288</v>
      </c>
      <c r="C94" s="192">
        <v>2</v>
      </c>
      <c r="D94" s="198"/>
      <c r="E94" s="198"/>
      <c r="F94" s="198"/>
    </row>
    <row r="95" spans="2:7" x14ac:dyDescent="0.25">
      <c r="B95" s="190" t="s">
        <v>1289</v>
      </c>
      <c r="C95" s="192">
        <v>2</v>
      </c>
      <c r="D95" s="198"/>
      <c r="E95" s="198"/>
      <c r="F95" s="198"/>
    </row>
    <row r="96" spans="2:7" x14ac:dyDescent="0.25">
      <c r="B96" s="190" t="s">
        <v>1290</v>
      </c>
      <c r="C96" s="192">
        <v>2</v>
      </c>
      <c r="D96" s="198"/>
      <c r="E96" s="198"/>
      <c r="F96" s="198"/>
    </row>
    <row r="97" spans="2:12" x14ac:dyDescent="0.2">
      <c r="C97" s="192"/>
    </row>
    <row r="98" spans="2:12" ht="15.75" thickBot="1" x14ac:dyDescent="0.25">
      <c r="B98" s="485" t="s">
        <v>1291</v>
      </c>
      <c r="C98" s="485"/>
      <c r="D98" s="485"/>
      <c r="E98" s="485"/>
      <c r="F98" s="485"/>
      <c r="G98" s="485"/>
      <c r="H98" s="485"/>
      <c r="I98" s="485"/>
      <c r="J98" s="485"/>
      <c r="K98" s="485"/>
      <c r="L98" s="485"/>
    </row>
    <row r="99" spans="2:12" x14ac:dyDescent="0.2">
      <c r="B99" s="191" t="s">
        <v>1292</v>
      </c>
      <c r="C99" s="191" t="s">
        <v>1293</v>
      </c>
      <c r="D99" s="191" t="s">
        <v>1294</v>
      </c>
      <c r="E99" s="191" t="s">
        <v>1295</v>
      </c>
      <c r="F99" s="191" t="s">
        <v>1296</v>
      </c>
      <c r="G99" s="191" t="s">
        <v>1297</v>
      </c>
      <c r="H99" s="191" t="s">
        <v>1298</v>
      </c>
      <c r="I99" s="191" t="s">
        <v>1299</v>
      </c>
      <c r="J99" s="191" t="s">
        <v>1348</v>
      </c>
      <c r="K99" s="191" t="s">
        <v>1349</v>
      </c>
    </row>
    <row r="100" spans="2:12" x14ac:dyDescent="0.2">
      <c r="B100" s="200">
        <v>2</v>
      </c>
      <c r="C100" s="200">
        <v>38</v>
      </c>
      <c r="D100" s="200">
        <v>5</v>
      </c>
      <c r="E100" s="200">
        <v>114</v>
      </c>
      <c r="F100" s="200">
        <v>2</v>
      </c>
      <c r="G100" s="200">
        <v>38</v>
      </c>
      <c r="H100" s="200">
        <v>5</v>
      </c>
      <c r="I100" s="200">
        <v>114</v>
      </c>
      <c r="J100" s="259">
        <f t="shared" ref="J100:J110" si="1">IFERROR(CHOOSE(_post_type_index,_post_b1,_post_b2),"")</f>
        <v>5</v>
      </c>
      <c r="K100" s="259">
        <f t="shared" ref="K100:K110" si="2">IFERROR(CHOOSE(_post_type_index,_post_d1,_post_d2),"")</f>
        <v>5</v>
      </c>
    </row>
    <row r="101" spans="2:12" x14ac:dyDescent="0.2">
      <c r="B101" s="200">
        <v>2.5</v>
      </c>
      <c r="C101" s="200">
        <v>51</v>
      </c>
      <c r="D101" s="200">
        <v>6</v>
      </c>
      <c r="E101" s="200">
        <v>140</v>
      </c>
      <c r="F101" s="200">
        <v>3</v>
      </c>
      <c r="G101" s="200">
        <v>64</v>
      </c>
      <c r="H101" s="200">
        <v>6</v>
      </c>
      <c r="I101" s="200">
        <v>140</v>
      </c>
      <c r="J101" s="259">
        <f t="shared" si="1"/>
        <v>6</v>
      </c>
      <c r="K101" s="259">
        <f t="shared" si="2"/>
        <v>6</v>
      </c>
    </row>
    <row r="102" spans="2:12" x14ac:dyDescent="0.2">
      <c r="B102" s="200">
        <v>3</v>
      </c>
      <c r="C102" s="200">
        <v>64</v>
      </c>
      <c r="D102" s="200">
        <v>7</v>
      </c>
      <c r="E102" s="200">
        <v>165</v>
      </c>
      <c r="F102" s="200">
        <v>4</v>
      </c>
      <c r="G102" s="200">
        <v>89</v>
      </c>
      <c r="H102" s="200">
        <v>7</v>
      </c>
      <c r="I102" s="200">
        <v>165</v>
      </c>
      <c r="J102" s="259">
        <f t="shared" si="1"/>
        <v>7</v>
      </c>
      <c r="K102" s="259">
        <f t="shared" si="2"/>
        <v>7</v>
      </c>
    </row>
    <row r="103" spans="2:12" x14ac:dyDescent="0.2">
      <c r="B103" s="200">
        <v>3.5</v>
      </c>
      <c r="C103" s="200">
        <v>76</v>
      </c>
      <c r="D103" s="200">
        <v>8</v>
      </c>
      <c r="E103" s="200">
        <v>191</v>
      </c>
      <c r="F103" s="200">
        <v>5</v>
      </c>
      <c r="G103" s="200">
        <v>114</v>
      </c>
      <c r="H103" s="200">
        <v>8</v>
      </c>
      <c r="I103" s="200">
        <v>191</v>
      </c>
      <c r="J103" s="259">
        <f t="shared" si="1"/>
        <v>8</v>
      </c>
      <c r="K103" s="259">
        <f t="shared" si="2"/>
        <v>8</v>
      </c>
    </row>
    <row r="104" spans="2:12" x14ac:dyDescent="0.2">
      <c r="B104" s="200">
        <v>4</v>
      </c>
      <c r="C104" s="200">
        <v>89</v>
      </c>
      <c r="D104" s="200">
        <v>9</v>
      </c>
      <c r="E104" s="200">
        <v>216</v>
      </c>
      <c r="F104" s="200">
        <v>6</v>
      </c>
      <c r="G104" s="200">
        <v>140</v>
      </c>
      <c r="H104" s="200">
        <v>9</v>
      </c>
      <c r="I104" s="200">
        <v>216</v>
      </c>
      <c r="J104" s="259">
        <f t="shared" si="1"/>
        <v>9</v>
      </c>
      <c r="K104" s="259">
        <f t="shared" si="2"/>
        <v>9</v>
      </c>
    </row>
    <row r="105" spans="2:12" x14ac:dyDescent="0.2">
      <c r="B105" s="200">
        <v>4.5</v>
      </c>
      <c r="C105" s="200">
        <v>102</v>
      </c>
      <c r="D105" s="200">
        <v>10</v>
      </c>
      <c r="E105" s="200">
        <v>241</v>
      </c>
      <c r="F105" s="200">
        <v>8</v>
      </c>
      <c r="G105" s="200">
        <v>184</v>
      </c>
      <c r="H105" s="200">
        <v>10</v>
      </c>
      <c r="I105" s="200">
        <v>241</v>
      </c>
      <c r="J105" s="259">
        <f t="shared" si="1"/>
        <v>10</v>
      </c>
      <c r="K105" s="259">
        <f t="shared" si="2"/>
        <v>10</v>
      </c>
    </row>
    <row r="106" spans="2:12" x14ac:dyDescent="0.2">
      <c r="B106" s="201"/>
      <c r="C106" s="200"/>
      <c r="D106" s="200">
        <v>12</v>
      </c>
      <c r="E106" s="200">
        <v>292</v>
      </c>
      <c r="F106" s="200">
        <v>10</v>
      </c>
      <c r="G106" s="200">
        <v>235</v>
      </c>
      <c r="H106" s="200">
        <v>12</v>
      </c>
      <c r="I106" s="200">
        <v>292</v>
      </c>
      <c r="J106" s="259">
        <f t="shared" si="1"/>
        <v>12</v>
      </c>
      <c r="K106" s="259">
        <f t="shared" si="2"/>
        <v>12</v>
      </c>
    </row>
    <row r="107" spans="2:12" x14ac:dyDescent="0.2">
      <c r="B107" s="201"/>
      <c r="C107" s="200"/>
      <c r="D107" s="200">
        <v>14</v>
      </c>
      <c r="E107" s="200">
        <v>343</v>
      </c>
      <c r="F107" s="200">
        <v>12</v>
      </c>
      <c r="G107" s="200">
        <v>286</v>
      </c>
      <c r="H107" s="200">
        <v>14</v>
      </c>
      <c r="I107" s="200">
        <v>343</v>
      </c>
      <c r="J107" s="259">
        <f t="shared" si="1"/>
        <v>14</v>
      </c>
      <c r="K107" s="259">
        <f t="shared" si="2"/>
        <v>14</v>
      </c>
    </row>
    <row r="108" spans="2:12" x14ac:dyDescent="0.2">
      <c r="B108" s="201"/>
      <c r="C108" s="200"/>
      <c r="D108" s="200">
        <v>16</v>
      </c>
      <c r="E108" s="200">
        <v>394</v>
      </c>
      <c r="F108" s="200">
        <v>14</v>
      </c>
      <c r="G108" s="200">
        <v>337</v>
      </c>
      <c r="H108" s="200">
        <v>16</v>
      </c>
      <c r="I108" s="200">
        <v>394</v>
      </c>
      <c r="J108" s="259">
        <f t="shared" si="1"/>
        <v>16</v>
      </c>
      <c r="K108" s="259">
        <f t="shared" si="2"/>
        <v>16</v>
      </c>
    </row>
    <row r="109" spans="2:12" x14ac:dyDescent="0.2">
      <c r="B109" s="201"/>
      <c r="C109" s="200"/>
      <c r="D109" s="200">
        <v>18</v>
      </c>
      <c r="E109" s="200">
        <v>445</v>
      </c>
      <c r="F109" s="200">
        <v>16</v>
      </c>
      <c r="G109" s="200">
        <v>387</v>
      </c>
      <c r="H109" s="200">
        <v>18</v>
      </c>
      <c r="I109" s="200">
        <v>445</v>
      </c>
      <c r="J109" s="259">
        <f t="shared" si="1"/>
        <v>18</v>
      </c>
      <c r="K109" s="259">
        <f t="shared" si="2"/>
        <v>18</v>
      </c>
    </row>
    <row r="110" spans="2:12" x14ac:dyDescent="0.2">
      <c r="B110" s="201"/>
      <c r="C110" s="200"/>
      <c r="D110" s="200">
        <v>20</v>
      </c>
      <c r="E110" s="200">
        <v>495</v>
      </c>
      <c r="F110" s="200"/>
      <c r="G110" s="200"/>
      <c r="H110" s="200">
        <v>20</v>
      </c>
      <c r="I110" s="200">
        <v>495</v>
      </c>
      <c r="J110" s="259">
        <f t="shared" si="1"/>
        <v>20</v>
      </c>
      <c r="K110" s="259">
        <f t="shared" si="2"/>
        <v>20</v>
      </c>
    </row>
    <row r="111" spans="2:12" x14ac:dyDescent="0.2">
      <c r="B111" s="201"/>
      <c r="C111" s="200"/>
      <c r="D111" s="200"/>
      <c r="E111" s="200"/>
      <c r="F111" s="200"/>
      <c r="G111" s="200"/>
      <c r="H111" s="200"/>
      <c r="I111" s="200"/>
      <c r="J111" s="260"/>
      <c r="K111" s="261"/>
    </row>
    <row r="112" spans="2:12" x14ac:dyDescent="0.2">
      <c r="B112" s="201"/>
      <c r="C112" s="200"/>
      <c r="D112" s="200"/>
      <c r="E112" s="200"/>
      <c r="F112" s="200"/>
      <c r="G112" s="200"/>
      <c r="H112" s="200"/>
      <c r="I112" s="200"/>
      <c r="J112"/>
    </row>
    <row r="113" spans="2:10" x14ac:dyDescent="0.2">
      <c r="B113" s="201"/>
      <c r="C113" s="200"/>
      <c r="D113" s="200"/>
      <c r="E113" s="200"/>
      <c r="F113" s="200"/>
      <c r="G113" s="200"/>
      <c r="H113" s="200"/>
      <c r="I113" s="200"/>
      <c r="J113"/>
    </row>
    <row r="114" spans="2:10" x14ac:dyDescent="0.2">
      <c r="B114" s="201"/>
      <c r="C114" s="202"/>
      <c r="J114"/>
    </row>
    <row r="115" spans="2:10" x14ac:dyDescent="0.2">
      <c r="B115" s="201"/>
      <c r="C115" s="202"/>
      <c r="J115"/>
    </row>
    <row r="116" spans="2:10" x14ac:dyDescent="0.2">
      <c r="B116" s="201"/>
      <c r="C116" s="202"/>
      <c r="J116"/>
    </row>
    <row r="117" spans="2:10" x14ac:dyDescent="0.2">
      <c r="B117" s="201"/>
      <c r="C117" s="202"/>
    </row>
  </sheetData>
  <mergeCells count="11">
    <mergeCell ref="B45:G45"/>
    <mergeCell ref="B2:G2"/>
    <mergeCell ref="B8:G8"/>
    <mergeCell ref="B18:G18"/>
    <mergeCell ref="B24:G24"/>
    <mergeCell ref="B32:G32"/>
    <mergeCell ref="B50:G50"/>
    <mergeCell ref="B60:G60"/>
    <mergeCell ref="B68:G68"/>
    <mergeCell ref="B83:G83"/>
    <mergeCell ref="B98:L98"/>
  </mergeCells>
  <pageMargins left="0.7" right="0.7" top="0.75" bottom="0.75" header="0.3" footer="0.3"/>
  <pageSetup orientation="portrait" horizontalDpi="4294967293" verticalDpi="4294967293"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FF00"/>
  </sheetPr>
  <dimension ref="A1:AH58"/>
  <sheetViews>
    <sheetView workbookViewId="0"/>
  </sheetViews>
  <sheetFormatPr defaultRowHeight="12.75" x14ac:dyDescent="0.2"/>
  <cols>
    <col min="1" max="1" width="2.42578125" style="244" customWidth="1"/>
    <col min="2" max="2" width="10.85546875" style="224" customWidth="1"/>
    <col min="3" max="3" width="3.140625" style="225" bestFit="1" customWidth="1"/>
    <col min="4" max="4" width="8" style="215" bestFit="1" customWidth="1"/>
    <col min="5" max="5" width="3" style="215" bestFit="1" customWidth="1"/>
    <col min="6" max="6" width="9.28515625" style="245" bestFit="1" customWidth="1"/>
    <col min="7" max="7" width="3.42578125" style="215" customWidth="1"/>
    <col min="8" max="8" width="5.28515625" style="246" bestFit="1" customWidth="1"/>
    <col min="9" max="15" width="12" style="245" customWidth="1"/>
    <col min="16" max="16" width="8.42578125" style="245" customWidth="1"/>
    <col min="18" max="18" width="3.42578125" style="210" bestFit="1" customWidth="1"/>
    <col min="19" max="19" width="20.28515625" style="210" bestFit="1" customWidth="1"/>
    <col min="20" max="20" width="8.140625" style="211" bestFit="1" customWidth="1"/>
    <col min="21" max="21" width="9.28515625" style="211" bestFit="1" customWidth="1"/>
    <col min="22" max="22" width="8.140625" style="211" customWidth="1"/>
    <col min="23" max="23" width="9.28515625" style="211" bestFit="1" customWidth="1"/>
    <col min="24" max="34" width="9.140625" style="213"/>
    <col min="35" max="16384" width="9.140625" style="224"/>
  </cols>
  <sheetData>
    <row r="1" spans="1:34" s="204" customFormat="1" x14ac:dyDescent="0.2">
      <c r="A1" s="203"/>
      <c r="C1" s="205"/>
      <c r="D1" s="206"/>
      <c r="E1" s="206"/>
      <c r="F1" s="207"/>
      <c r="G1" s="206"/>
      <c r="H1" s="208"/>
      <c r="I1" s="209"/>
      <c r="J1" s="207"/>
      <c r="K1" s="207"/>
      <c r="L1" s="207"/>
      <c r="M1" s="207"/>
      <c r="N1" s="207"/>
      <c r="O1" s="207"/>
      <c r="P1" s="207"/>
      <c r="Q1"/>
      <c r="R1" s="210"/>
      <c r="S1" s="210"/>
      <c r="T1" s="211"/>
      <c r="U1" s="211"/>
      <c r="V1" s="211"/>
      <c r="W1" s="211"/>
      <c r="X1" s="213"/>
      <c r="Y1" s="213"/>
      <c r="Z1" s="213"/>
      <c r="AA1" s="213"/>
      <c r="AB1" s="213"/>
      <c r="AC1" s="213"/>
      <c r="AD1" s="213"/>
      <c r="AE1" s="213"/>
      <c r="AF1" s="213"/>
      <c r="AG1" s="213"/>
      <c r="AH1" s="213"/>
    </row>
    <row r="2" spans="1:34" s="204" customFormat="1" x14ac:dyDescent="0.2">
      <c r="A2" s="203"/>
      <c r="B2" s="495" t="s">
        <v>1302</v>
      </c>
      <c r="C2" s="495"/>
      <c r="D2" s="495"/>
      <c r="E2" s="495"/>
      <c r="F2" s="495"/>
      <c r="G2" s="495"/>
      <c r="H2" s="495"/>
      <c r="I2" s="495"/>
      <c r="J2" s="495"/>
      <c r="K2" s="495"/>
      <c r="L2" s="495"/>
      <c r="M2" s="495"/>
      <c r="N2" s="495"/>
      <c r="O2" s="495"/>
      <c r="P2" s="495" t="s">
        <v>1303</v>
      </c>
      <c r="Q2"/>
      <c r="R2" s="210"/>
      <c r="S2" s="210"/>
      <c r="T2" s="211"/>
      <c r="U2" s="211"/>
      <c r="V2" s="211"/>
      <c r="W2" s="211"/>
      <c r="X2" s="213"/>
      <c r="Y2" s="213"/>
      <c r="Z2" s="213"/>
      <c r="AA2" s="213"/>
      <c r="AB2" s="213"/>
      <c r="AC2" s="213"/>
      <c r="AD2" s="213"/>
      <c r="AE2" s="213"/>
      <c r="AF2" s="213"/>
      <c r="AG2" s="213"/>
      <c r="AH2" s="213"/>
    </row>
    <row r="3" spans="1:34" s="204" customFormat="1" x14ac:dyDescent="0.2">
      <c r="A3" s="203"/>
      <c r="B3" s="497" t="s">
        <v>1343</v>
      </c>
      <c r="C3" s="494"/>
      <c r="D3" s="495" t="s">
        <v>1304</v>
      </c>
      <c r="E3" s="495"/>
      <c r="F3" s="495" t="s">
        <v>1305</v>
      </c>
      <c r="G3" s="495"/>
      <c r="H3" s="498" t="s">
        <v>1306</v>
      </c>
      <c r="I3" s="495" t="s">
        <v>1300</v>
      </c>
      <c r="J3" s="494" t="s">
        <v>1307</v>
      </c>
      <c r="K3" s="495" t="s">
        <v>1301</v>
      </c>
      <c r="L3" s="494" t="s">
        <v>1308</v>
      </c>
      <c r="M3" s="494" t="s">
        <v>1309</v>
      </c>
      <c r="N3" s="495" t="s">
        <v>1310</v>
      </c>
      <c r="O3" s="495"/>
      <c r="P3" s="495"/>
      <c r="Q3"/>
      <c r="R3" s="214"/>
      <c r="S3" s="253" t="s">
        <v>135</v>
      </c>
      <c r="T3" s="252" t="s">
        <v>81</v>
      </c>
      <c r="U3" s="252" t="s">
        <v>1337</v>
      </c>
      <c r="V3" s="252" t="s">
        <v>1338</v>
      </c>
      <c r="W3" s="252" t="s">
        <v>982</v>
      </c>
      <c r="X3" s="213"/>
      <c r="Y3" s="213"/>
      <c r="Z3" s="213"/>
      <c r="AA3" s="213"/>
      <c r="AB3" s="213"/>
      <c r="AC3" s="213"/>
      <c r="AD3" s="213"/>
      <c r="AE3" s="213"/>
      <c r="AF3" s="213"/>
      <c r="AG3" s="213"/>
      <c r="AH3" s="213"/>
    </row>
    <row r="4" spans="1:34" s="204" customFormat="1" ht="17.25" x14ac:dyDescent="0.2">
      <c r="A4" s="203"/>
      <c r="B4" s="494"/>
      <c r="C4" s="494"/>
      <c r="D4" s="495"/>
      <c r="E4" s="495"/>
      <c r="F4" s="495"/>
      <c r="G4" s="495"/>
      <c r="H4" s="498"/>
      <c r="I4" s="495"/>
      <c r="J4" s="494"/>
      <c r="K4" s="495"/>
      <c r="L4" s="494"/>
      <c r="M4" s="494"/>
      <c r="N4" s="495"/>
      <c r="O4" s="495"/>
      <c r="P4" s="216" t="s">
        <v>1311</v>
      </c>
      <c r="Q4"/>
      <c r="R4" s="496" t="s">
        <v>1312</v>
      </c>
      <c r="S4" s="496"/>
      <c r="T4" s="496"/>
      <c r="U4" s="496"/>
      <c r="V4" s="496"/>
      <c r="W4" s="496"/>
      <c r="X4" s="213"/>
      <c r="Y4" s="213"/>
      <c r="Z4" s="213"/>
      <c r="AA4" s="213"/>
      <c r="AB4" s="213"/>
      <c r="AC4" s="213"/>
      <c r="AD4" s="213"/>
      <c r="AE4" s="213"/>
      <c r="AF4" s="213"/>
      <c r="AG4" s="213"/>
      <c r="AH4" s="213"/>
    </row>
    <row r="5" spans="1:34" s="204" customFormat="1" ht="15.75" x14ac:dyDescent="0.3">
      <c r="A5" s="198"/>
      <c r="B5" s="329" t="s">
        <v>223</v>
      </c>
      <c r="C5" s="494"/>
      <c r="D5" s="495"/>
      <c r="E5" s="495"/>
      <c r="F5" s="495"/>
      <c r="G5" s="495"/>
      <c r="H5" s="498"/>
      <c r="I5" s="217" t="s">
        <v>1313</v>
      </c>
      <c r="J5" s="217" t="s">
        <v>1314</v>
      </c>
      <c r="K5" s="217" t="s">
        <v>1315</v>
      </c>
      <c r="L5" s="217" t="s">
        <v>1316</v>
      </c>
      <c r="M5" s="217" t="s">
        <v>1317</v>
      </c>
      <c r="N5" s="217" t="s">
        <v>21</v>
      </c>
      <c r="O5" s="217" t="s">
        <v>1318</v>
      </c>
      <c r="P5" s="217" t="s">
        <v>1319</v>
      </c>
      <c r="Q5"/>
      <c r="R5" s="255" t="s">
        <v>235</v>
      </c>
      <c r="S5" s="251" t="s">
        <v>1343</v>
      </c>
      <c r="T5" s="217" t="s">
        <v>1304</v>
      </c>
      <c r="U5" s="254" t="s">
        <v>1335</v>
      </c>
      <c r="V5" s="254" t="s">
        <v>1336</v>
      </c>
      <c r="W5" s="254" t="s">
        <v>1305</v>
      </c>
      <c r="Y5" s="213"/>
      <c r="Z5" s="213"/>
      <c r="AA5" s="213"/>
      <c r="AB5" s="213"/>
      <c r="AC5" s="213"/>
      <c r="AD5" s="213"/>
      <c r="AE5" s="213"/>
      <c r="AF5" s="213"/>
      <c r="AG5" s="213"/>
      <c r="AH5" s="213"/>
    </row>
    <row r="6" spans="1:34" x14ac:dyDescent="0.2">
      <c r="A6" s="486" t="s">
        <v>1332</v>
      </c>
      <c r="B6" s="492" t="s">
        <v>1339</v>
      </c>
      <c r="C6" s="218" t="s">
        <v>1321</v>
      </c>
      <c r="D6" s="493" t="s">
        <v>1320</v>
      </c>
      <c r="E6" s="218" t="s">
        <v>1321</v>
      </c>
      <c r="F6" s="219" t="s">
        <v>1322</v>
      </c>
      <c r="G6" s="247" t="s">
        <v>1321</v>
      </c>
      <c r="H6" s="240" t="str">
        <f>C6&amp;E6&amp;G6</f>
        <v>111</v>
      </c>
      <c r="I6" s="220">
        <v>16.5</v>
      </c>
      <c r="J6" s="220">
        <v>10.6</v>
      </c>
      <c r="K6" s="220">
        <v>1.9</v>
      </c>
      <c r="L6" s="220">
        <v>7</v>
      </c>
      <c r="M6" s="220">
        <v>19</v>
      </c>
      <c r="N6" s="221">
        <v>12500</v>
      </c>
      <c r="O6" s="221">
        <v>8500</v>
      </c>
      <c r="P6" s="222">
        <v>4.8</v>
      </c>
      <c r="R6" s="250" t="s">
        <v>1321</v>
      </c>
      <c r="S6" s="250" t="s">
        <v>1339</v>
      </c>
      <c r="T6" s="223" t="s">
        <v>1320</v>
      </c>
      <c r="U6" s="224" t="s">
        <v>1322</v>
      </c>
      <c r="V6" s="224" t="s">
        <v>1322</v>
      </c>
      <c r="W6" s="256" t="str">
        <f>CHOOSE(_post_type_index,U6,V6)</f>
        <v>SS</v>
      </c>
    </row>
    <row r="7" spans="1:34" x14ac:dyDescent="0.2">
      <c r="A7" s="487"/>
      <c r="B7" s="490"/>
      <c r="C7" s="226" t="s">
        <v>1321</v>
      </c>
      <c r="D7" s="493"/>
      <c r="E7" s="226" t="s">
        <v>1321</v>
      </c>
      <c r="F7" s="227" t="s">
        <v>1323</v>
      </c>
      <c r="G7" s="248" t="s">
        <v>1328</v>
      </c>
      <c r="H7" s="241" t="str">
        <f t="shared" ref="H7:H29" si="0">C7&amp;E7&amp;G7</f>
        <v>112</v>
      </c>
      <c r="I7" s="228">
        <v>10</v>
      </c>
      <c r="J7" s="228">
        <v>5.8</v>
      </c>
      <c r="K7" s="228">
        <v>1.9</v>
      </c>
      <c r="L7" s="228">
        <v>7</v>
      </c>
      <c r="M7" s="228">
        <v>14</v>
      </c>
      <c r="N7" s="229">
        <v>11000</v>
      </c>
      <c r="O7" s="229">
        <v>7000</v>
      </c>
      <c r="P7" s="230">
        <v>4.8</v>
      </c>
      <c r="R7" s="250" t="s">
        <v>1328</v>
      </c>
      <c r="S7" s="250" t="s">
        <v>1340</v>
      </c>
      <c r="T7" s="223" t="s">
        <v>1324</v>
      </c>
      <c r="U7" s="227" t="s">
        <v>1323</v>
      </c>
      <c r="V7" s="224" t="s">
        <v>1325</v>
      </c>
      <c r="W7" s="256" t="str">
        <f>CHOOSE(_post_type_index,U7,V7)</f>
        <v>No.1</v>
      </c>
    </row>
    <row r="8" spans="1:34" x14ac:dyDescent="0.2">
      <c r="A8" s="487"/>
      <c r="B8" s="490"/>
      <c r="C8" s="232" t="s">
        <v>1321</v>
      </c>
      <c r="D8" s="493"/>
      <c r="E8" s="232" t="s">
        <v>1321</v>
      </c>
      <c r="F8" s="233" t="s">
        <v>1326</v>
      </c>
      <c r="G8" s="249" t="s">
        <v>1331</v>
      </c>
      <c r="H8" s="242" t="str">
        <f t="shared" si="0"/>
        <v>113</v>
      </c>
      <c r="I8" s="234">
        <v>4.5999999999999996</v>
      </c>
      <c r="J8" s="234">
        <v>2.1</v>
      </c>
      <c r="K8" s="234">
        <v>1.9</v>
      </c>
      <c r="L8" s="234">
        <v>7</v>
      </c>
      <c r="M8" s="234">
        <v>4.5999999999999996</v>
      </c>
      <c r="N8" s="235">
        <v>10000</v>
      </c>
      <c r="O8" s="235">
        <v>5500</v>
      </c>
      <c r="P8" s="236">
        <v>4.8</v>
      </c>
      <c r="R8" s="250" t="s">
        <v>1331</v>
      </c>
      <c r="S8" s="237"/>
      <c r="T8" s="223" t="s">
        <v>1327</v>
      </c>
      <c r="U8" s="227" t="s">
        <v>1326</v>
      </c>
      <c r="V8" s="224" t="s">
        <v>1330</v>
      </c>
      <c r="W8" s="256" t="str">
        <f>CHOOSE(_post_type_index,U8,V8)</f>
        <v>No.2</v>
      </c>
    </row>
    <row r="9" spans="1:34" x14ac:dyDescent="0.2">
      <c r="A9" s="487"/>
      <c r="B9" s="490"/>
      <c r="C9" s="218" t="s">
        <v>1321</v>
      </c>
      <c r="D9" s="493" t="s">
        <v>1324</v>
      </c>
      <c r="E9" s="247" t="s">
        <v>1328</v>
      </c>
      <c r="F9" s="219" t="s">
        <v>1322</v>
      </c>
      <c r="G9" s="247" t="s">
        <v>1321</v>
      </c>
      <c r="H9" s="240" t="str">
        <f t="shared" si="0"/>
        <v>121</v>
      </c>
      <c r="I9" s="220">
        <v>16</v>
      </c>
      <c r="J9" s="220">
        <v>9.6999999999999993</v>
      </c>
      <c r="K9" s="220">
        <v>1.6</v>
      </c>
      <c r="L9" s="220">
        <v>4.5999999999999996</v>
      </c>
      <c r="M9" s="220">
        <v>17.600000000000001</v>
      </c>
      <c r="N9" s="221">
        <v>12000</v>
      </c>
      <c r="O9" s="221">
        <v>8500</v>
      </c>
      <c r="P9" s="222">
        <v>4.5</v>
      </c>
      <c r="R9" s="250" t="s">
        <v>1334</v>
      </c>
      <c r="S9" s="250"/>
      <c r="T9" s="223" t="s">
        <v>1329</v>
      </c>
      <c r="U9" s="231"/>
      <c r="V9" s="231"/>
      <c r="W9" s="231"/>
    </row>
    <row r="10" spans="1:34" ht="13.5" thickBot="1" x14ac:dyDescent="0.25">
      <c r="A10" s="487"/>
      <c r="B10" s="335" t="s">
        <v>223</v>
      </c>
      <c r="C10" s="226" t="s">
        <v>1321</v>
      </c>
      <c r="D10" s="493"/>
      <c r="E10" s="248" t="s">
        <v>1328</v>
      </c>
      <c r="F10" s="227" t="s">
        <v>1323</v>
      </c>
      <c r="G10" s="248" t="s">
        <v>1328</v>
      </c>
      <c r="H10" s="241" t="str">
        <f t="shared" si="0"/>
        <v>122</v>
      </c>
      <c r="I10" s="228">
        <v>11</v>
      </c>
      <c r="J10" s="228">
        <v>6.2</v>
      </c>
      <c r="K10" s="228">
        <v>1.6</v>
      </c>
      <c r="L10" s="228">
        <v>4.5999999999999996</v>
      </c>
      <c r="M10" s="228">
        <v>14.8</v>
      </c>
      <c r="N10" s="229">
        <v>11000</v>
      </c>
      <c r="O10" s="229">
        <v>7500</v>
      </c>
      <c r="P10" s="230">
        <v>4.5</v>
      </c>
      <c r="R10" s="250"/>
      <c r="S10" s="250"/>
      <c r="T10" s="237"/>
      <c r="V10" s="213"/>
    </row>
    <row r="11" spans="1:34" x14ac:dyDescent="0.2">
      <c r="A11" s="487"/>
      <c r="B11" s="490"/>
      <c r="C11" s="232" t="s">
        <v>1321</v>
      </c>
      <c r="D11" s="493"/>
      <c r="E11" s="249" t="s">
        <v>1328</v>
      </c>
      <c r="F11" s="233" t="s">
        <v>1326</v>
      </c>
      <c r="G11" s="249" t="s">
        <v>1331</v>
      </c>
      <c r="H11" s="242" t="str">
        <f t="shared" si="0"/>
        <v>123</v>
      </c>
      <c r="I11" s="234">
        <v>7</v>
      </c>
      <c r="J11" s="234">
        <v>3.2</v>
      </c>
      <c r="K11" s="234">
        <v>1.6</v>
      </c>
      <c r="L11" s="234">
        <v>4.5999999999999996</v>
      </c>
      <c r="M11" s="234">
        <v>7</v>
      </c>
      <c r="N11" s="235">
        <v>10000</v>
      </c>
      <c r="O11" s="235">
        <v>6000</v>
      </c>
      <c r="P11" s="236">
        <v>4.5</v>
      </c>
      <c r="R11" s="238"/>
      <c r="S11" s="238"/>
      <c r="T11" s="239"/>
      <c r="V11" s="213"/>
    </row>
    <row r="12" spans="1:34" x14ac:dyDescent="0.2">
      <c r="A12" s="487"/>
      <c r="B12" s="490"/>
      <c r="C12" s="218" t="s">
        <v>1321</v>
      </c>
      <c r="D12" s="493" t="s">
        <v>1327</v>
      </c>
      <c r="E12" s="247" t="s">
        <v>1331</v>
      </c>
      <c r="F12" s="219" t="s">
        <v>1322</v>
      </c>
      <c r="G12" s="247" t="s">
        <v>1321</v>
      </c>
      <c r="H12" s="240" t="str">
        <f t="shared" si="0"/>
        <v>131</v>
      </c>
      <c r="I12" s="220">
        <v>16.5</v>
      </c>
      <c r="J12" s="220">
        <v>8.6</v>
      </c>
      <c r="K12" s="220">
        <v>1.5</v>
      </c>
      <c r="L12" s="220">
        <v>5.3</v>
      </c>
      <c r="M12" s="220">
        <v>14.5</v>
      </c>
      <c r="N12" s="221">
        <v>10500</v>
      </c>
      <c r="O12" s="221">
        <v>7500</v>
      </c>
      <c r="P12" s="222">
        <v>4.0999999999999996</v>
      </c>
      <c r="R12" s="238"/>
      <c r="S12" s="238"/>
      <c r="T12" s="239"/>
      <c r="U12" s="239"/>
      <c r="V12" s="239"/>
    </row>
    <row r="13" spans="1:34" x14ac:dyDescent="0.2">
      <c r="A13" s="487"/>
      <c r="B13" s="490"/>
      <c r="C13" s="226" t="s">
        <v>1321</v>
      </c>
      <c r="D13" s="493"/>
      <c r="E13" s="248" t="s">
        <v>1331</v>
      </c>
      <c r="F13" s="227" t="s">
        <v>1323</v>
      </c>
      <c r="G13" s="248" t="s">
        <v>1328</v>
      </c>
      <c r="H13" s="241" t="str">
        <f t="shared" si="0"/>
        <v>132</v>
      </c>
      <c r="I13" s="228">
        <v>11.8</v>
      </c>
      <c r="J13" s="228">
        <v>5.5</v>
      </c>
      <c r="K13" s="228">
        <v>1.5</v>
      </c>
      <c r="L13" s="228">
        <v>5.3</v>
      </c>
      <c r="M13" s="228">
        <v>11.5</v>
      </c>
      <c r="N13" s="229">
        <v>9500</v>
      </c>
      <c r="O13" s="229">
        <v>6500</v>
      </c>
      <c r="P13" s="230">
        <v>4.0999999999999996</v>
      </c>
      <c r="R13" s="238"/>
      <c r="S13" s="238"/>
      <c r="T13" s="239"/>
      <c r="U13" s="239"/>
      <c r="V13" s="239"/>
    </row>
    <row r="14" spans="1:34" x14ac:dyDescent="0.2">
      <c r="A14" s="487"/>
      <c r="B14" s="490"/>
      <c r="C14" s="232" t="s">
        <v>1321</v>
      </c>
      <c r="D14" s="493"/>
      <c r="E14" s="249" t="s">
        <v>1331</v>
      </c>
      <c r="F14" s="233" t="s">
        <v>1326</v>
      </c>
      <c r="G14" s="249" t="s">
        <v>1331</v>
      </c>
      <c r="H14" s="242" t="str">
        <f t="shared" si="0"/>
        <v>133</v>
      </c>
      <c r="I14" s="234">
        <v>7</v>
      </c>
      <c r="J14" s="234">
        <v>3.2</v>
      </c>
      <c r="K14" s="234">
        <v>1.5</v>
      </c>
      <c r="L14" s="234">
        <v>5.3</v>
      </c>
      <c r="M14" s="234">
        <v>7</v>
      </c>
      <c r="N14" s="235">
        <v>9000</v>
      </c>
      <c r="O14" s="235">
        <v>5500</v>
      </c>
      <c r="P14" s="236">
        <v>4.0999999999999996</v>
      </c>
      <c r="R14" s="238"/>
      <c r="S14" s="238"/>
      <c r="T14" s="239"/>
      <c r="U14" s="239"/>
      <c r="V14" s="239"/>
    </row>
    <row r="15" spans="1:34" x14ac:dyDescent="0.2">
      <c r="A15" s="487"/>
      <c r="B15" s="490"/>
      <c r="C15" s="218" t="s">
        <v>1321</v>
      </c>
      <c r="D15" s="493" t="s">
        <v>1329</v>
      </c>
      <c r="E15" s="247" t="s">
        <v>1334</v>
      </c>
      <c r="F15" s="219" t="s">
        <v>1322</v>
      </c>
      <c r="G15" s="247" t="s">
        <v>1321</v>
      </c>
      <c r="H15" s="240" t="str">
        <f t="shared" si="0"/>
        <v>141</v>
      </c>
      <c r="I15" s="220">
        <v>10.6</v>
      </c>
      <c r="J15" s="220">
        <v>6.2</v>
      </c>
      <c r="K15" s="220">
        <v>1.3</v>
      </c>
      <c r="L15" s="220">
        <v>3.5</v>
      </c>
      <c r="M15" s="220">
        <v>13</v>
      </c>
      <c r="N15" s="221">
        <v>7500</v>
      </c>
      <c r="O15" s="221">
        <v>5500</v>
      </c>
      <c r="P15" s="222">
        <v>3.5</v>
      </c>
      <c r="R15" s="238"/>
      <c r="S15" s="238"/>
      <c r="T15" s="239"/>
      <c r="U15" s="239"/>
      <c r="V15" s="239"/>
    </row>
    <row r="16" spans="1:34" x14ac:dyDescent="0.2">
      <c r="A16" s="487"/>
      <c r="B16" s="490"/>
      <c r="C16" s="226" t="s">
        <v>1321</v>
      </c>
      <c r="D16" s="493"/>
      <c r="E16" s="248" t="s">
        <v>1334</v>
      </c>
      <c r="F16" s="227" t="s">
        <v>1323</v>
      </c>
      <c r="G16" s="248" t="s">
        <v>1328</v>
      </c>
      <c r="H16" s="241" t="str">
        <f t="shared" si="0"/>
        <v>142</v>
      </c>
      <c r="I16" s="228">
        <v>7.6</v>
      </c>
      <c r="J16" s="228">
        <v>4</v>
      </c>
      <c r="K16" s="228">
        <v>1.3</v>
      </c>
      <c r="L16" s="228">
        <v>3.5</v>
      </c>
      <c r="M16" s="228">
        <v>10.4</v>
      </c>
      <c r="N16" s="229">
        <v>7000</v>
      </c>
      <c r="O16" s="229">
        <v>5000</v>
      </c>
      <c r="P16" s="230">
        <v>3.5</v>
      </c>
      <c r="R16" s="238"/>
      <c r="S16" s="238"/>
      <c r="T16" s="239"/>
      <c r="U16" s="239"/>
      <c r="V16" s="239"/>
    </row>
    <row r="17" spans="1:34" x14ac:dyDescent="0.2">
      <c r="A17" s="488"/>
      <c r="B17" s="491"/>
      <c r="C17" s="232" t="s">
        <v>1321</v>
      </c>
      <c r="D17" s="493"/>
      <c r="E17" s="249" t="s">
        <v>1334</v>
      </c>
      <c r="F17" s="233" t="s">
        <v>1326</v>
      </c>
      <c r="G17" s="249" t="s">
        <v>1331</v>
      </c>
      <c r="H17" s="242" t="str">
        <f t="shared" si="0"/>
        <v>143</v>
      </c>
      <c r="I17" s="234">
        <v>4.5</v>
      </c>
      <c r="J17" s="234">
        <v>2</v>
      </c>
      <c r="K17" s="234">
        <v>1.3</v>
      </c>
      <c r="L17" s="234">
        <v>3.5</v>
      </c>
      <c r="M17" s="234">
        <v>4.5</v>
      </c>
      <c r="N17" s="235">
        <v>6500</v>
      </c>
      <c r="O17" s="235">
        <v>4000</v>
      </c>
      <c r="P17" s="236">
        <v>3.5</v>
      </c>
      <c r="R17" s="238"/>
      <c r="S17" s="238"/>
      <c r="T17" s="239"/>
      <c r="U17" s="239"/>
      <c r="V17" s="239"/>
    </row>
    <row r="18" spans="1:34" x14ac:dyDescent="0.2">
      <c r="A18" s="486" t="s">
        <v>1333</v>
      </c>
      <c r="B18" s="492" t="s">
        <v>1344</v>
      </c>
      <c r="C18" s="247" t="s">
        <v>1328</v>
      </c>
      <c r="D18" s="489" t="s">
        <v>1320</v>
      </c>
      <c r="E18" s="218" t="s">
        <v>1321</v>
      </c>
      <c r="F18" s="219" t="s">
        <v>1322</v>
      </c>
      <c r="G18" s="247" t="s">
        <v>1321</v>
      </c>
      <c r="H18" s="240" t="str">
        <f t="shared" si="0"/>
        <v>211</v>
      </c>
      <c r="I18" s="220">
        <v>18.3</v>
      </c>
      <c r="J18" s="220">
        <v>10.7</v>
      </c>
      <c r="K18" s="220">
        <v>1.5</v>
      </c>
      <c r="L18" s="220">
        <v>7</v>
      </c>
      <c r="M18" s="220">
        <v>13.8</v>
      </c>
      <c r="N18" s="221">
        <v>12000</v>
      </c>
      <c r="O18" s="221">
        <v>8000</v>
      </c>
      <c r="P18" s="222">
        <v>4.8</v>
      </c>
      <c r="W18" s="257"/>
    </row>
    <row r="19" spans="1:34" x14ac:dyDescent="0.2">
      <c r="A19" s="487"/>
      <c r="B19" s="490"/>
      <c r="C19" s="248" t="s">
        <v>1328</v>
      </c>
      <c r="D19" s="490"/>
      <c r="E19" s="226" t="s">
        <v>1321</v>
      </c>
      <c r="F19" s="227" t="s">
        <v>1325</v>
      </c>
      <c r="G19" s="248" t="s">
        <v>1328</v>
      </c>
      <c r="H19" s="241" t="str">
        <f t="shared" si="0"/>
        <v>212</v>
      </c>
      <c r="I19" s="228">
        <v>13.8</v>
      </c>
      <c r="J19" s="228">
        <v>8.1</v>
      </c>
      <c r="K19" s="228">
        <v>1.5</v>
      </c>
      <c r="L19" s="228">
        <v>7</v>
      </c>
      <c r="M19" s="228">
        <v>12.2</v>
      </c>
      <c r="N19" s="229">
        <v>10500</v>
      </c>
      <c r="O19" s="229">
        <v>6500</v>
      </c>
      <c r="P19" s="230">
        <v>4.8</v>
      </c>
      <c r="W19" s="257"/>
    </row>
    <row r="20" spans="1:34" x14ac:dyDescent="0.2">
      <c r="A20" s="487"/>
      <c r="B20" s="490"/>
      <c r="C20" s="249" t="s">
        <v>1328</v>
      </c>
      <c r="D20" s="491"/>
      <c r="E20" s="232" t="s">
        <v>1321</v>
      </c>
      <c r="F20" s="233" t="s">
        <v>1330</v>
      </c>
      <c r="G20" s="249" t="s">
        <v>1331</v>
      </c>
      <c r="H20" s="242" t="str">
        <f t="shared" si="0"/>
        <v>213</v>
      </c>
      <c r="I20" s="234">
        <v>6</v>
      </c>
      <c r="J20" s="234">
        <v>3.8</v>
      </c>
      <c r="K20" s="234">
        <v>1.5</v>
      </c>
      <c r="L20" s="234">
        <v>7</v>
      </c>
      <c r="M20" s="234">
        <v>7.5</v>
      </c>
      <c r="N20" s="235">
        <v>9500</v>
      </c>
      <c r="O20" s="235">
        <v>6000</v>
      </c>
      <c r="P20" s="236">
        <v>4.8</v>
      </c>
    </row>
    <row r="21" spans="1:34" x14ac:dyDescent="0.2">
      <c r="A21" s="487"/>
      <c r="B21" s="490"/>
      <c r="C21" s="247" t="s">
        <v>1328</v>
      </c>
      <c r="D21" s="489" t="s">
        <v>1324</v>
      </c>
      <c r="E21" s="247" t="s">
        <v>1328</v>
      </c>
      <c r="F21" s="219" t="s">
        <v>1322</v>
      </c>
      <c r="G21" s="247" t="s">
        <v>1321</v>
      </c>
      <c r="H21" s="240" t="str">
        <f t="shared" si="0"/>
        <v>221</v>
      </c>
      <c r="I21" s="220">
        <v>13.6</v>
      </c>
      <c r="J21" s="220">
        <v>7.9</v>
      </c>
      <c r="K21" s="220">
        <v>1.2</v>
      </c>
      <c r="L21" s="220">
        <v>4.5999999999999996</v>
      </c>
      <c r="M21" s="220">
        <v>11.3</v>
      </c>
      <c r="N21" s="221">
        <v>10000</v>
      </c>
      <c r="O21" s="221">
        <v>7000</v>
      </c>
      <c r="P21" s="222">
        <v>4.5</v>
      </c>
    </row>
    <row r="22" spans="1:34" x14ac:dyDescent="0.2">
      <c r="A22" s="487"/>
      <c r="B22" s="490"/>
      <c r="C22" s="248" t="s">
        <v>1328</v>
      </c>
      <c r="D22" s="490"/>
      <c r="E22" s="248" t="s">
        <v>1328</v>
      </c>
      <c r="F22" s="227" t="s">
        <v>1325</v>
      </c>
      <c r="G22" s="248" t="s">
        <v>1328</v>
      </c>
      <c r="H22" s="241" t="str">
        <f t="shared" si="0"/>
        <v>222</v>
      </c>
      <c r="I22" s="228">
        <v>10.199999999999999</v>
      </c>
      <c r="J22" s="228">
        <v>6</v>
      </c>
      <c r="K22" s="228">
        <v>1.2</v>
      </c>
      <c r="L22" s="228">
        <v>4.5999999999999996</v>
      </c>
      <c r="M22" s="228">
        <v>10</v>
      </c>
      <c r="N22" s="229">
        <v>9000</v>
      </c>
      <c r="O22" s="229">
        <v>6000</v>
      </c>
      <c r="P22" s="230">
        <v>4.5</v>
      </c>
    </row>
    <row r="23" spans="1:34" x14ac:dyDescent="0.2">
      <c r="A23" s="487"/>
      <c r="B23" s="490"/>
      <c r="C23" s="249" t="s">
        <v>1328</v>
      </c>
      <c r="D23" s="491"/>
      <c r="E23" s="249" t="s">
        <v>1328</v>
      </c>
      <c r="F23" s="233" t="s">
        <v>1330</v>
      </c>
      <c r="G23" s="249" t="s">
        <v>1331</v>
      </c>
      <c r="H23" s="242" t="str">
        <f t="shared" si="0"/>
        <v>223</v>
      </c>
      <c r="I23" s="234">
        <v>4.5</v>
      </c>
      <c r="J23" s="234">
        <v>2.8</v>
      </c>
      <c r="K23" s="234">
        <v>1.2</v>
      </c>
      <c r="L23" s="234">
        <v>4.5999999999999996</v>
      </c>
      <c r="M23" s="234">
        <v>6.1</v>
      </c>
      <c r="N23" s="235">
        <v>8000</v>
      </c>
      <c r="O23" s="235">
        <v>5500</v>
      </c>
      <c r="P23" s="236">
        <v>4.5</v>
      </c>
    </row>
    <row r="24" spans="1:34" x14ac:dyDescent="0.2">
      <c r="A24" s="487"/>
      <c r="B24" s="490"/>
      <c r="C24" s="247" t="s">
        <v>1328</v>
      </c>
      <c r="D24" s="489" t="s">
        <v>1327</v>
      </c>
      <c r="E24" s="247" t="s">
        <v>1331</v>
      </c>
      <c r="F24" s="219" t="s">
        <v>1322</v>
      </c>
      <c r="G24" s="247" t="s">
        <v>1321</v>
      </c>
      <c r="H24" s="240" t="str">
        <f t="shared" si="0"/>
        <v>231</v>
      </c>
      <c r="I24" s="220">
        <v>12.7</v>
      </c>
      <c r="J24" s="220">
        <v>7.4</v>
      </c>
      <c r="K24" s="220">
        <v>1.2</v>
      </c>
      <c r="L24" s="220">
        <v>5.3</v>
      </c>
      <c r="M24" s="220">
        <v>9.9</v>
      </c>
      <c r="N24" s="221">
        <v>8500</v>
      </c>
      <c r="O24" s="221">
        <v>6000</v>
      </c>
      <c r="P24" s="222">
        <v>4.0999999999999996</v>
      </c>
    </row>
    <row r="25" spans="1:34" x14ac:dyDescent="0.2">
      <c r="A25" s="487"/>
      <c r="B25" s="490"/>
      <c r="C25" s="248" t="s">
        <v>1328</v>
      </c>
      <c r="D25" s="490"/>
      <c r="E25" s="248" t="s">
        <v>1331</v>
      </c>
      <c r="F25" s="227" t="s">
        <v>1325</v>
      </c>
      <c r="G25" s="248" t="s">
        <v>1328</v>
      </c>
      <c r="H25" s="241" t="str">
        <f t="shared" si="0"/>
        <v>232</v>
      </c>
      <c r="I25" s="228">
        <v>9.6</v>
      </c>
      <c r="J25" s="228">
        <v>5.6</v>
      </c>
      <c r="K25" s="228">
        <v>1.2</v>
      </c>
      <c r="L25" s="228">
        <v>5.3</v>
      </c>
      <c r="M25" s="228">
        <v>8.6999999999999993</v>
      </c>
      <c r="N25" s="229">
        <v>7500</v>
      </c>
      <c r="O25" s="229">
        <v>5000</v>
      </c>
      <c r="P25" s="230">
        <v>4.0999999999999996</v>
      </c>
    </row>
    <row r="26" spans="1:34" x14ac:dyDescent="0.2">
      <c r="A26" s="487"/>
      <c r="B26" s="490"/>
      <c r="C26" s="249" t="s">
        <v>1328</v>
      </c>
      <c r="D26" s="491"/>
      <c r="E26" s="249" t="s">
        <v>1331</v>
      </c>
      <c r="F26" s="233" t="s">
        <v>1330</v>
      </c>
      <c r="G26" s="249" t="s">
        <v>1331</v>
      </c>
      <c r="H26" s="242" t="str">
        <f t="shared" si="0"/>
        <v>233</v>
      </c>
      <c r="I26" s="234">
        <v>4.2</v>
      </c>
      <c r="J26" s="234">
        <v>2.6</v>
      </c>
      <c r="K26" s="234">
        <v>1.2</v>
      </c>
      <c r="L26" s="234">
        <v>5.3</v>
      </c>
      <c r="M26" s="234">
        <v>5.4</v>
      </c>
      <c r="N26" s="235">
        <v>6500</v>
      </c>
      <c r="O26" s="235">
        <v>4500</v>
      </c>
      <c r="P26" s="236">
        <v>4.0999999999999996</v>
      </c>
    </row>
    <row r="27" spans="1:34" s="212" customFormat="1" x14ac:dyDescent="0.2">
      <c r="A27" s="487"/>
      <c r="B27" s="490"/>
      <c r="C27" s="247" t="s">
        <v>1328</v>
      </c>
      <c r="D27" s="489" t="s">
        <v>1329</v>
      </c>
      <c r="E27" s="247" t="s">
        <v>1334</v>
      </c>
      <c r="F27" s="219" t="s">
        <v>1322</v>
      </c>
      <c r="G27" s="247" t="s">
        <v>1321</v>
      </c>
      <c r="H27" s="240" t="str">
        <f t="shared" si="0"/>
        <v>241</v>
      </c>
      <c r="I27" s="220">
        <v>12</v>
      </c>
      <c r="J27" s="220">
        <v>7</v>
      </c>
      <c r="K27" s="220">
        <v>1</v>
      </c>
      <c r="L27" s="220">
        <v>3.5</v>
      </c>
      <c r="M27" s="220">
        <v>7.5</v>
      </c>
      <c r="N27" s="221">
        <v>8000</v>
      </c>
      <c r="O27" s="221">
        <v>5500</v>
      </c>
      <c r="P27" s="222">
        <v>3.5</v>
      </c>
      <c r="Q27"/>
      <c r="R27" s="210"/>
      <c r="S27" s="210"/>
      <c r="T27" s="211"/>
      <c r="U27" s="211"/>
      <c r="V27" s="211"/>
      <c r="W27" s="211"/>
      <c r="X27" s="213"/>
      <c r="Y27" s="213"/>
      <c r="Z27" s="213"/>
      <c r="AA27" s="213"/>
      <c r="AB27" s="213"/>
      <c r="AC27" s="213"/>
      <c r="AD27" s="213"/>
      <c r="AE27" s="213"/>
      <c r="AF27" s="213"/>
      <c r="AG27" s="213"/>
      <c r="AH27" s="213"/>
    </row>
    <row r="28" spans="1:34" s="212" customFormat="1" x14ac:dyDescent="0.2">
      <c r="A28" s="487"/>
      <c r="B28" s="490"/>
      <c r="C28" s="248" t="s">
        <v>1328</v>
      </c>
      <c r="D28" s="490"/>
      <c r="E28" s="248" t="s">
        <v>1334</v>
      </c>
      <c r="F28" s="227" t="s">
        <v>1325</v>
      </c>
      <c r="G28" s="248" t="s">
        <v>1328</v>
      </c>
      <c r="H28" s="241" t="str">
        <f t="shared" si="0"/>
        <v>242</v>
      </c>
      <c r="I28" s="228">
        <v>9</v>
      </c>
      <c r="J28" s="228">
        <v>5.3</v>
      </c>
      <c r="K28" s="228">
        <v>1</v>
      </c>
      <c r="L28" s="228">
        <v>3.5</v>
      </c>
      <c r="M28" s="228">
        <v>6.7</v>
      </c>
      <c r="N28" s="229">
        <v>7000</v>
      </c>
      <c r="O28" s="229">
        <v>5000</v>
      </c>
      <c r="P28" s="230">
        <v>3.5</v>
      </c>
      <c r="Q28"/>
      <c r="R28" s="210"/>
      <c r="S28" s="210"/>
      <c r="T28" s="211"/>
      <c r="U28" s="211"/>
      <c r="V28" s="211"/>
      <c r="W28" s="211"/>
      <c r="X28" s="213"/>
      <c r="Y28" s="213"/>
      <c r="Z28" s="213"/>
      <c r="AA28" s="213"/>
      <c r="AB28" s="213"/>
      <c r="AC28" s="213"/>
      <c r="AD28" s="213"/>
      <c r="AE28" s="213"/>
      <c r="AF28" s="213"/>
      <c r="AG28" s="213"/>
      <c r="AH28" s="213"/>
    </row>
    <row r="29" spans="1:34" s="212" customFormat="1" x14ac:dyDescent="0.2">
      <c r="A29" s="488"/>
      <c r="B29" s="491"/>
      <c r="C29" s="249" t="s">
        <v>1328</v>
      </c>
      <c r="D29" s="491"/>
      <c r="E29" s="249" t="s">
        <v>1334</v>
      </c>
      <c r="F29" s="233" t="s">
        <v>1330</v>
      </c>
      <c r="G29" s="249" t="s">
        <v>1331</v>
      </c>
      <c r="H29" s="242" t="str">
        <f t="shared" si="0"/>
        <v>243</v>
      </c>
      <c r="I29" s="234">
        <v>3.9</v>
      </c>
      <c r="J29" s="234">
        <v>2.5</v>
      </c>
      <c r="K29" s="234">
        <v>1</v>
      </c>
      <c r="L29" s="234">
        <v>3.5</v>
      </c>
      <c r="M29" s="234">
        <v>4.0999999999999996</v>
      </c>
      <c r="N29" s="235">
        <v>6000</v>
      </c>
      <c r="O29" s="235">
        <v>4000</v>
      </c>
      <c r="P29" s="236">
        <v>3.5</v>
      </c>
      <c r="Q29"/>
      <c r="R29" s="210"/>
      <c r="S29" s="210"/>
      <c r="T29" s="211"/>
      <c r="U29" s="211"/>
      <c r="V29" s="211"/>
      <c r="W29" s="211"/>
      <c r="X29" s="213"/>
      <c r="Y29" s="213"/>
      <c r="Z29" s="213"/>
      <c r="AA29" s="213"/>
      <c r="AB29" s="213"/>
      <c r="AC29" s="213"/>
      <c r="AD29" s="213"/>
      <c r="AE29" s="213"/>
      <c r="AF29" s="213"/>
      <c r="AG29" s="213"/>
      <c r="AH29" s="213"/>
    </row>
    <row r="30" spans="1:34" s="212" customFormat="1" x14ac:dyDescent="0.2">
      <c r="A30" s="244"/>
      <c r="B30" s="224"/>
      <c r="C30" s="225"/>
      <c r="D30" s="215"/>
      <c r="E30" s="215"/>
      <c r="F30" s="245"/>
      <c r="G30" s="215"/>
      <c r="H30" s="246"/>
      <c r="I30" s="245"/>
      <c r="J30" s="245"/>
      <c r="K30" s="245"/>
      <c r="L30" s="245"/>
      <c r="M30" s="245"/>
      <c r="N30" s="245"/>
      <c r="O30" s="245"/>
      <c r="P30" s="245"/>
      <c r="Q30"/>
      <c r="R30" s="210"/>
      <c r="S30" s="210"/>
      <c r="T30" s="211"/>
      <c r="U30" s="211"/>
      <c r="V30" s="211"/>
      <c r="W30" s="211"/>
      <c r="X30" s="213"/>
      <c r="Y30" s="213"/>
      <c r="Z30" s="213"/>
      <c r="AA30" s="213"/>
      <c r="AB30" s="213"/>
      <c r="AC30" s="213"/>
      <c r="AD30" s="213"/>
      <c r="AE30" s="213"/>
      <c r="AF30" s="213"/>
      <c r="AG30" s="213"/>
      <c r="AH30" s="213"/>
    </row>
    <row r="31" spans="1:34" s="212" customFormat="1" x14ac:dyDescent="0.2">
      <c r="A31" s="244"/>
      <c r="B31" s="224"/>
      <c r="C31" s="225"/>
      <c r="D31" s="215"/>
      <c r="E31" s="215"/>
      <c r="F31" s="245"/>
      <c r="G31" s="215"/>
      <c r="H31" s="246"/>
      <c r="I31" s="245"/>
      <c r="J31" s="245"/>
      <c r="K31" s="245"/>
      <c r="L31" s="245"/>
      <c r="M31" s="245"/>
      <c r="N31" s="245"/>
      <c r="O31" s="245"/>
      <c r="P31" s="245"/>
      <c r="Q31"/>
      <c r="R31" s="210"/>
      <c r="S31" s="210"/>
      <c r="T31" s="211"/>
      <c r="U31" s="211"/>
      <c r="V31" s="211"/>
      <c r="W31" s="211"/>
      <c r="X31" s="213"/>
      <c r="Y31" s="213"/>
      <c r="Z31" s="213"/>
      <c r="AA31" s="213"/>
      <c r="AB31" s="213"/>
      <c r="AC31" s="213"/>
      <c r="AD31" s="213"/>
      <c r="AE31" s="213"/>
      <c r="AF31" s="213"/>
      <c r="AG31" s="213"/>
      <c r="AH31" s="213"/>
    </row>
    <row r="32" spans="1:34" s="212" customFormat="1" x14ac:dyDescent="0.2">
      <c r="A32" s="244"/>
      <c r="B32" s="224"/>
      <c r="C32" s="225"/>
      <c r="D32" s="215"/>
      <c r="E32" s="215"/>
      <c r="F32" s="245"/>
      <c r="G32" s="215"/>
      <c r="H32" s="246"/>
      <c r="I32" s="245"/>
      <c r="J32" s="245"/>
      <c r="K32" s="245"/>
      <c r="L32" s="245"/>
      <c r="M32" s="245"/>
      <c r="N32" s="245"/>
      <c r="O32" s="245"/>
      <c r="P32" s="245"/>
      <c r="Q32"/>
      <c r="R32" s="210"/>
      <c r="S32" s="210"/>
      <c r="T32" s="211"/>
      <c r="U32" s="211"/>
      <c r="V32" s="211"/>
      <c r="W32" s="211"/>
      <c r="X32" s="213"/>
      <c r="Y32" s="213"/>
      <c r="Z32" s="213"/>
      <c r="AA32" s="213"/>
      <c r="AB32" s="213"/>
      <c r="AC32" s="213"/>
      <c r="AD32" s="213"/>
      <c r="AE32" s="213"/>
      <c r="AF32" s="213"/>
      <c r="AG32" s="213"/>
      <c r="AH32" s="213"/>
    </row>
    <row r="33" spans="1:34" s="212" customFormat="1" x14ac:dyDescent="0.2">
      <c r="A33" s="244"/>
      <c r="B33" s="224"/>
      <c r="C33" s="225"/>
      <c r="D33" s="215"/>
      <c r="E33" s="215"/>
      <c r="F33" s="245"/>
      <c r="G33" s="215"/>
      <c r="H33" s="246"/>
      <c r="I33" s="245"/>
      <c r="J33" s="245"/>
      <c r="K33" s="245"/>
      <c r="L33" s="245"/>
      <c r="M33" s="245"/>
      <c r="N33" s="245"/>
      <c r="O33" s="245"/>
      <c r="P33" s="245"/>
      <c r="Q33"/>
      <c r="R33" s="210"/>
      <c r="S33" s="210"/>
      <c r="T33" s="211"/>
      <c r="U33" s="211"/>
      <c r="V33" s="211"/>
      <c r="W33" s="211"/>
      <c r="X33" s="213"/>
      <c r="Y33" s="213"/>
      <c r="Z33" s="213"/>
      <c r="AA33" s="213"/>
      <c r="AB33" s="213"/>
      <c r="AC33" s="213"/>
      <c r="AD33" s="213"/>
      <c r="AE33" s="213"/>
      <c r="AF33" s="213"/>
      <c r="AG33" s="213"/>
      <c r="AH33" s="213"/>
    </row>
    <row r="35" spans="1:34" s="212" customFormat="1" x14ac:dyDescent="0.2">
      <c r="A35" s="244"/>
      <c r="B35" s="224"/>
      <c r="C35" s="225"/>
      <c r="D35" s="215"/>
      <c r="E35" s="215"/>
      <c r="F35" s="245"/>
      <c r="G35" s="215"/>
      <c r="H35" s="246"/>
      <c r="I35" s="245"/>
      <c r="J35" s="245"/>
      <c r="K35" s="245"/>
      <c r="L35" s="245"/>
      <c r="M35" s="245"/>
      <c r="N35" s="245"/>
      <c r="O35" s="245"/>
      <c r="P35" s="245"/>
      <c r="Q35"/>
      <c r="R35" s="210"/>
      <c r="S35" s="210"/>
      <c r="T35" s="211"/>
      <c r="U35" s="211"/>
      <c r="V35" s="211"/>
      <c r="W35" s="211"/>
      <c r="X35" s="213"/>
      <c r="Y35" s="213"/>
      <c r="Z35" s="213"/>
      <c r="AA35" s="213"/>
      <c r="AB35" s="213"/>
      <c r="AC35" s="213"/>
      <c r="AD35" s="213"/>
      <c r="AE35" s="213"/>
      <c r="AF35" s="213"/>
      <c r="AG35" s="213"/>
      <c r="AH35" s="213"/>
    </row>
    <row r="36" spans="1:34" s="212" customFormat="1" x14ac:dyDescent="0.2">
      <c r="A36" s="244"/>
      <c r="B36" s="224"/>
      <c r="C36" s="225"/>
      <c r="D36" s="215"/>
      <c r="E36" s="215"/>
      <c r="F36" s="245"/>
      <c r="G36" s="215"/>
      <c r="H36" s="246"/>
      <c r="I36" s="245"/>
      <c r="J36" s="245"/>
      <c r="K36" s="245"/>
      <c r="L36" s="245"/>
      <c r="M36" s="245"/>
      <c r="N36" s="245"/>
      <c r="O36" s="245"/>
      <c r="P36" s="245"/>
      <c r="Q36"/>
      <c r="R36" s="210"/>
      <c r="S36" s="210"/>
      <c r="T36" s="211"/>
      <c r="U36" s="211"/>
      <c r="V36" s="211"/>
      <c r="W36" s="211"/>
      <c r="X36" s="213"/>
      <c r="Y36" s="213"/>
      <c r="Z36" s="213"/>
      <c r="AA36" s="213"/>
      <c r="AB36" s="213"/>
      <c r="AC36" s="213"/>
      <c r="AD36" s="213"/>
      <c r="AE36" s="213"/>
      <c r="AF36" s="213"/>
      <c r="AG36" s="213"/>
      <c r="AH36" s="213"/>
    </row>
    <row r="37" spans="1:34" s="212" customFormat="1" x14ac:dyDescent="0.2">
      <c r="A37" s="244"/>
      <c r="B37" s="224"/>
      <c r="C37" s="225"/>
      <c r="D37" s="215"/>
      <c r="E37" s="215"/>
      <c r="F37" s="245"/>
      <c r="G37" s="215"/>
      <c r="H37" s="246"/>
      <c r="I37" s="245"/>
      <c r="J37" s="245"/>
      <c r="K37" s="245"/>
      <c r="L37" s="245"/>
      <c r="M37" s="245"/>
      <c r="N37" s="245"/>
      <c r="O37" s="245"/>
      <c r="P37" s="245"/>
      <c r="Q37"/>
      <c r="R37" s="210"/>
      <c r="S37" s="210"/>
      <c r="T37" s="211"/>
      <c r="U37" s="211"/>
      <c r="V37" s="211"/>
      <c r="W37" s="211"/>
      <c r="X37" s="213"/>
      <c r="Y37" s="213"/>
      <c r="Z37" s="213"/>
      <c r="AA37" s="213"/>
      <c r="AB37" s="213"/>
      <c r="AC37" s="213"/>
      <c r="AD37" s="213"/>
      <c r="AE37" s="213"/>
      <c r="AF37" s="213"/>
      <c r="AG37" s="213"/>
      <c r="AH37" s="213"/>
    </row>
    <row r="38" spans="1:34" s="212" customFormat="1" x14ac:dyDescent="0.2">
      <c r="A38" s="244"/>
      <c r="B38" s="224"/>
      <c r="C38" s="225"/>
      <c r="D38" s="215"/>
      <c r="E38" s="215"/>
      <c r="F38" s="245"/>
      <c r="G38" s="215"/>
      <c r="H38" s="246"/>
      <c r="I38" s="245"/>
      <c r="J38" s="245"/>
      <c r="K38" s="245"/>
      <c r="L38" s="245"/>
      <c r="M38" s="245"/>
      <c r="N38" s="245"/>
      <c r="O38" s="245"/>
      <c r="P38" s="245"/>
      <c r="Q38"/>
      <c r="R38" s="210"/>
      <c r="S38" s="210"/>
      <c r="T38" s="211"/>
      <c r="U38" s="211"/>
      <c r="V38" s="211"/>
      <c r="W38" s="211"/>
      <c r="X38" s="213"/>
      <c r="Y38" s="213"/>
      <c r="Z38" s="213"/>
      <c r="AA38" s="213"/>
      <c r="AB38" s="213"/>
      <c r="AC38" s="213"/>
      <c r="AD38" s="213"/>
      <c r="AE38" s="213"/>
      <c r="AF38" s="213"/>
      <c r="AG38" s="213"/>
      <c r="AH38" s="213"/>
    </row>
    <row r="39" spans="1:34" s="212" customFormat="1" x14ac:dyDescent="0.2">
      <c r="A39" s="244"/>
      <c r="B39" s="224"/>
      <c r="C39" s="225"/>
      <c r="D39" s="215"/>
      <c r="E39" s="215"/>
      <c r="F39" s="245"/>
      <c r="G39" s="215"/>
      <c r="H39" s="246"/>
      <c r="I39" s="245"/>
      <c r="J39" s="245"/>
      <c r="K39" s="245"/>
      <c r="L39" s="245"/>
      <c r="M39" s="245"/>
      <c r="N39" s="245"/>
      <c r="O39" s="245"/>
      <c r="P39" s="245"/>
      <c r="Q39"/>
      <c r="R39" s="210"/>
      <c r="S39" s="210"/>
      <c r="T39" s="211"/>
      <c r="U39" s="211"/>
      <c r="V39" s="211"/>
      <c r="W39" s="211"/>
      <c r="X39" s="213"/>
      <c r="Y39" s="213"/>
      <c r="Z39" s="213"/>
      <c r="AA39" s="213"/>
      <c r="AB39" s="213"/>
      <c r="AC39" s="213"/>
      <c r="AD39" s="213"/>
      <c r="AE39" s="213"/>
      <c r="AF39" s="213"/>
      <c r="AG39" s="213"/>
      <c r="AH39" s="213"/>
    </row>
    <row r="40" spans="1:34" s="243" customFormat="1" x14ac:dyDescent="0.2">
      <c r="A40" s="244"/>
      <c r="B40" s="224"/>
      <c r="C40" s="225"/>
      <c r="D40" s="215"/>
      <c r="E40" s="215"/>
      <c r="F40" s="245"/>
      <c r="G40" s="215"/>
      <c r="H40" s="246"/>
      <c r="I40" s="245"/>
      <c r="J40" s="245"/>
      <c r="K40" s="245"/>
      <c r="L40" s="245"/>
      <c r="M40" s="245"/>
      <c r="N40" s="245"/>
      <c r="O40" s="245"/>
      <c r="P40" s="245"/>
      <c r="Q40"/>
      <c r="R40" s="210"/>
      <c r="S40" s="210"/>
      <c r="T40" s="211"/>
      <c r="U40" s="211"/>
      <c r="V40" s="211"/>
      <c r="W40" s="211"/>
      <c r="X40" s="213"/>
      <c r="Y40" s="213"/>
      <c r="Z40" s="213"/>
      <c r="AA40" s="213"/>
      <c r="AB40" s="213"/>
      <c r="AC40" s="213"/>
      <c r="AD40" s="213"/>
      <c r="AE40" s="213"/>
      <c r="AF40" s="213"/>
      <c r="AG40" s="213"/>
      <c r="AH40" s="213"/>
    </row>
    <row r="41" spans="1:34" s="243" customFormat="1" x14ac:dyDescent="0.2">
      <c r="A41" s="244"/>
      <c r="B41" s="224"/>
      <c r="C41" s="225"/>
      <c r="D41" s="215"/>
      <c r="E41" s="215"/>
      <c r="F41" s="245"/>
      <c r="G41" s="215"/>
      <c r="H41" s="246"/>
      <c r="I41" s="245"/>
      <c r="J41" s="245"/>
      <c r="K41" s="245"/>
      <c r="L41" s="245"/>
      <c r="M41" s="245"/>
      <c r="N41" s="245"/>
      <c r="O41" s="245"/>
      <c r="P41" s="245"/>
      <c r="Q41"/>
      <c r="R41" s="210"/>
      <c r="S41" s="210"/>
      <c r="T41" s="211"/>
      <c r="U41" s="211"/>
      <c r="V41" s="211"/>
      <c r="W41" s="211"/>
      <c r="X41" s="213"/>
      <c r="Y41" s="213"/>
      <c r="Z41" s="213"/>
      <c r="AA41" s="213"/>
      <c r="AB41" s="213"/>
      <c r="AC41" s="213"/>
      <c r="AD41" s="213"/>
      <c r="AE41" s="213"/>
      <c r="AF41" s="213"/>
      <c r="AG41" s="213"/>
      <c r="AH41" s="213"/>
    </row>
    <row r="42" spans="1:34" s="243" customFormat="1" x14ac:dyDescent="0.2">
      <c r="A42" s="244"/>
      <c r="B42" s="224"/>
      <c r="C42" s="225"/>
      <c r="D42" s="215"/>
      <c r="E42" s="215"/>
      <c r="F42" s="245"/>
      <c r="G42" s="215"/>
      <c r="H42" s="246"/>
      <c r="I42" s="245"/>
      <c r="J42" s="245"/>
      <c r="K42" s="245"/>
      <c r="L42" s="245"/>
      <c r="M42" s="245"/>
      <c r="N42" s="245"/>
      <c r="O42" s="245"/>
      <c r="P42" s="245"/>
      <c r="Q42"/>
      <c r="R42" s="210"/>
      <c r="S42" s="210"/>
      <c r="T42" s="211"/>
      <c r="U42" s="211"/>
      <c r="V42" s="211"/>
      <c r="W42" s="211"/>
      <c r="X42" s="213"/>
      <c r="Y42" s="213"/>
      <c r="Z42" s="213"/>
      <c r="AA42" s="213"/>
      <c r="AB42" s="213"/>
      <c r="AC42" s="213"/>
      <c r="AD42" s="213"/>
      <c r="AE42" s="213"/>
      <c r="AF42" s="213"/>
      <c r="AG42" s="213"/>
      <c r="AH42" s="213"/>
    </row>
    <row r="43" spans="1:34" s="243" customFormat="1" x14ac:dyDescent="0.2">
      <c r="A43" s="244"/>
      <c r="B43" s="224"/>
      <c r="C43" s="225"/>
      <c r="D43" s="215"/>
      <c r="E43" s="215"/>
      <c r="F43" s="245"/>
      <c r="G43" s="215"/>
      <c r="H43" s="246"/>
      <c r="I43" s="245"/>
      <c r="J43" s="245"/>
      <c r="K43" s="245"/>
      <c r="L43" s="245"/>
      <c r="M43" s="245"/>
      <c r="N43" s="245"/>
      <c r="O43" s="245"/>
      <c r="P43" s="245"/>
      <c r="Q43"/>
      <c r="R43" s="210"/>
      <c r="S43" s="210"/>
      <c r="T43" s="211"/>
      <c r="U43" s="211"/>
      <c r="V43" s="211"/>
      <c r="W43" s="211"/>
      <c r="X43" s="213"/>
      <c r="Y43" s="213"/>
      <c r="Z43" s="213"/>
      <c r="AA43" s="213"/>
      <c r="AB43" s="213"/>
      <c r="AC43" s="213"/>
      <c r="AD43" s="213"/>
      <c r="AE43" s="213"/>
      <c r="AF43" s="213"/>
      <c r="AG43" s="213"/>
      <c r="AH43" s="213"/>
    </row>
    <row r="44" spans="1:34" s="243" customFormat="1" x14ac:dyDescent="0.2">
      <c r="A44" s="244"/>
      <c r="B44" s="224"/>
      <c r="C44" s="225"/>
      <c r="D44" s="215"/>
      <c r="E44" s="215"/>
      <c r="F44" s="245"/>
      <c r="G44" s="215"/>
      <c r="H44" s="246"/>
      <c r="I44" s="245"/>
      <c r="J44" s="245"/>
      <c r="K44" s="245"/>
      <c r="L44" s="245"/>
      <c r="M44" s="245"/>
      <c r="N44" s="245"/>
      <c r="O44" s="245"/>
      <c r="P44" s="245"/>
      <c r="Q44"/>
      <c r="R44" s="210"/>
      <c r="S44" s="210"/>
      <c r="T44" s="211"/>
      <c r="U44" s="211"/>
      <c r="V44" s="211"/>
      <c r="W44" s="211"/>
      <c r="X44" s="213"/>
      <c r="Y44" s="213"/>
      <c r="Z44" s="213"/>
      <c r="AA44" s="213"/>
      <c r="AB44" s="213"/>
      <c r="AC44" s="213"/>
      <c r="AD44" s="213"/>
      <c r="AE44" s="213"/>
      <c r="AF44" s="213"/>
      <c r="AG44" s="213"/>
      <c r="AH44" s="213"/>
    </row>
    <row r="45" spans="1:34" s="243" customFormat="1" x14ac:dyDescent="0.2">
      <c r="A45" s="244"/>
      <c r="B45" s="224"/>
      <c r="C45" s="225"/>
      <c r="D45" s="215"/>
      <c r="E45" s="215"/>
      <c r="F45" s="245"/>
      <c r="G45" s="215"/>
      <c r="H45" s="246"/>
      <c r="I45" s="245"/>
      <c r="J45" s="245"/>
      <c r="K45" s="245"/>
      <c r="L45" s="245"/>
      <c r="M45" s="245"/>
      <c r="N45" s="245"/>
      <c r="O45" s="245"/>
      <c r="P45" s="245"/>
      <c r="Q45"/>
      <c r="R45" s="210"/>
      <c r="S45" s="210"/>
      <c r="T45" s="211"/>
      <c r="U45" s="211"/>
      <c r="V45" s="211"/>
      <c r="W45" s="211"/>
      <c r="X45" s="213"/>
      <c r="Y45" s="213"/>
      <c r="Z45" s="213"/>
      <c r="AA45" s="213"/>
      <c r="AB45" s="213"/>
      <c r="AC45" s="213"/>
      <c r="AD45" s="213"/>
      <c r="AE45" s="213"/>
      <c r="AF45" s="213"/>
      <c r="AG45" s="213"/>
      <c r="AH45" s="213"/>
    </row>
    <row r="46" spans="1:34" s="243" customFormat="1" x14ac:dyDescent="0.2">
      <c r="A46" s="244"/>
      <c r="B46" s="224"/>
      <c r="C46" s="225"/>
      <c r="D46" s="215"/>
      <c r="E46" s="215"/>
      <c r="F46" s="245"/>
      <c r="G46" s="215"/>
      <c r="H46" s="246"/>
      <c r="I46" s="245"/>
      <c r="J46" s="245"/>
      <c r="K46" s="245"/>
      <c r="L46" s="245"/>
      <c r="M46" s="245"/>
      <c r="N46" s="245"/>
      <c r="O46" s="245"/>
      <c r="P46" s="245"/>
      <c r="Q46"/>
      <c r="R46" s="210"/>
      <c r="S46" s="210"/>
      <c r="T46" s="211"/>
      <c r="U46" s="211"/>
      <c r="V46" s="211"/>
      <c r="W46" s="211"/>
      <c r="X46" s="213"/>
      <c r="Y46" s="213"/>
      <c r="Z46" s="213"/>
      <c r="AA46" s="213"/>
      <c r="AB46" s="213"/>
      <c r="AC46" s="213"/>
      <c r="AD46" s="213"/>
      <c r="AE46" s="213"/>
      <c r="AF46" s="213"/>
      <c r="AG46" s="213"/>
      <c r="AH46" s="213"/>
    </row>
    <row r="47" spans="1:34" s="243" customFormat="1" x14ac:dyDescent="0.2">
      <c r="A47" s="244"/>
      <c r="B47" s="224"/>
      <c r="C47" s="225"/>
      <c r="D47" s="215"/>
      <c r="E47" s="215"/>
      <c r="F47" s="245"/>
      <c r="G47" s="215"/>
      <c r="H47" s="246"/>
      <c r="I47" s="245"/>
      <c r="J47" s="245"/>
      <c r="K47" s="245"/>
      <c r="L47" s="245"/>
      <c r="M47" s="245"/>
      <c r="N47" s="245"/>
      <c r="O47" s="245"/>
      <c r="P47" s="245"/>
      <c r="Q47"/>
      <c r="R47" s="210"/>
      <c r="S47" s="210"/>
      <c r="T47" s="211"/>
      <c r="U47" s="211"/>
      <c r="V47" s="211"/>
      <c r="W47" s="211"/>
      <c r="X47" s="213"/>
      <c r="Y47" s="213"/>
      <c r="Z47" s="213"/>
      <c r="AA47" s="213"/>
      <c r="AB47" s="213"/>
      <c r="AC47" s="213"/>
      <c r="AD47" s="213"/>
      <c r="AE47" s="213"/>
      <c r="AF47" s="213"/>
      <c r="AG47" s="213"/>
      <c r="AH47" s="213"/>
    </row>
    <row r="48" spans="1:34" s="243" customFormat="1" x14ac:dyDescent="0.2">
      <c r="A48" s="244"/>
      <c r="B48" s="224"/>
      <c r="C48" s="225"/>
      <c r="D48" s="215"/>
      <c r="E48" s="215"/>
      <c r="F48" s="245"/>
      <c r="G48" s="215"/>
      <c r="H48" s="246"/>
      <c r="I48" s="245"/>
      <c r="J48" s="245"/>
      <c r="K48" s="245"/>
      <c r="L48" s="245"/>
      <c r="M48" s="245"/>
      <c r="N48" s="245"/>
      <c r="O48" s="245"/>
      <c r="P48" s="245"/>
      <c r="Q48"/>
      <c r="R48" s="210"/>
      <c r="S48" s="210"/>
      <c r="T48" s="211"/>
      <c r="U48" s="211"/>
      <c r="V48" s="211"/>
      <c r="W48" s="211"/>
      <c r="X48" s="213"/>
      <c r="Y48" s="213"/>
      <c r="Z48" s="213"/>
      <c r="AA48" s="213"/>
      <c r="AB48" s="213"/>
      <c r="AC48" s="213"/>
      <c r="AD48" s="213"/>
      <c r="AE48" s="213"/>
      <c r="AF48" s="213"/>
      <c r="AG48" s="213"/>
      <c r="AH48" s="213"/>
    </row>
    <row r="49" spans="1:34" s="243" customFormat="1" x14ac:dyDescent="0.2">
      <c r="A49" s="244"/>
      <c r="B49" s="224"/>
      <c r="C49" s="225"/>
      <c r="D49" s="215"/>
      <c r="E49" s="215"/>
      <c r="F49" s="245"/>
      <c r="G49" s="215"/>
      <c r="H49" s="246"/>
      <c r="I49" s="245"/>
      <c r="J49" s="245"/>
      <c r="K49" s="245"/>
      <c r="L49" s="245"/>
      <c r="M49" s="245"/>
      <c r="N49" s="245"/>
      <c r="O49" s="245"/>
      <c r="P49" s="245"/>
      <c r="Q49"/>
      <c r="R49" s="210"/>
      <c r="S49" s="210"/>
      <c r="T49" s="211"/>
      <c r="U49" s="211"/>
      <c r="V49" s="211"/>
      <c r="W49" s="211"/>
      <c r="X49" s="213"/>
      <c r="Y49" s="213"/>
      <c r="Z49" s="213"/>
      <c r="AA49" s="213"/>
      <c r="AB49" s="213"/>
      <c r="AC49" s="213"/>
      <c r="AD49" s="213"/>
      <c r="AE49" s="213"/>
      <c r="AF49" s="213"/>
      <c r="AG49" s="213"/>
      <c r="AH49" s="213"/>
    </row>
    <row r="50" spans="1:34" s="243" customFormat="1" x14ac:dyDescent="0.2">
      <c r="A50" s="244"/>
      <c r="B50" s="224"/>
      <c r="C50" s="225"/>
      <c r="D50" s="215"/>
      <c r="E50" s="215"/>
      <c r="F50" s="245"/>
      <c r="G50" s="215"/>
      <c r="H50" s="246"/>
      <c r="I50" s="245"/>
      <c r="J50" s="245"/>
      <c r="K50" s="245"/>
      <c r="L50" s="245"/>
      <c r="M50" s="245"/>
      <c r="N50" s="245"/>
      <c r="O50" s="245"/>
      <c r="P50" s="245"/>
      <c r="Q50"/>
      <c r="R50" s="210"/>
      <c r="S50" s="210"/>
      <c r="T50" s="211"/>
      <c r="U50" s="211"/>
      <c r="V50" s="211"/>
      <c r="W50" s="211"/>
      <c r="X50" s="213"/>
      <c r="Y50" s="213"/>
      <c r="Z50" s="213"/>
      <c r="AA50" s="213"/>
      <c r="AB50" s="213"/>
      <c r="AC50" s="213"/>
      <c r="AD50" s="213"/>
      <c r="AE50" s="213"/>
      <c r="AF50" s="213"/>
      <c r="AG50" s="213"/>
      <c r="AH50" s="213"/>
    </row>
    <row r="51" spans="1:34" s="243" customFormat="1" x14ac:dyDescent="0.2">
      <c r="A51" s="244"/>
      <c r="B51" s="224"/>
      <c r="C51" s="225"/>
      <c r="D51" s="215"/>
      <c r="E51" s="215"/>
      <c r="F51" s="245"/>
      <c r="G51" s="215"/>
      <c r="H51" s="246"/>
      <c r="I51" s="245"/>
      <c r="J51" s="245"/>
      <c r="K51" s="245"/>
      <c r="L51" s="245"/>
      <c r="M51" s="245"/>
      <c r="N51" s="245"/>
      <c r="O51" s="245"/>
      <c r="P51" s="245"/>
      <c r="Q51"/>
      <c r="R51" s="210"/>
      <c r="S51" s="210"/>
      <c r="T51" s="211"/>
      <c r="U51" s="211"/>
      <c r="V51" s="211"/>
      <c r="W51" s="211"/>
      <c r="X51" s="213"/>
      <c r="Y51" s="213"/>
      <c r="Z51" s="213"/>
      <c r="AA51" s="213"/>
      <c r="AB51" s="213"/>
      <c r="AC51" s="213"/>
      <c r="AD51" s="213"/>
      <c r="AE51" s="213"/>
      <c r="AF51" s="213"/>
      <c r="AG51" s="213"/>
      <c r="AH51" s="213"/>
    </row>
    <row r="52" spans="1:34" s="243" customFormat="1" x14ac:dyDescent="0.2">
      <c r="A52" s="244"/>
      <c r="B52" s="224"/>
      <c r="C52" s="225"/>
      <c r="D52" s="215"/>
      <c r="E52" s="215"/>
      <c r="F52" s="245"/>
      <c r="G52" s="215"/>
      <c r="H52" s="246"/>
      <c r="I52" s="245"/>
      <c r="J52" s="245"/>
      <c r="K52" s="245"/>
      <c r="L52" s="245"/>
      <c r="M52" s="245"/>
      <c r="N52" s="245"/>
      <c r="O52" s="245"/>
      <c r="P52" s="245"/>
      <c r="Q52"/>
      <c r="R52" s="210"/>
      <c r="S52" s="210"/>
      <c r="T52" s="211"/>
      <c r="U52" s="211"/>
      <c r="V52" s="211"/>
      <c r="W52" s="211"/>
      <c r="X52" s="213"/>
      <c r="Y52" s="213"/>
      <c r="Z52" s="213"/>
      <c r="AA52" s="213"/>
      <c r="AB52" s="213"/>
      <c r="AC52" s="213"/>
      <c r="AD52" s="213"/>
      <c r="AE52" s="213"/>
      <c r="AF52" s="213"/>
      <c r="AG52" s="213"/>
      <c r="AH52" s="213"/>
    </row>
    <row r="53" spans="1:34" s="243" customFormat="1" x14ac:dyDescent="0.2">
      <c r="A53" s="244"/>
      <c r="B53" s="224"/>
      <c r="C53" s="225"/>
      <c r="D53" s="215"/>
      <c r="E53" s="215"/>
      <c r="F53" s="245"/>
      <c r="G53" s="215"/>
      <c r="H53" s="246"/>
      <c r="I53" s="245"/>
      <c r="J53" s="245"/>
      <c r="K53" s="245"/>
      <c r="L53" s="245"/>
      <c r="M53" s="245"/>
      <c r="N53" s="245"/>
      <c r="O53" s="245"/>
      <c r="P53" s="245"/>
      <c r="Q53"/>
      <c r="R53" s="210"/>
      <c r="S53" s="210"/>
      <c r="T53" s="211"/>
      <c r="U53" s="211"/>
      <c r="V53" s="211"/>
      <c r="W53" s="211"/>
      <c r="X53" s="213"/>
      <c r="Y53" s="213"/>
      <c r="Z53" s="213"/>
      <c r="AA53" s="213"/>
      <c r="AB53" s="213"/>
      <c r="AC53" s="213"/>
      <c r="AD53" s="213"/>
      <c r="AE53" s="213"/>
      <c r="AF53" s="213"/>
      <c r="AG53" s="213"/>
      <c r="AH53" s="213"/>
    </row>
    <row r="54" spans="1:34" s="243" customFormat="1" x14ac:dyDescent="0.2">
      <c r="A54" s="244"/>
      <c r="B54" s="224"/>
      <c r="C54" s="225"/>
      <c r="D54" s="215"/>
      <c r="E54" s="215"/>
      <c r="F54" s="245"/>
      <c r="G54" s="215"/>
      <c r="H54" s="246"/>
      <c r="I54" s="245"/>
      <c r="J54" s="245"/>
      <c r="K54" s="245"/>
      <c r="L54" s="245"/>
      <c r="M54" s="245"/>
      <c r="N54" s="245"/>
      <c r="O54" s="245"/>
      <c r="P54" s="245"/>
      <c r="Q54"/>
      <c r="R54" s="210"/>
      <c r="S54" s="210"/>
      <c r="T54" s="211"/>
      <c r="U54" s="211"/>
      <c r="V54" s="211"/>
      <c r="W54" s="211"/>
      <c r="X54" s="213"/>
      <c r="Y54" s="213"/>
      <c r="Z54" s="213"/>
      <c r="AA54" s="213"/>
      <c r="AB54" s="213"/>
      <c r="AC54" s="213"/>
      <c r="AD54" s="213"/>
      <c r="AE54" s="213"/>
      <c r="AF54" s="213"/>
      <c r="AG54" s="213"/>
      <c r="AH54" s="213"/>
    </row>
    <row r="55" spans="1:34" s="243" customFormat="1" x14ac:dyDescent="0.2">
      <c r="A55" s="244"/>
      <c r="B55" s="224"/>
      <c r="C55" s="225"/>
      <c r="D55" s="215"/>
      <c r="E55" s="215"/>
      <c r="F55" s="245"/>
      <c r="G55" s="215"/>
      <c r="H55" s="246"/>
      <c r="I55" s="245"/>
      <c r="J55" s="245"/>
      <c r="K55" s="245"/>
      <c r="L55" s="245"/>
      <c r="M55" s="245"/>
      <c r="N55" s="245"/>
      <c r="O55" s="245"/>
      <c r="P55" s="245"/>
      <c r="Q55"/>
      <c r="R55" s="210"/>
      <c r="S55" s="210"/>
      <c r="T55" s="211"/>
      <c r="U55" s="211"/>
      <c r="V55" s="211"/>
      <c r="W55" s="211"/>
      <c r="X55" s="213"/>
      <c r="Y55" s="213"/>
      <c r="Z55" s="213"/>
      <c r="AA55" s="213"/>
      <c r="AB55" s="213"/>
      <c r="AC55" s="213"/>
      <c r="AD55" s="213"/>
      <c r="AE55" s="213"/>
      <c r="AF55" s="213"/>
      <c r="AG55" s="213"/>
      <c r="AH55" s="213"/>
    </row>
    <row r="56" spans="1:34" s="243" customFormat="1" x14ac:dyDescent="0.2">
      <c r="A56" s="244"/>
      <c r="B56" s="224"/>
      <c r="C56" s="225"/>
      <c r="D56" s="215"/>
      <c r="E56" s="215"/>
      <c r="F56" s="245"/>
      <c r="G56" s="215"/>
      <c r="H56" s="246"/>
      <c r="I56" s="245"/>
      <c r="J56" s="245"/>
      <c r="K56" s="245"/>
      <c r="L56" s="245"/>
      <c r="M56" s="245"/>
      <c r="N56" s="245"/>
      <c r="O56" s="245"/>
      <c r="P56" s="245"/>
      <c r="Q56"/>
      <c r="R56" s="210"/>
      <c r="S56" s="210"/>
      <c r="T56" s="211"/>
      <c r="U56" s="211"/>
      <c r="V56" s="211"/>
      <c r="W56" s="211"/>
      <c r="X56" s="213"/>
      <c r="Y56" s="213"/>
      <c r="Z56" s="213"/>
      <c r="AA56" s="213"/>
      <c r="AB56" s="213"/>
      <c r="AC56" s="213"/>
      <c r="AD56" s="213"/>
      <c r="AE56" s="213"/>
      <c r="AF56" s="213"/>
      <c r="AG56" s="213"/>
      <c r="AH56" s="213"/>
    </row>
    <row r="57" spans="1:34" s="243" customFormat="1" x14ac:dyDescent="0.2">
      <c r="A57" s="244"/>
      <c r="B57" s="224"/>
      <c r="C57" s="225"/>
      <c r="D57" s="215"/>
      <c r="E57" s="215"/>
      <c r="F57" s="245"/>
      <c r="G57" s="215"/>
      <c r="H57" s="246"/>
      <c r="I57" s="245"/>
      <c r="J57" s="245"/>
      <c r="K57" s="245"/>
      <c r="L57" s="245"/>
      <c r="M57" s="245"/>
      <c r="N57" s="245"/>
      <c r="O57" s="245"/>
      <c r="P57" s="245"/>
      <c r="Q57"/>
      <c r="R57" s="210"/>
      <c r="S57" s="210"/>
      <c r="T57" s="211"/>
      <c r="U57" s="211"/>
      <c r="V57" s="211"/>
      <c r="W57" s="211"/>
      <c r="X57" s="213"/>
      <c r="Y57" s="213"/>
      <c r="Z57" s="213"/>
      <c r="AA57" s="213"/>
      <c r="AB57" s="213"/>
      <c r="AC57" s="213"/>
      <c r="AD57" s="213"/>
      <c r="AE57" s="213"/>
      <c r="AF57" s="213"/>
      <c r="AG57" s="213"/>
      <c r="AH57" s="213"/>
    </row>
    <row r="58" spans="1:34" s="243" customFormat="1" x14ac:dyDescent="0.2">
      <c r="A58" s="244"/>
      <c r="B58" s="224"/>
      <c r="C58" s="225"/>
      <c r="D58" s="215"/>
      <c r="E58" s="215"/>
      <c r="F58" s="245"/>
      <c r="G58" s="215"/>
      <c r="H58" s="246"/>
      <c r="I58" s="245"/>
      <c r="J58" s="245"/>
      <c r="K58" s="245"/>
      <c r="L58" s="245"/>
      <c r="M58" s="245"/>
      <c r="N58" s="245"/>
      <c r="O58" s="245"/>
      <c r="P58" s="245"/>
      <c r="Q58"/>
      <c r="R58" s="210"/>
      <c r="S58" s="210"/>
      <c r="T58" s="211"/>
      <c r="U58" s="211"/>
      <c r="V58" s="211"/>
      <c r="W58" s="211"/>
      <c r="X58" s="213"/>
      <c r="Y58" s="213"/>
      <c r="Z58" s="213"/>
      <c r="AA58" s="213"/>
      <c r="AB58" s="213"/>
      <c r="AC58" s="213"/>
      <c r="AD58" s="213"/>
      <c r="AE58" s="213"/>
      <c r="AF58" s="213"/>
      <c r="AG58" s="213"/>
      <c r="AH58" s="213"/>
    </row>
  </sheetData>
  <mergeCells count="25">
    <mergeCell ref="L3:L4"/>
    <mergeCell ref="M3:M4"/>
    <mergeCell ref="N3:O4"/>
    <mergeCell ref="R4:W4"/>
    <mergeCell ref="B2:O2"/>
    <mergeCell ref="P2:P3"/>
    <mergeCell ref="D3:E5"/>
    <mergeCell ref="B3:C5"/>
    <mergeCell ref="F3:G5"/>
    <mergeCell ref="H3:H5"/>
    <mergeCell ref="I3:I4"/>
    <mergeCell ref="J3:J4"/>
    <mergeCell ref="K3:K4"/>
    <mergeCell ref="D15:D17"/>
    <mergeCell ref="A6:A17"/>
    <mergeCell ref="D6:D8"/>
    <mergeCell ref="B6:B17"/>
    <mergeCell ref="D9:D11"/>
    <mergeCell ref="D12:D14"/>
    <mergeCell ref="A18:A29"/>
    <mergeCell ref="D18:D20"/>
    <mergeCell ref="B18:B29"/>
    <mergeCell ref="D21:D23"/>
    <mergeCell ref="D24:D26"/>
    <mergeCell ref="D27:D29"/>
  </mergeCells>
  <pageMargins left="0.7" right="0.7" top="0.75" bottom="0.75" header="0.3" footer="0.3"/>
  <pageSetup orientation="portrait" horizontalDpi="0" verticalDpi="0"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T24"/>
  <sheetViews>
    <sheetView workbookViewId="0">
      <selection activeCell="I28" sqref="I28"/>
    </sheetView>
  </sheetViews>
  <sheetFormatPr defaultRowHeight="12.75" x14ac:dyDescent="0.2"/>
  <cols>
    <col min="6" max="7" width="9.7109375" bestFit="1" customWidth="1"/>
    <col min="11" max="12" width="13.42578125" bestFit="1" customWidth="1"/>
    <col min="15" max="15" width="5" bestFit="1" customWidth="1"/>
    <col min="16" max="16" width="4.5703125" bestFit="1" customWidth="1"/>
    <col min="17" max="17" width="2.7109375" bestFit="1" customWidth="1"/>
    <col min="18" max="18" width="6.5703125" bestFit="1" customWidth="1"/>
    <col min="19" max="19" width="5" bestFit="1" customWidth="1"/>
  </cols>
  <sheetData>
    <row r="2" spans="1:20" x14ac:dyDescent="0.2">
      <c r="A2" t="s">
        <v>988</v>
      </c>
      <c r="C2" s="79" t="s">
        <v>983</v>
      </c>
      <c r="D2" s="78"/>
      <c r="E2" s="499" t="s">
        <v>1030</v>
      </c>
      <c r="F2" s="499"/>
      <c r="G2" s="499"/>
      <c r="H2" s="499"/>
      <c r="I2" s="499"/>
      <c r="J2" s="499"/>
      <c r="K2" s="499"/>
      <c r="L2" s="499"/>
      <c r="M2" s="499"/>
      <c r="O2" s="499" t="s">
        <v>1001</v>
      </c>
      <c r="P2" s="499"/>
      <c r="Q2" s="499"/>
      <c r="R2" s="499"/>
      <c r="S2" s="499"/>
    </row>
    <row r="3" spans="1:20" ht="15.75" x14ac:dyDescent="0.2">
      <c r="A3">
        <v>1</v>
      </c>
      <c r="B3" s="82"/>
      <c r="C3" s="84" t="s">
        <v>997</v>
      </c>
      <c r="D3" s="85" t="s">
        <v>984</v>
      </c>
      <c r="E3" s="88" t="s">
        <v>989</v>
      </c>
      <c r="F3" s="88" t="s">
        <v>991</v>
      </c>
      <c r="G3" s="78">
        <v>0</v>
      </c>
      <c r="H3" s="78">
        <v>0</v>
      </c>
      <c r="I3" t="s">
        <v>985</v>
      </c>
      <c r="J3">
        <v>0</v>
      </c>
      <c r="K3">
        <v>0</v>
      </c>
      <c r="L3">
        <v>0</v>
      </c>
      <c r="M3">
        <v>0</v>
      </c>
      <c r="N3" s="83" t="s">
        <v>987</v>
      </c>
      <c r="O3" s="84" t="s">
        <v>1002</v>
      </c>
      <c r="P3" s="84" t="s">
        <v>1003</v>
      </c>
      <c r="Q3" t="s">
        <v>985</v>
      </c>
      <c r="R3" s="84" t="s">
        <v>1004</v>
      </c>
      <c r="S3" s="84" t="s">
        <v>1005</v>
      </c>
      <c r="T3" s="81"/>
    </row>
    <row r="4" spans="1:20" ht="15.75" x14ac:dyDescent="0.2">
      <c r="A4">
        <v>2</v>
      </c>
      <c r="B4" s="82"/>
      <c r="C4" s="84" t="s">
        <v>998</v>
      </c>
      <c r="D4" s="86"/>
      <c r="E4" s="88" t="s">
        <v>990</v>
      </c>
      <c r="F4" s="88" t="s">
        <v>992</v>
      </c>
      <c r="G4" s="88" t="s">
        <v>991</v>
      </c>
      <c r="H4" s="88">
        <v>0</v>
      </c>
      <c r="I4" t="s">
        <v>985</v>
      </c>
      <c r="J4">
        <v>0</v>
      </c>
      <c r="K4">
        <v>0</v>
      </c>
      <c r="L4">
        <v>0</v>
      </c>
      <c r="M4">
        <v>0</v>
      </c>
      <c r="N4" s="87"/>
      <c r="O4" s="500"/>
      <c r="P4" s="500"/>
      <c r="Q4" s="500"/>
      <c r="R4" s="500"/>
      <c r="S4" s="500"/>
    </row>
    <row r="5" spans="1:20" ht="15.75" x14ac:dyDescent="0.2">
      <c r="A5">
        <v>3</v>
      </c>
      <c r="B5" s="82"/>
      <c r="C5" s="84" t="s">
        <v>1006</v>
      </c>
      <c r="D5" s="86"/>
      <c r="E5" s="88">
        <v>0</v>
      </c>
      <c r="F5" s="88" t="s">
        <v>990</v>
      </c>
      <c r="G5" s="88" t="s">
        <v>992</v>
      </c>
      <c r="H5" s="88" t="s">
        <v>991</v>
      </c>
      <c r="I5" t="s">
        <v>985</v>
      </c>
      <c r="J5">
        <v>0</v>
      </c>
      <c r="K5">
        <v>0</v>
      </c>
      <c r="L5">
        <v>0</v>
      </c>
      <c r="M5">
        <v>0</v>
      </c>
      <c r="N5" s="87"/>
      <c r="O5" s="90"/>
      <c r="P5" s="90"/>
      <c r="Q5" s="90"/>
      <c r="R5" s="90"/>
      <c r="S5" s="90"/>
    </row>
    <row r="6" spans="1:20" x14ac:dyDescent="0.2">
      <c r="A6" t="s">
        <v>985</v>
      </c>
      <c r="B6" s="82"/>
      <c r="C6" t="s">
        <v>985</v>
      </c>
      <c r="D6" s="86"/>
      <c r="E6" t="s">
        <v>985</v>
      </c>
      <c r="F6" t="s">
        <v>985</v>
      </c>
      <c r="G6" t="s">
        <v>985</v>
      </c>
      <c r="H6" t="s">
        <v>985</v>
      </c>
      <c r="I6" t="s">
        <v>985</v>
      </c>
      <c r="J6" t="s">
        <v>985</v>
      </c>
      <c r="K6" t="s">
        <v>985</v>
      </c>
      <c r="L6" t="s">
        <v>985</v>
      </c>
      <c r="M6" t="s">
        <v>985</v>
      </c>
      <c r="N6" s="87"/>
    </row>
    <row r="7" spans="1:20" ht="15.75" x14ac:dyDescent="0.2">
      <c r="A7" t="s">
        <v>1038</v>
      </c>
      <c r="B7" s="82"/>
      <c r="C7" t="s">
        <v>1010</v>
      </c>
      <c r="D7" s="86"/>
      <c r="E7">
        <v>0</v>
      </c>
      <c r="F7">
        <v>0</v>
      </c>
      <c r="G7">
        <v>0</v>
      </c>
      <c r="H7">
        <v>0</v>
      </c>
      <c r="I7" t="s">
        <v>985</v>
      </c>
      <c r="J7" s="78" t="s">
        <v>1007</v>
      </c>
      <c r="K7" s="78" t="s">
        <v>1008</v>
      </c>
      <c r="L7" s="78" t="s">
        <v>1009</v>
      </c>
      <c r="M7">
        <v>0</v>
      </c>
      <c r="N7" s="87"/>
    </row>
    <row r="8" spans="1:20" ht="15.75" x14ac:dyDescent="0.2">
      <c r="A8" t="s">
        <v>986</v>
      </c>
      <c r="B8" s="82"/>
      <c r="C8" s="84" t="s">
        <v>999</v>
      </c>
      <c r="D8" s="86"/>
      <c r="E8">
        <v>0</v>
      </c>
      <c r="F8">
        <v>0</v>
      </c>
      <c r="G8">
        <v>0</v>
      </c>
      <c r="H8">
        <v>0</v>
      </c>
      <c r="I8" t="s">
        <v>985</v>
      </c>
      <c r="J8">
        <v>0</v>
      </c>
      <c r="K8" s="88" t="s">
        <v>993</v>
      </c>
      <c r="L8" s="88" t="s">
        <v>994</v>
      </c>
      <c r="M8" s="88" t="s">
        <v>995</v>
      </c>
      <c r="N8" s="87"/>
    </row>
    <row r="9" spans="1:20" ht="15.75" x14ac:dyDescent="0.2">
      <c r="A9" t="s">
        <v>64</v>
      </c>
      <c r="B9" s="82"/>
      <c r="C9" s="89" t="s">
        <v>1000</v>
      </c>
      <c r="D9" s="86"/>
      <c r="E9">
        <v>0</v>
      </c>
      <c r="F9">
        <v>0</v>
      </c>
      <c r="G9">
        <v>0</v>
      </c>
      <c r="H9">
        <v>0</v>
      </c>
      <c r="I9" t="s">
        <v>985</v>
      </c>
      <c r="J9">
        <v>0</v>
      </c>
      <c r="K9">
        <v>0</v>
      </c>
      <c r="L9" s="88" t="s">
        <v>995</v>
      </c>
      <c r="M9" s="88" t="s">
        <v>996</v>
      </c>
      <c r="N9" s="87"/>
    </row>
    <row r="10" spans="1:20" x14ac:dyDescent="0.2">
      <c r="C10" s="80"/>
      <c r="E10" s="500"/>
      <c r="F10" s="500"/>
      <c r="G10" s="500"/>
      <c r="H10" s="500"/>
      <c r="I10" s="500"/>
      <c r="J10" s="500"/>
      <c r="K10" s="500"/>
      <c r="L10" s="500"/>
      <c r="M10" s="500"/>
    </row>
    <row r="12" spans="1:20" ht="15.75" x14ac:dyDescent="0.2">
      <c r="C12" s="91" t="s">
        <v>1011</v>
      </c>
      <c r="E12" s="79" t="s">
        <v>1015</v>
      </c>
      <c r="G12" s="79" t="s">
        <v>1020</v>
      </c>
      <c r="I12" s="79" t="s">
        <v>1024</v>
      </c>
    </row>
    <row r="13" spans="1:20" ht="15.75" x14ac:dyDescent="0.2">
      <c r="B13" s="82"/>
      <c r="C13" t="s">
        <v>1012</v>
      </c>
      <c r="D13" s="85" t="s">
        <v>984</v>
      </c>
      <c r="E13" t="s">
        <v>1016</v>
      </c>
      <c r="F13" s="83" t="s">
        <v>1019</v>
      </c>
      <c r="G13" t="s">
        <v>1021</v>
      </c>
      <c r="H13" s="83" t="s">
        <v>1019</v>
      </c>
      <c r="I13" t="s">
        <v>1025</v>
      </c>
      <c r="J13" s="87"/>
    </row>
    <row r="14" spans="1:20" ht="15.75" x14ac:dyDescent="0.2">
      <c r="B14" s="82"/>
      <c r="C14" t="s">
        <v>1013</v>
      </c>
      <c r="D14" s="86"/>
      <c r="E14" t="s">
        <v>1017</v>
      </c>
      <c r="F14" s="86"/>
      <c r="G14" t="s">
        <v>1022</v>
      </c>
      <c r="H14" s="86"/>
      <c r="I14" t="s">
        <v>1026</v>
      </c>
      <c r="J14" s="87"/>
    </row>
    <row r="15" spans="1:20" x14ac:dyDescent="0.2">
      <c r="B15" s="82"/>
      <c r="C15" t="s">
        <v>985</v>
      </c>
      <c r="D15" s="86"/>
      <c r="E15" t="s">
        <v>985</v>
      </c>
      <c r="F15" s="86"/>
      <c r="G15" t="s">
        <v>985</v>
      </c>
      <c r="H15" s="86"/>
      <c r="I15" t="s">
        <v>985</v>
      </c>
      <c r="J15" s="87"/>
    </row>
    <row r="16" spans="1:20" ht="15.75" x14ac:dyDescent="0.2">
      <c r="B16" s="82"/>
      <c r="C16" t="s">
        <v>1014</v>
      </c>
      <c r="D16" s="86"/>
      <c r="E16" t="s">
        <v>1018</v>
      </c>
      <c r="F16" s="86"/>
      <c r="G16" t="s">
        <v>1023</v>
      </c>
      <c r="H16" s="86"/>
      <c r="I16" t="s">
        <v>1027</v>
      </c>
      <c r="J16" s="87"/>
    </row>
    <row r="17" spans="2:9" x14ac:dyDescent="0.2">
      <c r="C17" s="80"/>
      <c r="E17" s="80"/>
      <c r="G17" s="80"/>
      <c r="I17" s="80"/>
    </row>
    <row r="18" spans="2:9" ht="15.75" x14ac:dyDescent="0.2">
      <c r="C18" s="107" t="s">
        <v>983</v>
      </c>
      <c r="D18" s="121"/>
      <c r="E18" s="106" t="s">
        <v>1029</v>
      </c>
      <c r="F18" s="121"/>
      <c r="G18" s="501" t="s">
        <v>1028</v>
      </c>
      <c r="H18" s="501"/>
    </row>
    <row r="19" spans="2:9" ht="15.75" x14ac:dyDescent="0.2">
      <c r="B19" s="82"/>
      <c r="C19" s="122" t="s">
        <v>997</v>
      </c>
      <c r="D19" s="123" t="s">
        <v>984</v>
      </c>
      <c r="E19" s="122" t="s">
        <v>1031</v>
      </c>
      <c r="F19" s="124" t="s">
        <v>1019</v>
      </c>
      <c r="G19" s="502" t="s">
        <v>1035</v>
      </c>
      <c r="H19" s="503"/>
      <c r="I19" s="81"/>
    </row>
    <row r="20" spans="2:9" ht="15.75" x14ac:dyDescent="0.2">
      <c r="B20" s="82"/>
      <c r="C20" s="122" t="s">
        <v>998</v>
      </c>
      <c r="D20" s="125"/>
      <c r="E20" s="126" t="s">
        <v>1034</v>
      </c>
      <c r="F20" s="125"/>
      <c r="G20" s="504" t="s">
        <v>1036</v>
      </c>
      <c r="H20" s="503"/>
      <c r="I20" s="81"/>
    </row>
    <row r="21" spans="2:9" x14ac:dyDescent="0.2">
      <c r="B21" s="82"/>
      <c r="C21" s="126" t="s">
        <v>985</v>
      </c>
      <c r="D21" s="125"/>
      <c r="E21" s="126" t="s">
        <v>985</v>
      </c>
      <c r="F21" s="125"/>
      <c r="G21" s="504" t="s">
        <v>985</v>
      </c>
      <c r="H21" s="503"/>
      <c r="I21" s="81"/>
    </row>
    <row r="22" spans="2:9" ht="15.75" x14ac:dyDescent="0.2">
      <c r="B22" s="82"/>
      <c r="C22" s="122" t="s">
        <v>999</v>
      </c>
      <c r="D22" s="125"/>
      <c r="E22" s="126" t="s">
        <v>1033</v>
      </c>
      <c r="F22" s="125"/>
      <c r="G22" s="504" t="s">
        <v>1037</v>
      </c>
      <c r="H22" s="503"/>
      <c r="I22" s="81"/>
    </row>
    <row r="23" spans="2:9" ht="15.75" x14ac:dyDescent="0.2">
      <c r="B23" s="82"/>
      <c r="C23" s="108" t="s">
        <v>1000</v>
      </c>
      <c r="D23" s="125"/>
      <c r="E23" s="126" t="s">
        <v>1032</v>
      </c>
      <c r="F23" s="125"/>
      <c r="G23" s="504">
        <v>0</v>
      </c>
      <c r="H23" s="503"/>
      <c r="I23" s="81"/>
    </row>
    <row r="24" spans="2:9" x14ac:dyDescent="0.2">
      <c r="C24" s="80"/>
      <c r="E24" s="80"/>
      <c r="G24" s="80"/>
      <c r="H24" s="80"/>
    </row>
  </sheetData>
  <mergeCells count="10">
    <mergeCell ref="G19:H19"/>
    <mergeCell ref="G20:H20"/>
    <mergeCell ref="G21:H21"/>
    <mergeCell ref="G22:H22"/>
    <mergeCell ref="G23:H23"/>
    <mergeCell ref="E2:M2"/>
    <mergeCell ref="E10:M10"/>
    <mergeCell ref="O2:S2"/>
    <mergeCell ref="O4:S4"/>
    <mergeCell ref="G18:H18"/>
  </mergeCells>
  <pageMargins left="0.7" right="0.7" top="0.75" bottom="0.75" header="0.3" footer="0.3"/>
  <pageSetup orientation="portrait" horizontalDpi="4294967293" verticalDpi="4294967293"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E73"/>
  <sheetViews>
    <sheetView topLeftCell="B1" workbookViewId="0">
      <selection activeCell="D33" sqref="D33"/>
    </sheetView>
  </sheetViews>
  <sheetFormatPr defaultRowHeight="12.75" x14ac:dyDescent="0.2"/>
  <cols>
    <col min="1" max="1" width="2.7109375" style="110" customWidth="1"/>
    <col min="2" max="2" width="15.5703125" style="111" bestFit="1" customWidth="1"/>
    <col min="3" max="3" width="25.85546875" style="110" bestFit="1" customWidth="1"/>
    <col min="4" max="4" width="25.42578125" style="112" customWidth="1"/>
    <col min="5" max="5" width="18.85546875" style="112" bestFit="1" customWidth="1"/>
    <col min="6" max="16384" width="9.140625" style="110"/>
  </cols>
  <sheetData>
    <row r="2" spans="2:5" x14ac:dyDescent="0.2">
      <c r="B2" s="505" t="s">
        <v>49</v>
      </c>
      <c r="C2" s="110" t="s">
        <v>15</v>
      </c>
      <c r="D2" s="112" t="s">
        <v>24</v>
      </c>
    </row>
    <row r="3" spans="2:5" x14ac:dyDescent="0.2">
      <c r="B3" s="505"/>
      <c r="C3" s="110" t="s">
        <v>30</v>
      </c>
      <c r="D3" s="112" t="s">
        <v>20</v>
      </c>
    </row>
    <row r="4" spans="2:5" x14ac:dyDescent="0.2">
      <c r="B4" s="505"/>
      <c r="C4" s="110" t="s">
        <v>16</v>
      </c>
      <c r="D4" s="112" t="s">
        <v>23</v>
      </c>
      <c r="E4" s="112" t="s">
        <v>33</v>
      </c>
    </row>
    <row r="5" spans="2:5" x14ac:dyDescent="0.2">
      <c r="B5" s="505"/>
      <c r="C5" s="110" t="s">
        <v>11</v>
      </c>
      <c r="D5" s="112" t="s">
        <v>25</v>
      </c>
    </row>
    <row r="6" spans="2:5" x14ac:dyDescent="0.2">
      <c r="B6" s="505"/>
      <c r="C6" s="110" t="s">
        <v>31</v>
      </c>
      <c r="D6" s="112" t="s">
        <v>32</v>
      </c>
    </row>
    <row r="7" spans="2:5" x14ac:dyDescent="0.2">
      <c r="B7" s="505"/>
      <c r="C7" s="110" t="s">
        <v>34</v>
      </c>
    </row>
    <row r="8" spans="2:5" x14ac:dyDescent="0.2">
      <c r="B8" s="505"/>
      <c r="C8" s="110" t="s">
        <v>12</v>
      </c>
      <c r="D8" s="112" t="s">
        <v>13</v>
      </c>
    </row>
    <row r="9" spans="2:5" x14ac:dyDescent="0.2">
      <c r="B9" s="505"/>
      <c r="C9" s="110" t="s">
        <v>36</v>
      </c>
      <c r="D9" s="112" t="s">
        <v>26</v>
      </c>
    </row>
    <row r="10" spans="2:5" x14ac:dyDescent="0.2">
      <c r="B10" s="505"/>
      <c r="C10" s="110" t="s">
        <v>14</v>
      </c>
      <c r="D10" s="112" t="s">
        <v>64</v>
      </c>
      <c r="E10" s="112" t="s">
        <v>65</v>
      </c>
    </row>
    <row r="11" spans="2:5" x14ac:dyDescent="0.2">
      <c r="B11" s="505"/>
      <c r="C11" s="110" t="s">
        <v>35</v>
      </c>
    </row>
    <row r="12" spans="2:5" x14ac:dyDescent="0.2">
      <c r="B12" s="505"/>
      <c r="E12" s="110"/>
    </row>
    <row r="13" spans="2:5" x14ac:dyDescent="0.2">
      <c r="B13" s="505" t="s">
        <v>48</v>
      </c>
      <c r="C13" s="506" t="s">
        <v>55</v>
      </c>
      <c r="D13" s="112" t="s">
        <v>56</v>
      </c>
    </row>
    <row r="14" spans="2:5" x14ac:dyDescent="0.2">
      <c r="B14" s="505"/>
      <c r="C14" s="506"/>
      <c r="D14" s="112" t="s">
        <v>57</v>
      </c>
    </row>
    <row r="15" spans="2:5" x14ac:dyDescent="0.2">
      <c r="B15" s="505"/>
      <c r="C15" s="506"/>
      <c r="D15" s="112" t="s">
        <v>58</v>
      </c>
    </row>
    <row r="16" spans="2:5" x14ac:dyDescent="0.2">
      <c r="B16" s="505"/>
      <c r="C16" s="506"/>
      <c r="D16" s="112" t="s">
        <v>59</v>
      </c>
    </row>
    <row r="17" spans="2:5" x14ac:dyDescent="0.2">
      <c r="B17" s="505"/>
      <c r="C17" s="506"/>
      <c r="D17" s="112" t="s">
        <v>60</v>
      </c>
    </row>
    <row r="18" spans="2:5" x14ac:dyDescent="0.2">
      <c r="B18" s="505"/>
      <c r="C18" s="506"/>
      <c r="D18" s="112" t="s">
        <v>53</v>
      </c>
    </row>
    <row r="19" spans="2:5" x14ac:dyDescent="0.2">
      <c r="B19" s="505"/>
      <c r="C19" s="506" t="s">
        <v>50</v>
      </c>
      <c r="D19" s="513" t="s">
        <v>38</v>
      </c>
      <c r="E19" s="112" t="s">
        <v>69</v>
      </c>
    </row>
    <row r="20" spans="2:5" x14ac:dyDescent="0.2">
      <c r="B20" s="505"/>
      <c r="C20" s="506"/>
      <c r="D20" s="513"/>
      <c r="E20" s="112" t="s">
        <v>70</v>
      </c>
    </row>
    <row r="21" spans="2:5" x14ac:dyDescent="0.2">
      <c r="B21" s="505"/>
      <c r="C21" s="506"/>
      <c r="D21" s="163" t="s">
        <v>40</v>
      </c>
      <c r="E21" s="112" t="s">
        <v>63</v>
      </c>
    </row>
    <row r="22" spans="2:5" x14ac:dyDescent="0.2">
      <c r="B22" s="505"/>
      <c r="C22" s="506"/>
      <c r="D22" s="163" t="s">
        <v>39</v>
      </c>
    </row>
    <row r="23" spans="2:5" x14ac:dyDescent="0.2">
      <c r="B23" s="505"/>
      <c r="C23" s="506" t="s">
        <v>47</v>
      </c>
      <c r="D23" s="112" t="s">
        <v>51</v>
      </c>
    </row>
    <row r="24" spans="2:5" x14ac:dyDescent="0.2">
      <c r="B24" s="505"/>
      <c r="C24" s="506"/>
      <c r="D24" s="112" t="s">
        <v>52</v>
      </c>
    </row>
    <row r="25" spans="2:5" x14ac:dyDescent="0.2">
      <c r="B25" s="505"/>
      <c r="C25" s="506"/>
      <c r="D25" s="112" t="s">
        <v>54</v>
      </c>
    </row>
    <row r="26" spans="2:5" x14ac:dyDescent="0.2">
      <c r="B26" s="505"/>
      <c r="C26" s="506"/>
      <c r="D26" s="112" t="s">
        <v>71</v>
      </c>
    </row>
    <row r="27" spans="2:5" x14ac:dyDescent="0.2">
      <c r="B27" s="505"/>
      <c r="C27" s="506"/>
      <c r="D27" s="112" t="s">
        <v>53</v>
      </c>
    </row>
    <row r="28" spans="2:5" x14ac:dyDescent="0.2">
      <c r="B28" s="505" t="s">
        <v>27</v>
      </c>
      <c r="C28" s="506" t="s">
        <v>6</v>
      </c>
      <c r="D28" s="112" t="s">
        <v>17</v>
      </c>
    </row>
    <row r="29" spans="2:5" x14ac:dyDescent="0.2">
      <c r="B29" s="505"/>
      <c r="C29" s="506"/>
      <c r="D29" s="112" t="s">
        <v>18</v>
      </c>
    </row>
    <row r="30" spans="2:5" x14ac:dyDescent="0.2">
      <c r="B30" s="505"/>
      <c r="C30" s="506"/>
      <c r="D30" s="315" t="s">
        <v>1530</v>
      </c>
    </row>
    <row r="31" spans="2:5" x14ac:dyDescent="0.2">
      <c r="B31" s="505"/>
      <c r="C31" s="506" t="s">
        <v>7</v>
      </c>
      <c r="D31" s="112" t="s">
        <v>19</v>
      </c>
    </row>
    <row r="32" spans="2:5" x14ac:dyDescent="0.2">
      <c r="B32" s="505"/>
      <c r="C32" s="506"/>
      <c r="D32" s="315" t="s">
        <v>1531</v>
      </c>
    </row>
    <row r="33" spans="2:5" x14ac:dyDescent="0.2">
      <c r="B33" s="505"/>
      <c r="C33" s="110" t="s">
        <v>22</v>
      </c>
      <c r="D33" s="315" t="s">
        <v>85</v>
      </c>
    </row>
    <row r="34" spans="2:5" x14ac:dyDescent="0.2">
      <c r="B34" s="505"/>
      <c r="C34" s="506" t="s">
        <v>8</v>
      </c>
      <c r="D34" s="112" t="s">
        <v>13</v>
      </c>
    </row>
    <row r="35" spans="2:5" x14ac:dyDescent="0.2">
      <c r="B35" s="505"/>
      <c r="C35" s="506"/>
      <c r="D35" s="112" t="s">
        <v>20</v>
      </c>
    </row>
    <row r="36" spans="2:5" x14ac:dyDescent="0.2">
      <c r="B36" s="505"/>
      <c r="C36" s="506"/>
      <c r="D36" s="112" t="s">
        <v>21</v>
      </c>
    </row>
    <row r="37" spans="2:5" s="113" customFormat="1" x14ac:dyDescent="0.2">
      <c r="B37" s="508" t="s">
        <v>1097</v>
      </c>
      <c r="C37" s="509" t="s">
        <v>6</v>
      </c>
      <c r="D37" s="164" t="s">
        <v>1099</v>
      </c>
      <c r="E37" s="112"/>
    </row>
    <row r="38" spans="2:5" s="113" customFormat="1" x14ac:dyDescent="0.2">
      <c r="B38" s="505"/>
      <c r="C38" s="509"/>
      <c r="D38" s="164" t="s">
        <v>1100</v>
      </c>
      <c r="E38" s="112"/>
    </row>
    <row r="39" spans="2:5" s="113" customFormat="1" x14ac:dyDescent="0.2">
      <c r="B39" s="505"/>
      <c r="C39" s="509" t="s">
        <v>7</v>
      </c>
      <c r="D39" s="164" t="s">
        <v>1101</v>
      </c>
      <c r="E39" s="112"/>
    </row>
    <row r="40" spans="2:5" s="113" customFormat="1" x14ac:dyDescent="0.2">
      <c r="B40" s="505"/>
      <c r="C40" s="509"/>
      <c r="D40" s="164" t="s">
        <v>1102</v>
      </c>
      <c r="E40" s="112"/>
    </row>
    <row r="41" spans="2:5" s="113" customFormat="1" x14ac:dyDescent="0.2">
      <c r="B41" s="505"/>
      <c r="C41" s="509"/>
      <c r="D41" s="164" t="s">
        <v>1103</v>
      </c>
      <c r="E41" s="112"/>
    </row>
    <row r="42" spans="2:5" s="113" customFormat="1" x14ac:dyDescent="0.2">
      <c r="B42" s="505"/>
      <c r="C42" s="509"/>
      <c r="D42" s="164" t="s">
        <v>1104</v>
      </c>
      <c r="E42" s="112"/>
    </row>
    <row r="43" spans="2:5" s="113" customFormat="1" x14ac:dyDescent="0.2">
      <c r="B43" s="505"/>
      <c r="D43" s="112"/>
      <c r="E43" s="112"/>
    </row>
    <row r="44" spans="2:5" s="113" customFormat="1" x14ac:dyDescent="0.2">
      <c r="B44" s="508" t="s">
        <v>1098</v>
      </c>
      <c r="C44" s="510" t="s">
        <v>1532</v>
      </c>
      <c r="D44" s="510"/>
    </row>
    <row r="45" spans="2:5" s="312" customFormat="1" x14ac:dyDescent="0.2">
      <c r="B45" s="508"/>
      <c r="C45" s="313" t="s">
        <v>1521</v>
      </c>
      <c r="D45" s="164" t="s">
        <v>1539</v>
      </c>
      <c r="E45" s="314"/>
    </row>
    <row r="46" spans="2:5" s="312" customFormat="1" x14ac:dyDescent="0.2">
      <c r="B46" s="508"/>
      <c r="C46" s="313" t="s">
        <v>1522</v>
      </c>
      <c r="D46" s="164" t="s">
        <v>1535</v>
      </c>
      <c r="E46" s="314"/>
    </row>
    <row r="47" spans="2:5" s="312" customFormat="1" x14ac:dyDescent="0.2">
      <c r="B47" s="508"/>
      <c r="C47" s="313" t="s">
        <v>1523</v>
      </c>
      <c r="D47" s="164" t="s">
        <v>1535</v>
      </c>
      <c r="E47" s="314"/>
    </row>
    <row r="48" spans="2:5" s="312" customFormat="1" x14ac:dyDescent="0.2">
      <c r="B48" s="508"/>
      <c r="C48" s="313" t="s">
        <v>1524</v>
      </c>
      <c r="D48" s="164" t="s">
        <v>1538</v>
      </c>
      <c r="E48" s="314"/>
    </row>
    <row r="49" spans="2:5" s="312" customFormat="1" x14ac:dyDescent="0.2">
      <c r="B49" s="508"/>
      <c r="C49" s="313" t="s">
        <v>1525</v>
      </c>
      <c r="D49" s="164" t="s">
        <v>1535</v>
      </c>
      <c r="E49" s="314"/>
    </row>
    <row r="50" spans="2:5" s="312" customFormat="1" x14ac:dyDescent="0.2">
      <c r="B50" s="508"/>
      <c r="C50" s="313" t="s">
        <v>1526</v>
      </c>
      <c r="D50" s="164" t="s">
        <v>1537</v>
      </c>
      <c r="E50" s="314"/>
    </row>
    <row r="51" spans="2:5" s="312" customFormat="1" x14ac:dyDescent="0.2">
      <c r="B51" s="508"/>
      <c r="C51" s="313" t="s">
        <v>1527</v>
      </c>
      <c r="D51" s="164" t="s">
        <v>1535</v>
      </c>
      <c r="E51" s="314"/>
    </row>
    <row r="52" spans="2:5" s="312" customFormat="1" x14ac:dyDescent="0.2">
      <c r="B52" s="508"/>
      <c r="C52" s="313" t="s">
        <v>1528</v>
      </c>
      <c r="D52" s="164" t="s">
        <v>1536</v>
      </c>
      <c r="E52" s="314"/>
    </row>
    <row r="53" spans="2:5" s="312" customFormat="1" x14ac:dyDescent="0.2">
      <c r="B53" s="508"/>
      <c r="C53" s="509" t="s">
        <v>1529</v>
      </c>
      <c r="D53" s="509"/>
      <c r="E53" s="314"/>
    </row>
    <row r="54" spans="2:5" s="312" customFormat="1" x14ac:dyDescent="0.2">
      <c r="B54" s="508"/>
      <c r="C54" s="510" t="s">
        <v>1533</v>
      </c>
      <c r="D54" s="510"/>
      <c r="E54" s="314"/>
    </row>
    <row r="55" spans="2:5" s="312" customFormat="1" x14ac:dyDescent="0.2">
      <c r="B55" s="508"/>
      <c r="C55" s="512" t="s">
        <v>1534</v>
      </c>
      <c r="D55" s="512"/>
      <c r="E55" s="314"/>
    </row>
    <row r="56" spans="2:5" s="312" customFormat="1" x14ac:dyDescent="0.2">
      <c r="B56" s="508"/>
      <c r="C56" s="512" t="s">
        <v>1540</v>
      </c>
      <c r="D56" s="512"/>
      <c r="E56" s="314"/>
    </row>
    <row r="57" spans="2:5" s="312" customFormat="1" x14ac:dyDescent="0.2">
      <c r="B57" s="508"/>
      <c r="C57" s="512" t="s">
        <v>1541</v>
      </c>
      <c r="D57" s="512"/>
      <c r="E57" s="314"/>
    </row>
    <row r="58" spans="2:5" s="312" customFormat="1" x14ac:dyDescent="0.2">
      <c r="B58" s="508"/>
      <c r="C58" s="512" t="s">
        <v>1542</v>
      </c>
      <c r="D58" s="512"/>
      <c r="E58" s="314"/>
    </row>
    <row r="59" spans="2:5" s="113" customFormat="1" x14ac:dyDescent="0.2">
      <c r="B59" s="505"/>
      <c r="C59" s="512" t="s">
        <v>1543</v>
      </c>
      <c r="D59" s="512"/>
      <c r="E59" s="164"/>
    </row>
    <row r="60" spans="2:5" x14ac:dyDescent="0.2">
      <c r="B60" s="505" t="s">
        <v>28</v>
      </c>
      <c r="C60" s="114" t="s">
        <v>9</v>
      </c>
      <c r="D60" s="511"/>
    </row>
    <row r="61" spans="2:5" x14ac:dyDescent="0.2">
      <c r="B61" s="505"/>
      <c r="C61" s="114" t="s">
        <v>10</v>
      </c>
      <c r="D61" s="511"/>
    </row>
    <row r="62" spans="2:5" x14ac:dyDescent="0.2">
      <c r="B62" s="505"/>
      <c r="C62" s="114" t="s">
        <v>29</v>
      </c>
      <c r="D62" s="511"/>
    </row>
    <row r="63" spans="2:5" ht="15.75" x14ac:dyDescent="0.2">
      <c r="B63" s="505" t="s">
        <v>61</v>
      </c>
      <c r="C63" s="114" t="s">
        <v>9</v>
      </c>
      <c r="D63" s="112" t="s">
        <v>72</v>
      </c>
    </row>
    <row r="64" spans="2:5" ht="15.75" x14ac:dyDescent="0.2">
      <c r="B64" s="505"/>
      <c r="C64" s="114" t="s">
        <v>10</v>
      </c>
      <c r="D64" s="112" t="s">
        <v>66</v>
      </c>
    </row>
    <row r="65" spans="2:4" ht="15.75" x14ac:dyDescent="0.2">
      <c r="B65" s="505"/>
      <c r="C65" s="114"/>
      <c r="D65" s="112" t="s">
        <v>67</v>
      </c>
    </row>
    <row r="66" spans="2:4" ht="15.75" x14ac:dyDescent="0.2">
      <c r="B66" s="505"/>
      <c r="C66" s="114" t="s">
        <v>29</v>
      </c>
      <c r="D66" s="112" t="s">
        <v>68</v>
      </c>
    </row>
    <row r="67" spans="2:4" ht="15.75" x14ac:dyDescent="0.2">
      <c r="B67" s="505" t="s">
        <v>62</v>
      </c>
      <c r="C67" s="507" t="s">
        <v>38</v>
      </c>
      <c r="D67" s="112" t="s">
        <v>73</v>
      </c>
    </row>
    <row r="68" spans="2:4" ht="15.75" x14ac:dyDescent="0.2">
      <c r="B68" s="505"/>
      <c r="C68" s="507"/>
      <c r="D68" s="112" t="s">
        <v>74</v>
      </c>
    </row>
    <row r="69" spans="2:4" ht="15.75" x14ac:dyDescent="0.2">
      <c r="B69" s="505"/>
      <c r="C69" s="114" t="s">
        <v>40</v>
      </c>
      <c r="D69" s="112" t="s">
        <v>75</v>
      </c>
    </row>
    <row r="70" spans="2:4" x14ac:dyDescent="0.2">
      <c r="B70" s="505"/>
      <c r="C70" s="114" t="s">
        <v>10</v>
      </c>
    </row>
    <row r="71" spans="2:4" x14ac:dyDescent="0.2">
      <c r="B71" s="111" t="s">
        <v>41</v>
      </c>
    </row>
    <row r="72" spans="2:4" x14ac:dyDescent="0.2">
      <c r="B72" s="505" t="s">
        <v>42</v>
      </c>
      <c r="C72" s="110" t="s">
        <v>43</v>
      </c>
      <c r="D72" s="112" t="s">
        <v>46</v>
      </c>
    </row>
    <row r="73" spans="2:4" x14ac:dyDescent="0.2">
      <c r="B73" s="505"/>
      <c r="C73" s="110" t="s">
        <v>44</v>
      </c>
      <c r="D73" s="112" t="s">
        <v>45</v>
      </c>
    </row>
  </sheetData>
  <mergeCells count="28">
    <mergeCell ref="B60:B62"/>
    <mergeCell ref="B13:B27"/>
    <mergeCell ref="C55:D55"/>
    <mergeCell ref="C56:D56"/>
    <mergeCell ref="C57:D57"/>
    <mergeCell ref="C58:D58"/>
    <mergeCell ref="C59:D59"/>
    <mergeCell ref="C28:C30"/>
    <mergeCell ref="C34:C36"/>
    <mergeCell ref="B28:B36"/>
    <mergeCell ref="D19:D20"/>
    <mergeCell ref="C31:C32"/>
    <mergeCell ref="B2:B12"/>
    <mergeCell ref="C19:C22"/>
    <mergeCell ref="C23:C27"/>
    <mergeCell ref="C13:C18"/>
    <mergeCell ref="B72:B73"/>
    <mergeCell ref="B67:B70"/>
    <mergeCell ref="C67:C68"/>
    <mergeCell ref="B63:B66"/>
    <mergeCell ref="B37:B43"/>
    <mergeCell ref="B44:B59"/>
    <mergeCell ref="C37:C38"/>
    <mergeCell ref="C39:C42"/>
    <mergeCell ref="C44:D44"/>
    <mergeCell ref="C54:D54"/>
    <mergeCell ref="C53:D53"/>
    <mergeCell ref="D60:D62"/>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G17"/>
  <sheetViews>
    <sheetView workbookViewId="0">
      <selection activeCell="H35" sqref="H35"/>
    </sheetView>
  </sheetViews>
  <sheetFormatPr defaultRowHeight="12.75" x14ac:dyDescent="0.2"/>
  <cols>
    <col min="1" max="1" width="2.42578125" style="266" customWidth="1"/>
    <col min="2" max="2" width="17.5703125" style="266" customWidth="1"/>
    <col min="3" max="3" width="6.5703125" style="266" customWidth="1"/>
    <col min="4" max="4" width="7.140625" style="266" customWidth="1"/>
    <col min="5" max="7" width="16.5703125" style="266" customWidth="1"/>
    <col min="8" max="16384" width="9.140625" style="266"/>
  </cols>
  <sheetData>
    <row r="2" spans="2:7" s="265" customFormat="1" ht="40.5" customHeight="1" x14ac:dyDescent="0.3">
      <c r="B2" s="267" t="s">
        <v>1358</v>
      </c>
      <c r="C2" s="267" t="s">
        <v>1359</v>
      </c>
      <c r="D2" s="267" t="s">
        <v>1360</v>
      </c>
      <c r="E2" s="267" t="s">
        <v>1506</v>
      </c>
      <c r="F2" s="267" t="s">
        <v>1361</v>
      </c>
      <c r="G2" s="267" t="s">
        <v>1505</v>
      </c>
    </row>
    <row r="3" spans="2:7" x14ac:dyDescent="0.2">
      <c r="B3" s="269">
        <v>1</v>
      </c>
      <c r="C3" s="266">
        <v>9</v>
      </c>
      <c r="D3" s="266">
        <v>12</v>
      </c>
      <c r="E3" s="309">
        <v>71</v>
      </c>
      <c r="F3" s="309">
        <v>1625</v>
      </c>
      <c r="G3" s="309">
        <v>1220</v>
      </c>
    </row>
    <row r="4" spans="2:7" x14ac:dyDescent="0.2">
      <c r="B4" s="269">
        <v>2</v>
      </c>
      <c r="C4" s="266">
        <v>9</v>
      </c>
      <c r="D4" s="266">
        <v>12</v>
      </c>
      <c r="E4" s="309">
        <v>113</v>
      </c>
      <c r="F4" s="309">
        <v>2720</v>
      </c>
      <c r="G4" s="309">
        <v>2040</v>
      </c>
    </row>
    <row r="5" spans="2:7" x14ac:dyDescent="0.2">
      <c r="B5" s="269">
        <v>3</v>
      </c>
      <c r="C5" s="266">
        <v>9</v>
      </c>
      <c r="D5" s="266">
        <v>12</v>
      </c>
      <c r="E5" s="309">
        <v>107</v>
      </c>
      <c r="F5" s="309">
        <v>2720</v>
      </c>
      <c r="G5" s="309">
        <v>2040</v>
      </c>
    </row>
    <row r="6" spans="2:7" x14ac:dyDescent="0.2">
      <c r="B6" s="269">
        <v>4</v>
      </c>
      <c r="C6" s="266">
        <v>6</v>
      </c>
      <c r="D6" s="266">
        <v>12</v>
      </c>
      <c r="E6" s="309">
        <v>64</v>
      </c>
      <c r="F6" s="309">
        <v>1590</v>
      </c>
      <c r="G6" s="309">
        <v>795</v>
      </c>
    </row>
    <row r="7" spans="2:7" x14ac:dyDescent="0.2">
      <c r="B7" s="269">
        <v>5</v>
      </c>
      <c r="C7" s="266">
        <v>6</v>
      </c>
      <c r="D7" s="266">
        <v>12</v>
      </c>
      <c r="E7" s="309">
        <v>133</v>
      </c>
      <c r="F7" s="309">
        <v>2980</v>
      </c>
      <c r="G7" s="309">
        <v>1490</v>
      </c>
    </row>
    <row r="8" spans="2:7" x14ac:dyDescent="0.2">
      <c r="B8" s="269">
        <v>6</v>
      </c>
      <c r="C8" s="266">
        <v>9</v>
      </c>
      <c r="D8" s="266">
        <v>12</v>
      </c>
      <c r="E8" s="309">
        <v>110</v>
      </c>
      <c r="F8" s="309">
        <v>2920</v>
      </c>
      <c r="G8" s="309">
        <v>2190</v>
      </c>
    </row>
    <row r="9" spans="2:7" x14ac:dyDescent="0.2">
      <c r="B9" s="269">
        <v>7</v>
      </c>
      <c r="C9" s="266">
        <v>9</v>
      </c>
      <c r="D9" s="266">
        <v>12</v>
      </c>
      <c r="E9" s="309">
        <v>93</v>
      </c>
      <c r="F9" s="309">
        <v>2950</v>
      </c>
      <c r="G9" s="309">
        <v>2210</v>
      </c>
    </row>
    <row r="10" spans="2:7" x14ac:dyDescent="0.2">
      <c r="B10" s="269">
        <v>8</v>
      </c>
      <c r="C10" s="266">
        <v>9</v>
      </c>
      <c r="D10" s="266">
        <v>16</v>
      </c>
      <c r="E10" s="309">
        <v>122</v>
      </c>
      <c r="F10" s="309">
        <v>3890</v>
      </c>
      <c r="G10" s="309">
        <v>2190</v>
      </c>
    </row>
    <row r="11" spans="2:7" x14ac:dyDescent="0.2">
      <c r="B11" s="269">
        <v>9</v>
      </c>
      <c r="C11" s="266">
        <v>36</v>
      </c>
      <c r="D11" s="266">
        <v>12</v>
      </c>
      <c r="E11" s="309">
        <v>116</v>
      </c>
      <c r="F11" s="309">
        <v>4700</v>
      </c>
      <c r="G11" s="309">
        <v>4700</v>
      </c>
    </row>
    <row r="12" spans="2:7" x14ac:dyDescent="0.2">
      <c r="B12" s="269">
        <v>10</v>
      </c>
      <c r="C12" s="266">
        <v>36</v>
      </c>
      <c r="D12" s="266">
        <v>12</v>
      </c>
      <c r="E12" s="309">
        <v>131</v>
      </c>
      <c r="F12" s="309">
        <v>7500</v>
      </c>
      <c r="G12" s="309">
        <v>7500</v>
      </c>
    </row>
    <row r="13" spans="2:7" x14ac:dyDescent="0.2">
      <c r="B13" s="269">
        <v>11</v>
      </c>
      <c r="C13" s="266">
        <v>36</v>
      </c>
      <c r="D13" s="266">
        <v>12</v>
      </c>
      <c r="E13" s="309">
        <v>107</v>
      </c>
      <c r="F13" s="309">
        <v>3700</v>
      </c>
      <c r="G13" s="309">
        <v>3700</v>
      </c>
    </row>
    <row r="14" spans="2:7" x14ac:dyDescent="0.2">
      <c r="B14" s="269">
        <v>12</v>
      </c>
      <c r="C14" s="266">
        <v>36</v>
      </c>
      <c r="D14" s="266">
        <v>12</v>
      </c>
      <c r="E14" s="309">
        <v>116</v>
      </c>
      <c r="F14" s="309">
        <v>4400</v>
      </c>
      <c r="G14" s="309">
        <v>4400</v>
      </c>
    </row>
    <row r="15" spans="2:7" x14ac:dyDescent="0.2">
      <c r="B15" s="269">
        <v>13</v>
      </c>
      <c r="C15" s="266">
        <v>24</v>
      </c>
      <c r="D15" s="266">
        <v>12</v>
      </c>
      <c r="E15" s="309">
        <v>160</v>
      </c>
      <c r="F15" s="309">
        <v>7680</v>
      </c>
      <c r="G15" s="309">
        <v>7680</v>
      </c>
    </row>
    <row r="16" spans="2:7" x14ac:dyDescent="0.2">
      <c r="B16" s="269">
        <v>14</v>
      </c>
      <c r="C16" s="266">
        <v>24</v>
      </c>
      <c r="D16" s="266">
        <v>12</v>
      </c>
      <c r="E16" s="309">
        <v>110</v>
      </c>
      <c r="F16" s="309">
        <v>7100</v>
      </c>
      <c r="G16" s="309">
        <v>7100</v>
      </c>
    </row>
    <row r="17" spans="2:7" x14ac:dyDescent="0.2">
      <c r="B17" s="269">
        <v>15</v>
      </c>
      <c r="C17" s="266">
        <v>24</v>
      </c>
      <c r="D17" s="266">
        <v>12</v>
      </c>
      <c r="E17" s="309">
        <v>144</v>
      </c>
      <c r="F17" s="309">
        <v>10700</v>
      </c>
      <c r="G17" s="309">
        <v>7130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2:S56"/>
  <sheetViews>
    <sheetView topLeftCell="A16" zoomScale="85" zoomScaleNormal="85" workbookViewId="0">
      <selection activeCell="D31" sqref="D31:F31"/>
    </sheetView>
  </sheetViews>
  <sheetFormatPr defaultRowHeight="12.75" x14ac:dyDescent="0.2"/>
  <cols>
    <col min="1" max="1" width="3.7109375" style="271" customWidth="1"/>
    <col min="2" max="6" width="9.140625" style="299"/>
    <col min="7" max="7" width="9.140625" style="271"/>
    <col min="8" max="8" width="9.140625" style="270"/>
    <col min="9" max="13" width="9.140625" style="296"/>
    <col min="14" max="17" width="9.140625" style="271"/>
    <col min="18" max="18" width="2.85546875" style="271" customWidth="1"/>
    <col min="19" max="19" width="14.5703125" style="276" bestFit="1" customWidth="1"/>
    <col min="20" max="16384" width="9.140625" style="271"/>
  </cols>
  <sheetData>
    <row r="2" spans="1:19" x14ac:dyDescent="0.2">
      <c r="B2" s="526" t="s">
        <v>1</v>
      </c>
      <c r="C2" s="527"/>
      <c r="D2" s="527"/>
      <c r="E2" s="527"/>
      <c r="F2" s="528"/>
      <c r="G2" s="459" t="s">
        <v>2</v>
      </c>
      <c r="H2" s="459"/>
      <c r="I2" s="459"/>
      <c r="J2" s="459"/>
      <c r="K2" s="459"/>
      <c r="L2" s="459"/>
      <c r="M2" s="459"/>
      <c r="N2" s="272" t="s">
        <v>3</v>
      </c>
      <c r="O2" s="272" t="s">
        <v>4</v>
      </c>
      <c r="P2" s="459" t="s">
        <v>5</v>
      </c>
      <c r="Q2" s="459"/>
    </row>
    <row r="4" spans="1:19" ht="18" x14ac:dyDescent="0.2">
      <c r="A4" s="522" t="s">
        <v>1426</v>
      </c>
      <c r="B4" s="426" t="s">
        <v>22</v>
      </c>
      <c r="C4" s="481" t="s">
        <v>1342</v>
      </c>
      <c r="D4" s="481"/>
      <c r="E4" s="481"/>
      <c r="F4" s="481"/>
      <c r="G4" s="290"/>
      <c r="H4" s="529">
        <v>6</v>
      </c>
      <c r="I4" s="529"/>
      <c r="J4" s="529"/>
      <c r="K4" s="529"/>
      <c r="L4" s="529"/>
      <c r="M4" s="529"/>
      <c r="N4" s="290"/>
      <c r="O4" s="290"/>
      <c r="S4" s="278" t="s">
        <v>1419</v>
      </c>
    </row>
    <row r="5" spans="1:19" x14ac:dyDescent="0.2">
      <c r="A5" s="522"/>
      <c r="B5" s="530" t="s">
        <v>223</v>
      </c>
      <c r="C5" s="481" t="s">
        <v>76</v>
      </c>
      <c r="D5" s="481"/>
      <c r="E5" s="481"/>
      <c r="F5" s="481"/>
      <c r="G5" s="532" t="str">
        <f>VLOOKUP(INDEX(_soil_type,_soil_type_index),_soil_ASAE_EP486.1_T1,2)</f>
        <v>sand, silty sand, clayey sand, silty gravel or clayey gravel - loose</v>
      </c>
      <c r="H5" s="532"/>
      <c r="I5" s="532"/>
      <c r="J5" s="532"/>
      <c r="K5" s="532"/>
      <c r="L5" s="532"/>
      <c r="M5" s="532"/>
      <c r="N5" s="532"/>
      <c r="O5" s="532"/>
      <c r="S5" s="279" t="s">
        <v>1417</v>
      </c>
    </row>
    <row r="6" spans="1:19" x14ac:dyDescent="0.2">
      <c r="A6" s="522"/>
      <c r="B6" s="426"/>
      <c r="C6" s="481" t="s">
        <v>1416</v>
      </c>
      <c r="D6" s="481"/>
      <c r="E6" s="481"/>
      <c r="F6" s="481"/>
      <c r="G6" s="271" t="s">
        <v>37</v>
      </c>
      <c r="H6" s="525"/>
      <c r="I6" s="525"/>
      <c r="J6" s="525"/>
      <c r="K6" s="525"/>
      <c r="L6" s="525"/>
      <c r="M6" s="525"/>
      <c r="N6" s="291">
        <f>VLOOKUP(INDEX(_soil_type,_soil_type_index),_soil_ASAE_EP486.1_T1,3)</f>
        <v>22.5</v>
      </c>
      <c r="O6" s="271" t="s">
        <v>1379</v>
      </c>
      <c r="S6" s="276" t="s">
        <v>1418</v>
      </c>
    </row>
    <row r="7" spans="1:19" ht="15.75" x14ac:dyDescent="0.2">
      <c r="A7" s="522"/>
      <c r="B7" s="426"/>
      <c r="C7" s="481" t="s">
        <v>1415</v>
      </c>
      <c r="D7" s="481"/>
      <c r="E7" s="481"/>
      <c r="F7" s="481"/>
      <c r="G7" s="274" t="s">
        <v>1374</v>
      </c>
      <c r="H7" s="525"/>
      <c r="I7" s="525"/>
      <c r="J7" s="525"/>
      <c r="K7" s="525"/>
      <c r="L7" s="525"/>
      <c r="M7" s="525"/>
      <c r="N7" s="292">
        <f>VLOOKUP(INDEX(_soil_type,_soil_type_index),_soil_ASAE_EP486.1_T1,5)</f>
        <v>0.25</v>
      </c>
      <c r="O7" s="290"/>
    </row>
    <row r="8" spans="1:19" ht="15.75" x14ac:dyDescent="0.2">
      <c r="A8" s="522"/>
      <c r="B8" s="426"/>
      <c r="C8" s="481" t="s">
        <v>1407</v>
      </c>
      <c r="D8" s="481"/>
      <c r="E8" s="481"/>
      <c r="F8" s="481"/>
      <c r="G8" s="274" t="s">
        <v>1411</v>
      </c>
      <c r="H8" s="525"/>
      <c r="I8" s="525"/>
      <c r="J8" s="525"/>
      <c r="K8" s="525"/>
      <c r="L8" s="525"/>
      <c r="M8" s="525"/>
      <c r="N8" s="291">
        <f>VLOOKUP(INDEX(_soil_type,_soil_type_index),_soil_ASAE_EP486.1_T1,6)</f>
        <v>75</v>
      </c>
      <c r="O8" s="271" t="s">
        <v>105</v>
      </c>
      <c r="S8" s="278" t="s">
        <v>1422</v>
      </c>
    </row>
    <row r="9" spans="1:19" x14ac:dyDescent="0.2">
      <c r="A9" s="522"/>
      <c r="B9" s="426"/>
      <c r="C9" s="481" t="s">
        <v>1408</v>
      </c>
      <c r="D9" s="481"/>
      <c r="E9" s="481"/>
      <c r="F9" s="481"/>
      <c r="G9" s="273" t="s">
        <v>1409</v>
      </c>
      <c r="H9" s="525"/>
      <c r="I9" s="525"/>
      <c r="J9" s="525"/>
      <c r="K9" s="525"/>
      <c r="L9" s="525"/>
      <c r="M9" s="525"/>
      <c r="N9" s="291">
        <f>VLOOKUP(INDEX(_soil_type,_soil_type_index),_soil_ASAE_EP486.1_T1,8)</f>
        <v>26</v>
      </c>
      <c r="O9" s="273" t="s">
        <v>87</v>
      </c>
      <c r="S9" s="279" t="s">
        <v>1420</v>
      </c>
    </row>
    <row r="10" spans="1:19" ht="14.25" x14ac:dyDescent="0.2">
      <c r="A10" s="522"/>
      <c r="B10" s="531" t="s">
        <v>223</v>
      </c>
      <c r="C10" s="481" t="s">
        <v>1410</v>
      </c>
      <c r="D10" s="481"/>
      <c r="E10" s="481"/>
      <c r="F10" s="481"/>
      <c r="G10" s="271" t="s">
        <v>1319</v>
      </c>
      <c r="H10" s="525"/>
      <c r="I10" s="525"/>
      <c r="J10" s="525"/>
      <c r="K10" s="525"/>
      <c r="L10" s="525"/>
      <c r="M10" s="525"/>
      <c r="N10" s="291">
        <f>VLOOKUP(INDEX(_soil_type,_soil_type_index),_soil_ASAE_EP486.1_T1,9)</f>
        <v>1400</v>
      </c>
      <c r="O10" s="274" t="s">
        <v>1412</v>
      </c>
      <c r="S10" s="276" t="s">
        <v>1421</v>
      </c>
    </row>
    <row r="11" spans="1:19" ht="15.75" x14ac:dyDescent="0.2">
      <c r="A11" s="522"/>
      <c r="B11" s="426"/>
      <c r="C11" s="481" t="s">
        <v>1414</v>
      </c>
      <c r="D11" s="481"/>
      <c r="E11" s="481"/>
      <c r="F11" s="481"/>
      <c r="G11" s="274" t="s">
        <v>1378</v>
      </c>
      <c r="H11" s="525"/>
      <c r="I11" s="525"/>
      <c r="J11" s="525"/>
      <c r="K11" s="525"/>
      <c r="L11" s="525"/>
      <c r="M11" s="525"/>
      <c r="N11" s="291">
        <f>VLOOKUP(INDEX(_soil_type,_soil_type_index),_soil_ASAE_EP486.1_T1,11)</f>
        <v>1180</v>
      </c>
      <c r="O11" s="274" t="s">
        <v>1413</v>
      </c>
    </row>
    <row r="12" spans="1:19" s="276" customFormat="1" x14ac:dyDescent="0.2">
      <c r="A12" s="522"/>
      <c r="B12" s="426"/>
      <c r="C12" s="299"/>
      <c r="D12" s="299"/>
      <c r="E12" s="299"/>
      <c r="F12" s="299"/>
      <c r="G12" s="277"/>
      <c r="H12" s="293"/>
      <c r="I12" s="303"/>
      <c r="J12" s="303"/>
      <c r="K12" s="303"/>
      <c r="L12" s="303"/>
      <c r="M12" s="303"/>
      <c r="N12" s="291"/>
      <c r="O12" s="277"/>
    </row>
    <row r="13" spans="1:19" ht="18" x14ac:dyDescent="0.2">
      <c r="A13" s="522"/>
      <c r="B13" s="481" t="s">
        <v>1423</v>
      </c>
      <c r="C13" s="481" t="s">
        <v>1424</v>
      </c>
      <c r="D13" s="481"/>
      <c r="E13" s="481"/>
      <c r="F13" s="481"/>
      <c r="G13" s="290"/>
      <c r="H13" s="529">
        <v>1</v>
      </c>
      <c r="I13" s="529"/>
      <c r="J13" s="529"/>
      <c r="K13" s="529"/>
      <c r="L13" s="529"/>
      <c r="M13" s="529"/>
      <c r="N13" s="290"/>
      <c r="O13" s="290"/>
    </row>
    <row r="14" spans="1:19" s="276" customFormat="1" ht="18" x14ac:dyDescent="0.2">
      <c r="A14" s="522"/>
      <c r="B14" s="481"/>
      <c r="C14" s="481" t="s">
        <v>1425</v>
      </c>
      <c r="D14" s="481"/>
      <c r="E14" s="481"/>
      <c r="F14" s="481"/>
      <c r="G14" s="290"/>
      <c r="H14" s="529">
        <v>1</v>
      </c>
      <c r="I14" s="529"/>
      <c r="J14" s="529"/>
      <c r="K14" s="529"/>
      <c r="L14" s="529"/>
      <c r="M14" s="529"/>
      <c r="N14" s="290"/>
      <c r="O14" s="290"/>
    </row>
    <row r="15" spans="1:19" x14ac:dyDescent="0.2">
      <c r="A15" s="522"/>
      <c r="B15" s="481"/>
      <c r="H15" s="521"/>
      <c r="I15" s="521"/>
      <c r="J15" s="521"/>
      <c r="K15" s="521"/>
      <c r="L15" s="521"/>
      <c r="M15" s="521"/>
    </row>
    <row r="16" spans="1:19" x14ac:dyDescent="0.2">
      <c r="A16" s="522"/>
    </row>
    <row r="18" spans="2:16" ht="15.75" customHeight="1" x14ac:dyDescent="0.2">
      <c r="B18" s="514" t="s">
        <v>1432</v>
      </c>
      <c r="C18" s="515" t="s">
        <v>1471</v>
      </c>
      <c r="D18" s="481" t="s">
        <v>1433</v>
      </c>
      <c r="E18" s="481"/>
      <c r="F18" s="481"/>
      <c r="G18" s="298" t="s">
        <v>1191</v>
      </c>
      <c r="H18" s="519" t="s">
        <v>1431</v>
      </c>
      <c r="I18" s="519"/>
      <c r="J18" s="521"/>
      <c r="K18" s="521"/>
      <c r="L18" s="521"/>
      <c r="M18" s="521"/>
      <c r="O18" s="298" t="s">
        <v>83</v>
      </c>
      <c r="P18" s="431" t="s">
        <v>1461</v>
      </c>
    </row>
    <row r="19" spans="2:16" ht="15.75" x14ac:dyDescent="0.2">
      <c r="B19" s="514"/>
      <c r="C19" s="515"/>
      <c r="D19" s="481" t="s">
        <v>1434</v>
      </c>
      <c r="E19" s="481"/>
      <c r="F19" s="481"/>
      <c r="G19" s="302" t="s">
        <v>1427</v>
      </c>
      <c r="H19" s="519" t="s">
        <v>1428</v>
      </c>
      <c r="I19" s="519"/>
      <c r="J19" s="521"/>
      <c r="K19" s="521"/>
      <c r="L19" s="521"/>
      <c r="M19" s="521"/>
      <c r="O19" s="298" t="s">
        <v>83</v>
      </c>
      <c r="P19" s="431"/>
    </row>
    <row r="20" spans="2:16" x14ac:dyDescent="0.2">
      <c r="B20" s="514"/>
      <c r="C20" s="515"/>
      <c r="D20" s="481"/>
      <c r="E20" s="481"/>
      <c r="F20" s="481"/>
      <c r="H20" s="521"/>
      <c r="I20" s="521"/>
      <c r="J20" s="521"/>
      <c r="K20" s="521"/>
      <c r="L20" s="521"/>
      <c r="M20" s="521"/>
      <c r="P20" s="431"/>
    </row>
    <row r="21" spans="2:16" s="298" customFormat="1" ht="15.75" x14ac:dyDescent="0.2">
      <c r="B21" s="514"/>
      <c r="C21" s="515"/>
      <c r="D21" s="481" t="s">
        <v>1430</v>
      </c>
      <c r="E21" s="481"/>
      <c r="F21" s="481"/>
      <c r="G21" s="298" t="s">
        <v>1429</v>
      </c>
      <c r="H21" s="523" t="s">
        <v>1462</v>
      </c>
      <c r="I21" s="523"/>
      <c r="J21" s="524"/>
      <c r="K21" s="524"/>
      <c r="L21" s="524"/>
      <c r="M21" s="524"/>
      <c r="N21" s="271"/>
      <c r="O21" s="298" t="s">
        <v>83</v>
      </c>
      <c r="P21" s="431"/>
    </row>
    <row r="22" spans="2:16" s="298" customFormat="1" ht="15.75" x14ac:dyDescent="0.2">
      <c r="B22" s="514"/>
      <c r="C22" s="515" t="s">
        <v>1470</v>
      </c>
      <c r="D22" s="481" t="s">
        <v>1450</v>
      </c>
      <c r="E22" s="481"/>
      <c r="F22" s="481"/>
      <c r="G22" s="298" t="s">
        <v>1449</v>
      </c>
      <c r="H22" s="516" t="s">
        <v>1453</v>
      </c>
      <c r="I22" s="516"/>
      <c r="J22" s="517"/>
      <c r="K22" s="517"/>
      <c r="L22" s="517"/>
      <c r="M22" s="517"/>
      <c r="P22" s="431" t="s">
        <v>1459</v>
      </c>
    </row>
    <row r="23" spans="2:16" s="298" customFormat="1" ht="15.75" customHeight="1" x14ac:dyDescent="0.2">
      <c r="B23" s="514"/>
      <c r="C23" s="515"/>
      <c r="D23" s="481" t="s">
        <v>1421</v>
      </c>
      <c r="E23" s="481" t="s">
        <v>1452</v>
      </c>
      <c r="F23" s="481"/>
      <c r="G23" s="298" t="s">
        <v>1451</v>
      </c>
      <c r="H23" s="517"/>
      <c r="I23" s="517"/>
      <c r="J23" s="517"/>
      <c r="K23" s="517"/>
      <c r="L23" s="517"/>
      <c r="M23" s="517"/>
      <c r="P23" s="431"/>
    </row>
    <row r="24" spans="2:16" s="298" customFormat="1" x14ac:dyDescent="0.2">
      <c r="B24" s="514"/>
      <c r="C24" s="515"/>
      <c r="D24" s="481"/>
      <c r="E24" s="481" t="s">
        <v>1189</v>
      </c>
      <c r="F24" s="481"/>
      <c r="G24" s="298" t="s">
        <v>1377</v>
      </c>
      <c r="H24" s="517"/>
      <c r="I24" s="517"/>
      <c r="J24" s="517"/>
      <c r="K24" s="517"/>
      <c r="L24" s="517"/>
      <c r="M24" s="517"/>
      <c r="P24" s="431"/>
    </row>
    <row r="25" spans="2:16" s="298" customFormat="1" ht="15.75" x14ac:dyDescent="0.2">
      <c r="B25" s="514"/>
      <c r="C25" s="515"/>
      <c r="D25" s="481"/>
      <c r="E25" s="481"/>
      <c r="F25" s="481"/>
      <c r="G25" s="298" t="s">
        <v>1444</v>
      </c>
      <c r="H25" s="517"/>
      <c r="I25" s="517"/>
      <c r="J25" s="517"/>
      <c r="K25" s="517"/>
      <c r="L25" s="517"/>
      <c r="M25" s="517"/>
      <c r="O25" s="298" t="s">
        <v>1447</v>
      </c>
      <c r="P25" s="431"/>
    </row>
    <row r="26" spans="2:16" s="298" customFormat="1" ht="15.75" x14ac:dyDescent="0.2">
      <c r="B26" s="514"/>
      <c r="C26" s="515"/>
      <c r="D26" s="481"/>
      <c r="E26" s="481"/>
      <c r="F26" s="481"/>
      <c r="G26" s="298" t="s">
        <v>1463</v>
      </c>
      <c r="H26" s="517"/>
      <c r="I26" s="517"/>
      <c r="J26" s="517"/>
      <c r="K26" s="517"/>
      <c r="L26" s="517"/>
      <c r="M26" s="517"/>
      <c r="P26" s="431"/>
    </row>
    <row r="27" spans="2:16" s="298" customFormat="1" x14ac:dyDescent="0.2">
      <c r="B27" s="514"/>
      <c r="C27" s="515"/>
      <c r="D27" s="481"/>
      <c r="E27" s="481"/>
      <c r="F27" s="481"/>
      <c r="H27" s="517"/>
      <c r="I27" s="517"/>
      <c r="J27" s="517"/>
      <c r="K27" s="517"/>
      <c r="L27" s="517"/>
      <c r="M27" s="517"/>
      <c r="P27" s="431"/>
    </row>
    <row r="28" spans="2:16" s="298" customFormat="1" ht="15.75" customHeight="1" x14ac:dyDescent="0.2">
      <c r="B28" s="514" t="s">
        <v>1474</v>
      </c>
      <c r="C28" s="515" t="s">
        <v>1471</v>
      </c>
      <c r="D28" s="481" t="s">
        <v>1433</v>
      </c>
      <c r="E28" s="481"/>
      <c r="F28" s="481"/>
      <c r="G28" s="298" t="s">
        <v>1191</v>
      </c>
      <c r="H28" s="519" t="s">
        <v>1464</v>
      </c>
      <c r="I28" s="519"/>
      <c r="J28" s="521"/>
      <c r="K28" s="521"/>
      <c r="L28" s="521"/>
      <c r="M28" s="521"/>
      <c r="O28" s="298" t="s">
        <v>83</v>
      </c>
      <c r="P28" s="431" t="s">
        <v>1460</v>
      </c>
    </row>
    <row r="29" spans="2:16" s="298" customFormat="1" ht="15.75" x14ac:dyDescent="0.2">
      <c r="B29" s="514"/>
      <c r="C29" s="515"/>
      <c r="D29" s="481" t="s">
        <v>1434</v>
      </c>
      <c r="E29" s="481"/>
      <c r="F29" s="481"/>
      <c r="G29" s="302" t="s">
        <v>1427</v>
      </c>
      <c r="H29" s="519" t="s">
        <v>1465</v>
      </c>
      <c r="I29" s="519"/>
      <c r="J29" s="521"/>
      <c r="K29" s="521"/>
      <c r="L29" s="521"/>
      <c r="M29" s="521"/>
      <c r="O29" s="298" t="s">
        <v>83</v>
      </c>
      <c r="P29" s="431"/>
    </row>
    <row r="30" spans="2:16" s="298" customFormat="1" ht="15.75" x14ac:dyDescent="0.2">
      <c r="B30" s="514"/>
      <c r="C30" s="515"/>
      <c r="D30" s="481" t="s">
        <v>1467</v>
      </c>
      <c r="E30" s="481"/>
      <c r="F30" s="481"/>
      <c r="G30" s="298" t="s">
        <v>1457</v>
      </c>
      <c r="H30" s="520" t="s">
        <v>1466</v>
      </c>
      <c r="I30" s="520"/>
      <c r="J30" s="521"/>
      <c r="K30" s="521"/>
      <c r="L30" s="521"/>
      <c r="M30" s="521"/>
      <c r="O30" s="298" t="s">
        <v>1447</v>
      </c>
      <c r="P30" s="431"/>
    </row>
    <row r="31" spans="2:16" s="298" customFormat="1" x14ac:dyDescent="0.2">
      <c r="B31" s="514"/>
      <c r="C31" s="515"/>
      <c r="D31" s="481"/>
      <c r="E31" s="481"/>
      <c r="F31" s="481"/>
      <c r="H31" s="520"/>
      <c r="I31" s="520"/>
      <c r="J31" s="520"/>
      <c r="K31" s="520"/>
      <c r="L31" s="520"/>
      <c r="M31" s="520"/>
      <c r="P31" s="431"/>
    </row>
    <row r="32" spans="2:16" s="298" customFormat="1" ht="15.75" x14ac:dyDescent="0.2">
      <c r="B32" s="514"/>
      <c r="C32" s="515" t="s">
        <v>1470</v>
      </c>
      <c r="D32" s="481"/>
      <c r="E32" s="481"/>
      <c r="F32" s="481"/>
      <c r="G32" s="298" t="s">
        <v>1468</v>
      </c>
      <c r="H32" s="519" t="s">
        <v>1480</v>
      </c>
      <c r="I32" s="520"/>
      <c r="J32" s="520"/>
      <c r="K32" s="520"/>
      <c r="L32" s="520"/>
      <c r="M32" s="520"/>
      <c r="O32" s="298" t="s">
        <v>1446</v>
      </c>
      <c r="P32" s="431" t="s">
        <v>1469</v>
      </c>
    </row>
    <row r="33" spans="2:16" s="298" customFormat="1" ht="15.75" x14ac:dyDescent="0.2">
      <c r="B33" s="514"/>
      <c r="C33" s="515"/>
      <c r="D33" s="481"/>
      <c r="E33" s="481"/>
      <c r="F33" s="481"/>
      <c r="G33" s="298" t="s">
        <v>1457</v>
      </c>
      <c r="H33" s="519" t="s">
        <v>1481</v>
      </c>
      <c r="I33" s="520"/>
      <c r="J33" s="521"/>
      <c r="K33" s="521"/>
      <c r="L33" s="521"/>
      <c r="M33" s="521"/>
      <c r="O33" s="298" t="s">
        <v>1447</v>
      </c>
      <c r="P33" s="431"/>
    </row>
    <row r="34" spans="2:16" s="298" customFormat="1" x14ac:dyDescent="0.2">
      <c r="B34" s="514"/>
      <c r="C34" s="515"/>
      <c r="D34" s="431"/>
      <c r="E34" s="431"/>
      <c r="F34" s="431"/>
      <c r="H34" s="431"/>
      <c r="I34" s="431"/>
      <c r="J34" s="431"/>
      <c r="K34" s="431"/>
      <c r="L34" s="431"/>
      <c r="M34" s="431"/>
      <c r="P34" s="431"/>
    </row>
    <row r="35" spans="2:16" s="298" customFormat="1" ht="15.75" x14ac:dyDescent="0.2">
      <c r="B35" s="514" t="s">
        <v>1475</v>
      </c>
      <c r="C35" s="515" t="s">
        <v>1471</v>
      </c>
      <c r="D35" s="431"/>
      <c r="E35" s="431"/>
      <c r="F35" s="431"/>
      <c r="G35" s="298" t="s">
        <v>1468</v>
      </c>
      <c r="H35" s="517" t="s">
        <v>1479</v>
      </c>
      <c r="I35" s="517"/>
      <c r="J35" s="516"/>
      <c r="K35" s="516"/>
      <c r="L35" s="516"/>
      <c r="M35" s="516"/>
      <c r="O35" s="298" t="s">
        <v>1446</v>
      </c>
      <c r="P35" s="431" t="s">
        <v>1472</v>
      </c>
    </row>
    <row r="36" spans="2:16" s="298" customFormat="1" ht="15.75" x14ac:dyDescent="0.2">
      <c r="B36" s="514"/>
      <c r="C36" s="515"/>
      <c r="D36" s="431"/>
      <c r="E36" s="431"/>
      <c r="F36" s="431"/>
      <c r="G36" s="298" t="s">
        <v>1457</v>
      </c>
      <c r="H36" s="517" t="s">
        <v>1478</v>
      </c>
      <c r="I36" s="517"/>
      <c r="J36" s="518"/>
      <c r="K36" s="518"/>
      <c r="L36" s="518"/>
      <c r="M36" s="518"/>
      <c r="O36" s="298" t="s">
        <v>1447</v>
      </c>
      <c r="P36" s="431"/>
    </row>
    <row r="37" spans="2:16" s="298" customFormat="1" x14ac:dyDescent="0.2">
      <c r="B37" s="514"/>
      <c r="C37" s="515"/>
      <c r="D37" s="431"/>
      <c r="E37" s="431"/>
      <c r="F37" s="431"/>
      <c r="H37" s="431"/>
      <c r="I37" s="431"/>
      <c r="J37" s="431"/>
      <c r="K37" s="431"/>
      <c r="L37" s="431"/>
      <c r="M37" s="431"/>
      <c r="P37" s="431"/>
    </row>
    <row r="38" spans="2:16" s="298" customFormat="1" x14ac:dyDescent="0.2">
      <c r="B38" s="514"/>
      <c r="C38" s="515"/>
      <c r="D38" s="431"/>
      <c r="E38" s="431"/>
      <c r="F38" s="431"/>
      <c r="H38" s="431"/>
      <c r="I38" s="431"/>
      <c r="J38" s="431"/>
      <c r="K38" s="431"/>
      <c r="L38" s="431"/>
      <c r="M38" s="431"/>
      <c r="P38" s="431"/>
    </row>
    <row r="39" spans="2:16" s="298" customFormat="1" ht="15.75" x14ac:dyDescent="0.2">
      <c r="B39" s="514"/>
      <c r="C39" s="515" t="s">
        <v>1470</v>
      </c>
      <c r="D39" s="431"/>
      <c r="E39" s="431"/>
      <c r="F39" s="431"/>
      <c r="G39" s="298" t="s">
        <v>1468</v>
      </c>
      <c r="H39" s="516" t="s">
        <v>1476</v>
      </c>
      <c r="I39" s="517"/>
      <c r="J39" s="516"/>
      <c r="K39" s="516"/>
      <c r="L39" s="516"/>
      <c r="M39" s="516"/>
      <c r="O39" s="298" t="s">
        <v>1446</v>
      </c>
      <c r="P39" s="431" t="s">
        <v>1473</v>
      </c>
    </row>
    <row r="40" spans="2:16" s="298" customFormat="1" ht="15.75" x14ac:dyDescent="0.2">
      <c r="B40" s="514"/>
      <c r="C40" s="515"/>
      <c r="D40" s="431"/>
      <c r="E40" s="431"/>
      <c r="F40" s="431"/>
      <c r="G40" s="298" t="s">
        <v>1457</v>
      </c>
      <c r="H40" s="517" t="s">
        <v>1477</v>
      </c>
      <c r="I40" s="517"/>
      <c r="J40" s="518"/>
      <c r="K40" s="518"/>
      <c r="L40" s="518"/>
      <c r="M40" s="518"/>
      <c r="O40" s="298" t="s">
        <v>1447</v>
      </c>
      <c r="P40" s="431"/>
    </row>
    <row r="41" spans="2:16" s="298" customFormat="1" x14ac:dyDescent="0.2">
      <c r="B41" s="514"/>
      <c r="C41" s="515"/>
      <c r="D41" s="431"/>
      <c r="E41" s="431"/>
      <c r="F41" s="431"/>
      <c r="H41" s="431"/>
      <c r="I41" s="431"/>
      <c r="J41" s="431"/>
      <c r="K41" s="431"/>
      <c r="L41" s="431"/>
      <c r="M41" s="431"/>
      <c r="P41" s="431"/>
    </row>
    <row r="42" spans="2:16" x14ac:dyDescent="0.2">
      <c r="B42" s="481"/>
      <c r="C42" s="481"/>
      <c r="D42" s="481"/>
      <c r="E42" s="481"/>
      <c r="F42" s="481"/>
      <c r="H42" s="521"/>
      <c r="I42" s="521"/>
      <c r="J42" s="521"/>
      <c r="K42" s="521"/>
      <c r="L42" s="521"/>
      <c r="M42" s="521"/>
    </row>
    <row r="43" spans="2:16" x14ac:dyDescent="0.2">
      <c r="B43" s="481" t="s">
        <v>1435</v>
      </c>
      <c r="C43" s="481"/>
      <c r="D43" s="481"/>
      <c r="E43" s="481"/>
      <c r="F43" s="481"/>
      <c r="G43" s="298" t="s">
        <v>70</v>
      </c>
      <c r="H43" s="521"/>
      <c r="I43" s="521"/>
      <c r="J43" s="521"/>
      <c r="K43" s="521"/>
      <c r="L43" s="521"/>
      <c r="M43" s="521"/>
      <c r="O43" s="298" t="s">
        <v>83</v>
      </c>
      <c r="P43" s="298" t="s">
        <v>1436</v>
      </c>
    </row>
    <row r="44" spans="2:16" s="298" customFormat="1" ht="14.25" x14ac:dyDescent="0.2">
      <c r="B44" s="481" t="s">
        <v>1437</v>
      </c>
      <c r="C44" s="481"/>
      <c r="D44" s="481"/>
      <c r="E44" s="481"/>
      <c r="F44" s="481"/>
      <c r="G44" s="298" t="s">
        <v>21</v>
      </c>
      <c r="H44" s="521"/>
      <c r="I44" s="521"/>
      <c r="J44" s="521"/>
      <c r="K44" s="521"/>
      <c r="L44" s="521"/>
      <c r="M44" s="521"/>
      <c r="O44" s="302" t="s">
        <v>1439</v>
      </c>
    </row>
    <row r="45" spans="2:16" s="298" customFormat="1" ht="15" x14ac:dyDescent="0.2">
      <c r="B45" s="481" t="s">
        <v>1438</v>
      </c>
      <c r="C45" s="481"/>
      <c r="D45" s="481"/>
      <c r="E45" s="481"/>
      <c r="F45" s="481"/>
      <c r="G45" s="298" t="s">
        <v>1040</v>
      </c>
      <c r="H45" s="521"/>
      <c r="I45" s="521"/>
      <c r="J45" s="521"/>
      <c r="K45" s="521"/>
      <c r="L45" s="521"/>
      <c r="M45" s="521"/>
      <c r="O45" s="298" t="s">
        <v>1440</v>
      </c>
    </row>
    <row r="46" spans="2:16" s="298" customFormat="1" ht="15.75" x14ac:dyDescent="0.2">
      <c r="B46" s="481"/>
      <c r="C46" s="481"/>
      <c r="D46" s="481"/>
      <c r="E46" s="481"/>
      <c r="F46" s="481"/>
      <c r="G46" s="302" t="s">
        <v>1442</v>
      </c>
      <c r="H46" s="521" t="s">
        <v>1441</v>
      </c>
      <c r="I46" s="521"/>
      <c r="J46" s="521"/>
      <c r="K46" s="521"/>
      <c r="L46" s="521"/>
      <c r="M46" s="521"/>
      <c r="O46" s="298" t="s">
        <v>1445</v>
      </c>
    </row>
    <row r="47" spans="2:16" s="298" customFormat="1" ht="15.75" x14ac:dyDescent="0.2">
      <c r="B47" s="481" t="s">
        <v>1456</v>
      </c>
      <c r="C47" s="481"/>
      <c r="D47" s="481"/>
      <c r="E47" s="481"/>
      <c r="F47" s="481"/>
      <c r="G47" s="302" t="s">
        <v>1443</v>
      </c>
      <c r="H47" s="521"/>
      <c r="I47" s="521"/>
      <c r="J47" s="521"/>
      <c r="K47" s="521"/>
      <c r="L47" s="521"/>
      <c r="M47" s="521"/>
      <c r="O47" s="298" t="s">
        <v>1446</v>
      </c>
    </row>
    <row r="48" spans="2:16" s="298" customFormat="1" x14ac:dyDescent="0.2">
      <c r="B48" s="481"/>
      <c r="C48" s="481"/>
      <c r="D48" s="481"/>
      <c r="E48" s="481"/>
      <c r="F48" s="481"/>
      <c r="G48" s="298" t="s">
        <v>1369</v>
      </c>
      <c r="H48" s="519" t="s">
        <v>1448</v>
      </c>
      <c r="I48" s="519"/>
      <c r="J48" s="521"/>
      <c r="K48" s="521"/>
      <c r="L48" s="521"/>
      <c r="M48" s="521"/>
      <c r="O48" s="290"/>
    </row>
    <row r="49" spans="2:15" s="298" customFormat="1" x14ac:dyDescent="0.2">
      <c r="B49" s="481"/>
      <c r="C49" s="481"/>
      <c r="D49" s="481"/>
      <c r="E49" s="481"/>
      <c r="F49" s="481"/>
      <c r="G49" s="298" t="s">
        <v>37</v>
      </c>
      <c r="H49" s="521" t="s">
        <v>1441</v>
      </c>
      <c r="I49" s="521"/>
      <c r="J49" s="521"/>
      <c r="K49" s="521"/>
      <c r="L49" s="521"/>
      <c r="M49" s="521"/>
      <c r="O49" s="298" t="s">
        <v>1379</v>
      </c>
    </row>
    <row r="50" spans="2:15" s="298" customFormat="1" ht="15.75" x14ac:dyDescent="0.2">
      <c r="B50" s="481" t="s">
        <v>1455</v>
      </c>
      <c r="C50" s="481"/>
      <c r="D50" s="481"/>
      <c r="E50" s="481"/>
      <c r="F50" s="481"/>
      <c r="G50" s="298" t="s">
        <v>1444</v>
      </c>
      <c r="H50" s="521"/>
      <c r="I50" s="521"/>
      <c r="J50" s="521"/>
      <c r="K50" s="521"/>
      <c r="L50" s="521"/>
      <c r="M50" s="521"/>
      <c r="O50" s="298" t="s">
        <v>1447</v>
      </c>
    </row>
    <row r="51" spans="2:15" s="298" customFormat="1" x14ac:dyDescent="0.2">
      <c r="B51" s="481" t="s">
        <v>1454</v>
      </c>
      <c r="C51" s="481"/>
      <c r="D51" s="481"/>
      <c r="E51" s="481"/>
      <c r="F51" s="481"/>
      <c r="G51" s="298" t="s">
        <v>69</v>
      </c>
      <c r="H51" s="521"/>
      <c r="I51" s="521"/>
      <c r="J51" s="521"/>
      <c r="K51" s="521"/>
      <c r="L51" s="521"/>
      <c r="M51" s="521"/>
      <c r="O51" s="298" t="s">
        <v>83</v>
      </c>
    </row>
    <row r="52" spans="2:15" s="298" customFormat="1" x14ac:dyDescent="0.2">
      <c r="B52" s="481" t="s">
        <v>1458</v>
      </c>
      <c r="C52" s="481"/>
      <c r="D52" s="481"/>
      <c r="E52" s="481"/>
      <c r="F52" s="481"/>
      <c r="G52" s="298" t="s">
        <v>1457</v>
      </c>
      <c r="H52" s="521"/>
      <c r="I52" s="521"/>
      <c r="J52" s="521"/>
      <c r="K52" s="521"/>
      <c r="L52" s="521"/>
      <c r="M52" s="521"/>
      <c r="O52" s="298" t="s">
        <v>1447</v>
      </c>
    </row>
    <row r="53" spans="2:15" s="298" customFormat="1" x14ac:dyDescent="0.2">
      <c r="B53" s="481"/>
      <c r="C53" s="481"/>
      <c r="D53" s="481"/>
      <c r="E53" s="481"/>
      <c r="F53" s="481"/>
      <c r="H53" s="521"/>
      <c r="I53" s="521"/>
      <c r="J53" s="521"/>
      <c r="K53" s="521"/>
      <c r="L53" s="521"/>
      <c r="M53" s="521"/>
    </row>
    <row r="54" spans="2:15" s="298" customFormat="1" x14ac:dyDescent="0.2">
      <c r="B54" s="481"/>
      <c r="C54" s="481"/>
      <c r="D54" s="481"/>
      <c r="E54" s="481"/>
      <c r="F54" s="481"/>
      <c r="H54" s="521"/>
      <c r="I54" s="521"/>
      <c r="J54" s="521"/>
      <c r="K54" s="521"/>
      <c r="L54" s="521"/>
      <c r="M54" s="521"/>
    </row>
    <row r="55" spans="2:15" s="298" customFormat="1" x14ac:dyDescent="0.2">
      <c r="B55" s="481"/>
      <c r="C55" s="481"/>
      <c r="D55" s="481"/>
      <c r="E55" s="481"/>
      <c r="F55" s="481"/>
      <c r="H55" s="521"/>
      <c r="I55" s="521"/>
      <c r="J55" s="521"/>
      <c r="K55" s="521"/>
      <c r="L55" s="521"/>
      <c r="M55" s="521"/>
    </row>
    <row r="56" spans="2:15" s="298" customFormat="1" x14ac:dyDescent="0.2">
      <c r="B56" s="481"/>
      <c r="C56" s="481"/>
      <c r="D56" s="481"/>
      <c r="E56" s="481"/>
      <c r="F56" s="481"/>
      <c r="H56" s="521"/>
      <c r="I56" s="521"/>
      <c r="J56" s="521"/>
      <c r="K56" s="521"/>
      <c r="L56" s="521"/>
      <c r="M56" s="521"/>
    </row>
  </sheetData>
  <mergeCells count="121">
    <mergeCell ref="B2:F2"/>
    <mergeCell ref="G2:M2"/>
    <mergeCell ref="P2:Q2"/>
    <mergeCell ref="B13:B15"/>
    <mergeCell ref="H14:M14"/>
    <mergeCell ref="C13:F13"/>
    <mergeCell ref="C14:F14"/>
    <mergeCell ref="B4:B12"/>
    <mergeCell ref="H4:M4"/>
    <mergeCell ref="H6:M6"/>
    <mergeCell ref="H7:M7"/>
    <mergeCell ref="H8:M8"/>
    <mergeCell ref="H13:M13"/>
    <mergeCell ref="H15:M15"/>
    <mergeCell ref="G5:O5"/>
    <mergeCell ref="E24:F24"/>
    <mergeCell ref="B18:B27"/>
    <mergeCell ref="B28:B34"/>
    <mergeCell ref="A4:A16"/>
    <mergeCell ref="H18:M18"/>
    <mergeCell ref="H19:M19"/>
    <mergeCell ref="H21:M21"/>
    <mergeCell ref="H20:M20"/>
    <mergeCell ref="D18:F18"/>
    <mergeCell ref="D19:F19"/>
    <mergeCell ref="D21:F21"/>
    <mergeCell ref="C18:C21"/>
    <mergeCell ref="C4:F4"/>
    <mergeCell ref="C5:F5"/>
    <mergeCell ref="C6:F6"/>
    <mergeCell ref="C7:F7"/>
    <mergeCell ref="C8:F8"/>
    <mergeCell ref="C10:F10"/>
    <mergeCell ref="C11:F11"/>
    <mergeCell ref="H9:M9"/>
    <mergeCell ref="H10:M10"/>
    <mergeCell ref="H11:M11"/>
    <mergeCell ref="C9:F9"/>
    <mergeCell ref="C22:C27"/>
    <mergeCell ref="B49:F49"/>
    <mergeCell ref="H49:M49"/>
    <mergeCell ref="B44:F44"/>
    <mergeCell ref="H44:M44"/>
    <mergeCell ref="B45:F45"/>
    <mergeCell ref="H45:M45"/>
    <mergeCell ref="B46:F46"/>
    <mergeCell ref="H46:M46"/>
    <mergeCell ref="H42:M42"/>
    <mergeCell ref="H43:M43"/>
    <mergeCell ref="B42:F42"/>
    <mergeCell ref="B43:F43"/>
    <mergeCell ref="B56:F56"/>
    <mergeCell ref="H56:M56"/>
    <mergeCell ref="D22:F22"/>
    <mergeCell ref="D25:F25"/>
    <mergeCell ref="D23:D24"/>
    <mergeCell ref="H22:M22"/>
    <mergeCell ref="H23:M23"/>
    <mergeCell ref="H24:M24"/>
    <mergeCell ref="B53:F53"/>
    <mergeCell ref="H53:M53"/>
    <mergeCell ref="B54:F54"/>
    <mergeCell ref="H54:M54"/>
    <mergeCell ref="B55:F55"/>
    <mergeCell ref="H55:M55"/>
    <mergeCell ref="B50:F50"/>
    <mergeCell ref="H50:M50"/>
    <mergeCell ref="B51:F51"/>
    <mergeCell ref="H51:M51"/>
    <mergeCell ref="B52:F52"/>
    <mergeCell ref="H52:M52"/>
    <mergeCell ref="B47:F47"/>
    <mergeCell ref="H47:M47"/>
    <mergeCell ref="B48:F48"/>
    <mergeCell ref="H48:M48"/>
    <mergeCell ref="C28:C31"/>
    <mergeCell ref="C32:C34"/>
    <mergeCell ref="D31:F31"/>
    <mergeCell ref="D32:F32"/>
    <mergeCell ref="D33:F33"/>
    <mergeCell ref="D34:F34"/>
    <mergeCell ref="P18:P21"/>
    <mergeCell ref="P22:P27"/>
    <mergeCell ref="P28:P31"/>
    <mergeCell ref="P32:P34"/>
    <mergeCell ref="H25:M25"/>
    <mergeCell ref="H26:M26"/>
    <mergeCell ref="H27:M27"/>
    <mergeCell ref="D26:F26"/>
    <mergeCell ref="D27:F27"/>
    <mergeCell ref="H28:M28"/>
    <mergeCell ref="H29:M29"/>
    <mergeCell ref="D30:F30"/>
    <mergeCell ref="E23:F23"/>
    <mergeCell ref="D20:F20"/>
    <mergeCell ref="D28:F28"/>
    <mergeCell ref="D29:F29"/>
    <mergeCell ref="H30:M30"/>
    <mergeCell ref="H31:M31"/>
    <mergeCell ref="H32:M32"/>
    <mergeCell ref="H33:M33"/>
    <mergeCell ref="H34:M34"/>
    <mergeCell ref="C35:C38"/>
    <mergeCell ref="D35:F35"/>
    <mergeCell ref="D38:F38"/>
    <mergeCell ref="H35:M35"/>
    <mergeCell ref="H38:M38"/>
    <mergeCell ref="D36:F36"/>
    <mergeCell ref="H36:M36"/>
    <mergeCell ref="D37:F37"/>
    <mergeCell ref="H37:M37"/>
    <mergeCell ref="P35:P38"/>
    <mergeCell ref="B35:B41"/>
    <mergeCell ref="C39:C41"/>
    <mergeCell ref="D39:F39"/>
    <mergeCell ref="H39:M39"/>
    <mergeCell ref="D40:F40"/>
    <mergeCell ref="H40:M40"/>
    <mergeCell ref="D41:F41"/>
    <mergeCell ref="H41:M41"/>
    <mergeCell ref="P39:P4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Drop Down 1">
              <controlPr defaultSize="0" autoLine="0" autoPict="0">
                <anchor moveWithCells="1">
                  <from>
                    <xdr:col>7</xdr:col>
                    <xdr:colOff>0</xdr:colOff>
                    <xdr:row>3</xdr:row>
                    <xdr:rowOff>0</xdr:rowOff>
                  </from>
                  <to>
                    <xdr:col>10</xdr:col>
                    <xdr:colOff>0</xdr:colOff>
                    <xdr:row>4</xdr:row>
                    <xdr:rowOff>0</xdr:rowOff>
                  </to>
                </anchor>
              </controlPr>
            </control>
          </mc:Choice>
        </mc:AlternateContent>
        <mc:AlternateContent xmlns:mc="http://schemas.openxmlformats.org/markup-compatibility/2006">
          <mc:Choice Requires="x14">
            <control shapeId="24578" r:id="rId4" name="Drop Down 2">
              <controlPr defaultSize="0" autoLine="0" autoPict="0">
                <anchor moveWithCells="1">
                  <from>
                    <xdr:col>7</xdr:col>
                    <xdr:colOff>0</xdr:colOff>
                    <xdr:row>12</xdr:row>
                    <xdr:rowOff>0</xdr:rowOff>
                  </from>
                  <to>
                    <xdr:col>10</xdr:col>
                    <xdr:colOff>0</xdr:colOff>
                    <xdr:row>13</xdr:row>
                    <xdr:rowOff>0</xdr:rowOff>
                  </to>
                </anchor>
              </controlPr>
            </control>
          </mc:Choice>
        </mc:AlternateContent>
        <mc:AlternateContent xmlns:mc="http://schemas.openxmlformats.org/markup-compatibility/2006">
          <mc:Choice Requires="x14">
            <control shapeId="24580" r:id="rId5" name="Drop Down 4">
              <controlPr defaultSize="0" autoLine="0" autoPict="0">
                <anchor moveWithCells="1">
                  <from>
                    <xdr:col>7</xdr:col>
                    <xdr:colOff>0</xdr:colOff>
                    <xdr:row>13</xdr:row>
                    <xdr:rowOff>0</xdr:rowOff>
                  </from>
                  <to>
                    <xdr:col>10</xdr:col>
                    <xdr:colOff>0</xdr:colOff>
                    <xdr:row>14</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O19"/>
  <sheetViews>
    <sheetView zoomScale="85" zoomScaleNormal="85" workbookViewId="0">
      <selection activeCell="D25" sqref="D25"/>
    </sheetView>
  </sheetViews>
  <sheetFormatPr defaultRowHeight="12.75" x14ac:dyDescent="0.2"/>
  <cols>
    <col min="1" max="1" width="2.28515625" style="282" customWidth="1"/>
    <col min="2" max="2" width="17.7109375" style="282" bestFit="1" customWidth="1"/>
    <col min="3" max="3" width="56.28515625" style="282" customWidth="1"/>
    <col min="4" max="4" width="6.42578125" style="280" bestFit="1" customWidth="1"/>
    <col min="5" max="5" width="6.28515625" style="280" bestFit="1" customWidth="1"/>
    <col min="6" max="6" width="5" style="280" bestFit="1" customWidth="1"/>
    <col min="7" max="7" width="4.28515625" style="280" bestFit="1" customWidth="1"/>
    <col min="8" max="8" width="5" style="280" bestFit="1" customWidth="1"/>
    <col min="9" max="9" width="5.140625" style="280" bestFit="1" customWidth="1"/>
    <col min="10" max="10" width="5.85546875" style="280" bestFit="1" customWidth="1"/>
    <col min="11" max="11" width="5.140625" style="280" bestFit="1" customWidth="1"/>
    <col min="12" max="12" width="7.140625" style="280" bestFit="1" customWidth="1"/>
    <col min="13" max="13" width="6" style="280" bestFit="1" customWidth="1"/>
    <col min="14" max="15" width="9.140625" style="280"/>
    <col min="16" max="256" width="9.140625" style="282"/>
    <col min="257" max="257" width="2.28515625" style="282" customWidth="1"/>
    <col min="258" max="258" width="9.140625" style="282" bestFit="1" customWidth="1"/>
    <col min="259" max="259" width="56.28515625" style="282" customWidth="1"/>
    <col min="260" max="260" width="6.42578125" style="282" bestFit="1" customWidth="1"/>
    <col min="261" max="261" width="6.28515625" style="282" bestFit="1" customWidth="1"/>
    <col min="262" max="262" width="5" style="282" bestFit="1" customWidth="1"/>
    <col min="263" max="263" width="4.28515625" style="282" bestFit="1" customWidth="1"/>
    <col min="264" max="264" width="5" style="282" bestFit="1" customWidth="1"/>
    <col min="265" max="265" width="5.140625" style="282" bestFit="1" customWidth="1"/>
    <col min="266" max="266" width="5.85546875" style="282" bestFit="1" customWidth="1"/>
    <col min="267" max="267" width="5.140625" style="282" bestFit="1" customWidth="1"/>
    <col min="268" max="268" width="7.140625" style="282" bestFit="1" customWidth="1"/>
    <col min="269" max="269" width="6" style="282" bestFit="1" customWidth="1"/>
    <col min="270" max="512" width="9.140625" style="282"/>
    <col min="513" max="513" width="2.28515625" style="282" customWidth="1"/>
    <col min="514" max="514" width="9.140625" style="282" bestFit="1" customWidth="1"/>
    <col min="515" max="515" width="56.28515625" style="282" customWidth="1"/>
    <col min="516" max="516" width="6.42578125" style="282" bestFit="1" customWidth="1"/>
    <col min="517" max="517" width="6.28515625" style="282" bestFit="1" customWidth="1"/>
    <col min="518" max="518" width="5" style="282" bestFit="1" customWidth="1"/>
    <col min="519" max="519" width="4.28515625" style="282" bestFit="1" customWidth="1"/>
    <col min="520" max="520" width="5" style="282" bestFit="1" customWidth="1"/>
    <col min="521" max="521" width="5.140625" style="282" bestFit="1" customWidth="1"/>
    <col min="522" max="522" width="5.85546875" style="282" bestFit="1" customWidth="1"/>
    <col min="523" max="523" width="5.140625" style="282" bestFit="1" customWidth="1"/>
    <col min="524" max="524" width="7.140625" style="282" bestFit="1" customWidth="1"/>
    <col min="525" max="525" width="6" style="282" bestFit="1" customWidth="1"/>
    <col min="526" max="768" width="9.140625" style="282"/>
    <col min="769" max="769" width="2.28515625" style="282" customWidth="1"/>
    <col min="770" max="770" width="9.140625" style="282" bestFit="1" customWidth="1"/>
    <col min="771" max="771" width="56.28515625" style="282" customWidth="1"/>
    <col min="772" max="772" width="6.42578125" style="282" bestFit="1" customWidth="1"/>
    <col min="773" max="773" width="6.28515625" style="282" bestFit="1" customWidth="1"/>
    <col min="774" max="774" width="5" style="282" bestFit="1" customWidth="1"/>
    <col min="775" max="775" width="4.28515625" style="282" bestFit="1" customWidth="1"/>
    <col min="776" max="776" width="5" style="282" bestFit="1" customWidth="1"/>
    <col min="777" max="777" width="5.140625" style="282" bestFit="1" customWidth="1"/>
    <col min="778" max="778" width="5.85546875" style="282" bestFit="1" customWidth="1"/>
    <col min="779" max="779" width="5.140625" style="282" bestFit="1" customWidth="1"/>
    <col min="780" max="780" width="7.140625" style="282" bestFit="1" customWidth="1"/>
    <col min="781" max="781" width="6" style="282" bestFit="1" customWidth="1"/>
    <col min="782" max="1024" width="9.140625" style="282"/>
    <col min="1025" max="1025" width="2.28515625" style="282" customWidth="1"/>
    <col min="1026" max="1026" width="9.140625" style="282" bestFit="1" customWidth="1"/>
    <col min="1027" max="1027" width="56.28515625" style="282" customWidth="1"/>
    <col min="1028" max="1028" width="6.42578125" style="282" bestFit="1" customWidth="1"/>
    <col min="1029" max="1029" width="6.28515625" style="282" bestFit="1" customWidth="1"/>
    <col min="1030" max="1030" width="5" style="282" bestFit="1" customWidth="1"/>
    <col min="1031" max="1031" width="4.28515625" style="282" bestFit="1" customWidth="1"/>
    <col min="1032" max="1032" width="5" style="282" bestFit="1" customWidth="1"/>
    <col min="1033" max="1033" width="5.140625" style="282" bestFit="1" customWidth="1"/>
    <col min="1034" max="1034" width="5.85546875" style="282" bestFit="1" customWidth="1"/>
    <col min="1035" max="1035" width="5.140625" style="282" bestFit="1" customWidth="1"/>
    <col min="1036" max="1036" width="7.140625" style="282" bestFit="1" customWidth="1"/>
    <col min="1037" max="1037" width="6" style="282" bestFit="1" customWidth="1"/>
    <col min="1038" max="1280" width="9.140625" style="282"/>
    <col min="1281" max="1281" width="2.28515625" style="282" customWidth="1"/>
    <col min="1282" max="1282" width="9.140625" style="282" bestFit="1" customWidth="1"/>
    <col min="1283" max="1283" width="56.28515625" style="282" customWidth="1"/>
    <col min="1284" max="1284" width="6.42578125" style="282" bestFit="1" customWidth="1"/>
    <col min="1285" max="1285" width="6.28515625" style="282" bestFit="1" customWidth="1"/>
    <col min="1286" max="1286" width="5" style="282" bestFit="1" customWidth="1"/>
    <col min="1287" max="1287" width="4.28515625" style="282" bestFit="1" customWidth="1"/>
    <col min="1288" max="1288" width="5" style="282" bestFit="1" customWidth="1"/>
    <col min="1289" max="1289" width="5.140625" style="282" bestFit="1" customWidth="1"/>
    <col min="1290" max="1290" width="5.85546875" style="282" bestFit="1" customWidth="1"/>
    <col min="1291" max="1291" width="5.140625" style="282" bestFit="1" customWidth="1"/>
    <col min="1292" max="1292" width="7.140625" style="282" bestFit="1" customWidth="1"/>
    <col min="1293" max="1293" width="6" style="282" bestFit="1" customWidth="1"/>
    <col min="1294" max="1536" width="9.140625" style="282"/>
    <col min="1537" max="1537" width="2.28515625" style="282" customWidth="1"/>
    <col min="1538" max="1538" width="9.140625" style="282" bestFit="1" customWidth="1"/>
    <col min="1539" max="1539" width="56.28515625" style="282" customWidth="1"/>
    <col min="1540" max="1540" width="6.42578125" style="282" bestFit="1" customWidth="1"/>
    <col min="1541" max="1541" width="6.28515625" style="282" bestFit="1" customWidth="1"/>
    <col min="1542" max="1542" width="5" style="282" bestFit="1" customWidth="1"/>
    <col min="1543" max="1543" width="4.28515625" style="282" bestFit="1" customWidth="1"/>
    <col min="1544" max="1544" width="5" style="282" bestFit="1" customWidth="1"/>
    <col min="1545" max="1545" width="5.140625" style="282" bestFit="1" customWidth="1"/>
    <col min="1546" max="1546" width="5.85546875" style="282" bestFit="1" customWidth="1"/>
    <col min="1547" max="1547" width="5.140625" style="282" bestFit="1" customWidth="1"/>
    <col min="1548" max="1548" width="7.140625" style="282" bestFit="1" customWidth="1"/>
    <col min="1549" max="1549" width="6" style="282" bestFit="1" customWidth="1"/>
    <col min="1550" max="1792" width="9.140625" style="282"/>
    <col min="1793" max="1793" width="2.28515625" style="282" customWidth="1"/>
    <col min="1794" max="1794" width="9.140625" style="282" bestFit="1" customWidth="1"/>
    <col min="1795" max="1795" width="56.28515625" style="282" customWidth="1"/>
    <col min="1796" max="1796" width="6.42578125" style="282" bestFit="1" customWidth="1"/>
    <col min="1797" max="1797" width="6.28515625" style="282" bestFit="1" customWidth="1"/>
    <col min="1798" max="1798" width="5" style="282" bestFit="1" customWidth="1"/>
    <col min="1799" max="1799" width="4.28515625" style="282" bestFit="1" customWidth="1"/>
    <col min="1800" max="1800" width="5" style="282" bestFit="1" customWidth="1"/>
    <col min="1801" max="1801" width="5.140625" style="282" bestFit="1" customWidth="1"/>
    <col min="1802" max="1802" width="5.85546875" style="282" bestFit="1" customWidth="1"/>
    <col min="1803" max="1803" width="5.140625" style="282" bestFit="1" customWidth="1"/>
    <col min="1804" max="1804" width="7.140625" style="282" bestFit="1" customWidth="1"/>
    <col min="1805" max="1805" width="6" style="282" bestFit="1" customWidth="1"/>
    <col min="1806" max="2048" width="9.140625" style="282"/>
    <col min="2049" max="2049" width="2.28515625" style="282" customWidth="1"/>
    <col min="2050" max="2050" width="9.140625" style="282" bestFit="1" customWidth="1"/>
    <col min="2051" max="2051" width="56.28515625" style="282" customWidth="1"/>
    <col min="2052" max="2052" width="6.42578125" style="282" bestFit="1" customWidth="1"/>
    <col min="2053" max="2053" width="6.28515625" style="282" bestFit="1" customWidth="1"/>
    <col min="2054" max="2054" width="5" style="282" bestFit="1" customWidth="1"/>
    <col min="2055" max="2055" width="4.28515625" style="282" bestFit="1" customWidth="1"/>
    <col min="2056" max="2056" width="5" style="282" bestFit="1" customWidth="1"/>
    <col min="2057" max="2057" width="5.140625" style="282" bestFit="1" customWidth="1"/>
    <col min="2058" max="2058" width="5.85546875" style="282" bestFit="1" customWidth="1"/>
    <col min="2059" max="2059" width="5.140625" style="282" bestFit="1" customWidth="1"/>
    <col min="2060" max="2060" width="7.140625" style="282" bestFit="1" customWidth="1"/>
    <col min="2061" max="2061" width="6" style="282" bestFit="1" customWidth="1"/>
    <col min="2062" max="2304" width="9.140625" style="282"/>
    <col min="2305" max="2305" width="2.28515625" style="282" customWidth="1"/>
    <col min="2306" max="2306" width="9.140625" style="282" bestFit="1" customWidth="1"/>
    <col min="2307" max="2307" width="56.28515625" style="282" customWidth="1"/>
    <col min="2308" max="2308" width="6.42578125" style="282" bestFit="1" customWidth="1"/>
    <col min="2309" max="2309" width="6.28515625" style="282" bestFit="1" customWidth="1"/>
    <col min="2310" max="2310" width="5" style="282" bestFit="1" customWidth="1"/>
    <col min="2311" max="2311" width="4.28515625" style="282" bestFit="1" customWidth="1"/>
    <col min="2312" max="2312" width="5" style="282" bestFit="1" customWidth="1"/>
    <col min="2313" max="2313" width="5.140625" style="282" bestFit="1" customWidth="1"/>
    <col min="2314" max="2314" width="5.85546875" style="282" bestFit="1" customWidth="1"/>
    <col min="2315" max="2315" width="5.140625" style="282" bestFit="1" customWidth="1"/>
    <col min="2316" max="2316" width="7.140625" style="282" bestFit="1" customWidth="1"/>
    <col min="2317" max="2317" width="6" style="282" bestFit="1" customWidth="1"/>
    <col min="2318" max="2560" width="9.140625" style="282"/>
    <col min="2561" max="2561" width="2.28515625" style="282" customWidth="1"/>
    <col min="2562" max="2562" width="9.140625" style="282" bestFit="1" customWidth="1"/>
    <col min="2563" max="2563" width="56.28515625" style="282" customWidth="1"/>
    <col min="2564" max="2564" width="6.42578125" style="282" bestFit="1" customWidth="1"/>
    <col min="2565" max="2565" width="6.28515625" style="282" bestFit="1" customWidth="1"/>
    <col min="2566" max="2566" width="5" style="282" bestFit="1" customWidth="1"/>
    <col min="2567" max="2567" width="4.28515625" style="282" bestFit="1" customWidth="1"/>
    <col min="2568" max="2568" width="5" style="282" bestFit="1" customWidth="1"/>
    <col min="2569" max="2569" width="5.140625" style="282" bestFit="1" customWidth="1"/>
    <col min="2570" max="2570" width="5.85546875" style="282" bestFit="1" customWidth="1"/>
    <col min="2571" max="2571" width="5.140625" style="282" bestFit="1" customWidth="1"/>
    <col min="2572" max="2572" width="7.140625" style="282" bestFit="1" customWidth="1"/>
    <col min="2573" max="2573" width="6" style="282" bestFit="1" customWidth="1"/>
    <col min="2574" max="2816" width="9.140625" style="282"/>
    <col min="2817" max="2817" width="2.28515625" style="282" customWidth="1"/>
    <col min="2818" max="2818" width="9.140625" style="282" bestFit="1" customWidth="1"/>
    <col min="2819" max="2819" width="56.28515625" style="282" customWidth="1"/>
    <col min="2820" max="2820" width="6.42578125" style="282" bestFit="1" customWidth="1"/>
    <col min="2821" max="2821" width="6.28515625" style="282" bestFit="1" customWidth="1"/>
    <col min="2822" max="2822" width="5" style="282" bestFit="1" customWidth="1"/>
    <col min="2823" max="2823" width="4.28515625" style="282" bestFit="1" customWidth="1"/>
    <col min="2824" max="2824" width="5" style="282" bestFit="1" customWidth="1"/>
    <col min="2825" max="2825" width="5.140625" style="282" bestFit="1" customWidth="1"/>
    <col min="2826" max="2826" width="5.85546875" style="282" bestFit="1" customWidth="1"/>
    <col min="2827" max="2827" width="5.140625" style="282" bestFit="1" customWidth="1"/>
    <col min="2828" max="2828" width="7.140625" style="282" bestFit="1" customWidth="1"/>
    <col min="2829" max="2829" width="6" style="282" bestFit="1" customWidth="1"/>
    <col min="2830" max="3072" width="9.140625" style="282"/>
    <col min="3073" max="3073" width="2.28515625" style="282" customWidth="1"/>
    <col min="3074" max="3074" width="9.140625" style="282" bestFit="1" customWidth="1"/>
    <col min="3075" max="3075" width="56.28515625" style="282" customWidth="1"/>
    <col min="3076" max="3076" width="6.42578125" style="282" bestFit="1" customWidth="1"/>
    <col min="3077" max="3077" width="6.28515625" style="282" bestFit="1" customWidth="1"/>
    <col min="3078" max="3078" width="5" style="282" bestFit="1" customWidth="1"/>
    <col min="3079" max="3079" width="4.28515625" style="282" bestFit="1" customWidth="1"/>
    <col min="3080" max="3080" width="5" style="282" bestFit="1" customWidth="1"/>
    <col min="3081" max="3081" width="5.140625" style="282" bestFit="1" customWidth="1"/>
    <col min="3082" max="3082" width="5.85546875" style="282" bestFit="1" customWidth="1"/>
    <col min="3083" max="3083" width="5.140625" style="282" bestFit="1" customWidth="1"/>
    <col min="3084" max="3084" width="7.140625" style="282" bestFit="1" customWidth="1"/>
    <col min="3085" max="3085" width="6" style="282" bestFit="1" customWidth="1"/>
    <col min="3086" max="3328" width="9.140625" style="282"/>
    <col min="3329" max="3329" width="2.28515625" style="282" customWidth="1"/>
    <col min="3330" max="3330" width="9.140625" style="282" bestFit="1" customWidth="1"/>
    <col min="3331" max="3331" width="56.28515625" style="282" customWidth="1"/>
    <col min="3332" max="3332" width="6.42578125" style="282" bestFit="1" customWidth="1"/>
    <col min="3333" max="3333" width="6.28515625" style="282" bestFit="1" customWidth="1"/>
    <col min="3334" max="3334" width="5" style="282" bestFit="1" customWidth="1"/>
    <col min="3335" max="3335" width="4.28515625" style="282" bestFit="1" customWidth="1"/>
    <col min="3336" max="3336" width="5" style="282" bestFit="1" customWidth="1"/>
    <col min="3337" max="3337" width="5.140625" style="282" bestFit="1" customWidth="1"/>
    <col min="3338" max="3338" width="5.85546875" style="282" bestFit="1" customWidth="1"/>
    <col min="3339" max="3339" width="5.140625" style="282" bestFit="1" customWidth="1"/>
    <col min="3340" max="3340" width="7.140625" style="282" bestFit="1" customWidth="1"/>
    <col min="3341" max="3341" width="6" style="282" bestFit="1" customWidth="1"/>
    <col min="3342" max="3584" width="9.140625" style="282"/>
    <col min="3585" max="3585" width="2.28515625" style="282" customWidth="1"/>
    <col min="3586" max="3586" width="9.140625" style="282" bestFit="1" customWidth="1"/>
    <col min="3587" max="3587" width="56.28515625" style="282" customWidth="1"/>
    <col min="3588" max="3588" width="6.42578125" style="282" bestFit="1" customWidth="1"/>
    <col min="3589" max="3589" width="6.28515625" style="282" bestFit="1" customWidth="1"/>
    <col min="3590" max="3590" width="5" style="282" bestFit="1" customWidth="1"/>
    <col min="3591" max="3591" width="4.28515625" style="282" bestFit="1" customWidth="1"/>
    <col min="3592" max="3592" width="5" style="282" bestFit="1" customWidth="1"/>
    <col min="3593" max="3593" width="5.140625" style="282" bestFit="1" customWidth="1"/>
    <col min="3594" max="3594" width="5.85546875" style="282" bestFit="1" customWidth="1"/>
    <col min="3595" max="3595" width="5.140625" style="282" bestFit="1" customWidth="1"/>
    <col min="3596" max="3596" width="7.140625" style="282" bestFit="1" customWidth="1"/>
    <col min="3597" max="3597" width="6" style="282" bestFit="1" customWidth="1"/>
    <col min="3598" max="3840" width="9.140625" style="282"/>
    <col min="3841" max="3841" width="2.28515625" style="282" customWidth="1"/>
    <col min="3842" max="3842" width="9.140625" style="282" bestFit="1" customWidth="1"/>
    <col min="3843" max="3843" width="56.28515625" style="282" customWidth="1"/>
    <col min="3844" max="3844" width="6.42578125" style="282" bestFit="1" customWidth="1"/>
    <col min="3845" max="3845" width="6.28515625" style="282" bestFit="1" customWidth="1"/>
    <col min="3846" max="3846" width="5" style="282" bestFit="1" customWidth="1"/>
    <col min="3847" max="3847" width="4.28515625" style="282" bestFit="1" customWidth="1"/>
    <col min="3848" max="3848" width="5" style="282" bestFit="1" customWidth="1"/>
    <col min="3849" max="3849" width="5.140625" style="282" bestFit="1" customWidth="1"/>
    <col min="3850" max="3850" width="5.85546875" style="282" bestFit="1" customWidth="1"/>
    <col min="3851" max="3851" width="5.140625" style="282" bestFit="1" customWidth="1"/>
    <col min="3852" max="3852" width="7.140625" style="282" bestFit="1" customWidth="1"/>
    <col min="3853" max="3853" width="6" style="282" bestFit="1" customWidth="1"/>
    <col min="3854" max="4096" width="9.140625" style="282"/>
    <col min="4097" max="4097" width="2.28515625" style="282" customWidth="1"/>
    <col min="4098" max="4098" width="9.140625" style="282" bestFit="1" customWidth="1"/>
    <col min="4099" max="4099" width="56.28515625" style="282" customWidth="1"/>
    <col min="4100" max="4100" width="6.42578125" style="282" bestFit="1" customWidth="1"/>
    <col min="4101" max="4101" width="6.28515625" style="282" bestFit="1" customWidth="1"/>
    <col min="4102" max="4102" width="5" style="282" bestFit="1" customWidth="1"/>
    <col min="4103" max="4103" width="4.28515625" style="282" bestFit="1" customWidth="1"/>
    <col min="4104" max="4104" width="5" style="282" bestFit="1" customWidth="1"/>
    <col min="4105" max="4105" width="5.140625" style="282" bestFit="1" customWidth="1"/>
    <col min="4106" max="4106" width="5.85546875" style="282" bestFit="1" customWidth="1"/>
    <col min="4107" max="4107" width="5.140625" style="282" bestFit="1" customWidth="1"/>
    <col min="4108" max="4108" width="7.140625" style="282" bestFit="1" customWidth="1"/>
    <col min="4109" max="4109" width="6" style="282" bestFit="1" customWidth="1"/>
    <col min="4110" max="4352" width="9.140625" style="282"/>
    <col min="4353" max="4353" width="2.28515625" style="282" customWidth="1"/>
    <col min="4354" max="4354" width="9.140625" style="282" bestFit="1" customWidth="1"/>
    <col min="4355" max="4355" width="56.28515625" style="282" customWidth="1"/>
    <col min="4356" max="4356" width="6.42578125" style="282" bestFit="1" customWidth="1"/>
    <col min="4357" max="4357" width="6.28515625" style="282" bestFit="1" customWidth="1"/>
    <col min="4358" max="4358" width="5" style="282" bestFit="1" customWidth="1"/>
    <col min="4359" max="4359" width="4.28515625" style="282" bestFit="1" customWidth="1"/>
    <col min="4360" max="4360" width="5" style="282" bestFit="1" customWidth="1"/>
    <col min="4361" max="4361" width="5.140625" style="282" bestFit="1" customWidth="1"/>
    <col min="4362" max="4362" width="5.85546875" style="282" bestFit="1" customWidth="1"/>
    <col min="4363" max="4363" width="5.140625" style="282" bestFit="1" customWidth="1"/>
    <col min="4364" max="4364" width="7.140625" style="282" bestFit="1" customWidth="1"/>
    <col min="4365" max="4365" width="6" style="282" bestFit="1" customWidth="1"/>
    <col min="4366" max="4608" width="9.140625" style="282"/>
    <col min="4609" max="4609" width="2.28515625" style="282" customWidth="1"/>
    <col min="4610" max="4610" width="9.140625" style="282" bestFit="1" customWidth="1"/>
    <col min="4611" max="4611" width="56.28515625" style="282" customWidth="1"/>
    <col min="4612" max="4612" width="6.42578125" style="282" bestFit="1" customWidth="1"/>
    <col min="4613" max="4613" width="6.28515625" style="282" bestFit="1" customWidth="1"/>
    <col min="4614" max="4614" width="5" style="282" bestFit="1" customWidth="1"/>
    <col min="4615" max="4615" width="4.28515625" style="282" bestFit="1" customWidth="1"/>
    <col min="4616" max="4616" width="5" style="282" bestFit="1" customWidth="1"/>
    <col min="4617" max="4617" width="5.140625" style="282" bestFit="1" customWidth="1"/>
    <col min="4618" max="4618" width="5.85546875" style="282" bestFit="1" customWidth="1"/>
    <col min="4619" max="4619" width="5.140625" style="282" bestFit="1" customWidth="1"/>
    <col min="4620" max="4620" width="7.140625" style="282" bestFit="1" customWidth="1"/>
    <col min="4621" max="4621" width="6" style="282" bestFit="1" customWidth="1"/>
    <col min="4622" max="4864" width="9.140625" style="282"/>
    <col min="4865" max="4865" width="2.28515625" style="282" customWidth="1"/>
    <col min="4866" max="4866" width="9.140625" style="282" bestFit="1" customWidth="1"/>
    <col min="4867" max="4867" width="56.28515625" style="282" customWidth="1"/>
    <col min="4868" max="4868" width="6.42578125" style="282" bestFit="1" customWidth="1"/>
    <col min="4869" max="4869" width="6.28515625" style="282" bestFit="1" customWidth="1"/>
    <col min="4870" max="4870" width="5" style="282" bestFit="1" customWidth="1"/>
    <col min="4871" max="4871" width="4.28515625" style="282" bestFit="1" customWidth="1"/>
    <col min="4872" max="4872" width="5" style="282" bestFit="1" customWidth="1"/>
    <col min="4873" max="4873" width="5.140625" style="282" bestFit="1" customWidth="1"/>
    <col min="4874" max="4874" width="5.85546875" style="282" bestFit="1" customWidth="1"/>
    <col min="4875" max="4875" width="5.140625" style="282" bestFit="1" customWidth="1"/>
    <col min="4876" max="4876" width="7.140625" style="282" bestFit="1" customWidth="1"/>
    <col min="4877" max="4877" width="6" style="282" bestFit="1" customWidth="1"/>
    <col min="4878" max="5120" width="9.140625" style="282"/>
    <col min="5121" max="5121" width="2.28515625" style="282" customWidth="1"/>
    <col min="5122" max="5122" width="9.140625" style="282" bestFit="1" customWidth="1"/>
    <col min="5123" max="5123" width="56.28515625" style="282" customWidth="1"/>
    <col min="5124" max="5124" width="6.42578125" style="282" bestFit="1" customWidth="1"/>
    <col min="5125" max="5125" width="6.28515625" style="282" bestFit="1" customWidth="1"/>
    <col min="5126" max="5126" width="5" style="282" bestFit="1" customWidth="1"/>
    <col min="5127" max="5127" width="4.28515625" style="282" bestFit="1" customWidth="1"/>
    <col min="5128" max="5128" width="5" style="282" bestFit="1" customWidth="1"/>
    <col min="5129" max="5129" width="5.140625" style="282" bestFit="1" customWidth="1"/>
    <col min="5130" max="5130" width="5.85546875" style="282" bestFit="1" customWidth="1"/>
    <col min="5131" max="5131" width="5.140625" style="282" bestFit="1" customWidth="1"/>
    <col min="5132" max="5132" width="7.140625" style="282" bestFit="1" customWidth="1"/>
    <col min="5133" max="5133" width="6" style="282" bestFit="1" customWidth="1"/>
    <col min="5134" max="5376" width="9.140625" style="282"/>
    <col min="5377" max="5377" width="2.28515625" style="282" customWidth="1"/>
    <col min="5378" max="5378" width="9.140625" style="282" bestFit="1" customWidth="1"/>
    <col min="5379" max="5379" width="56.28515625" style="282" customWidth="1"/>
    <col min="5380" max="5380" width="6.42578125" style="282" bestFit="1" customWidth="1"/>
    <col min="5381" max="5381" width="6.28515625" style="282" bestFit="1" customWidth="1"/>
    <col min="5382" max="5382" width="5" style="282" bestFit="1" customWidth="1"/>
    <col min="5383" max="5383" width="4.28515625" style="282" bestFit="1" customWidth="1"/>
    <col min="5384" max="5384" width="5" style="282" bestFit="1" customWidth="1"/>
    <col min="5385" max="5385" width="5.140625" style="282" bestFit="1" customWidth="1"/>
    <col min="5386" max="5386" width="5.85546875" style="282" bestFit="1" customWidth="1"/>
    <col min="5387" max="5387" width="5.140625" style="282" bestFit="1" customWidth="1"/>
    <col min="5388" max="5388" width="7.140625" style="282" bestFit="1" customWidth="1"/>
    <col min="5389" max="5389" width="6" style="282" bestFit="1" customWidth="1"/>
    <col min="5390" max="5632" width="9.140625" style="282"/>
    <col min="5633" max="5633" width="2.28515625" style="282" customWidth="1"/>
    <col min="5634" max="5634" width="9.140625" style="282" bestFit="1" customWidth="1"/>
    <col min="5635" max="5635" width="56.28515625" style="282" customWidth="1"/>
    <col min="5636" max="5636" width="6.42578125" style="282" bestFit="1" customWidth="1"/>
    <col min="5637" max="5637" width="6.28515625" style="282" bestFit="1" customWidth="1"/>
    <col min="5638" max="5638" width="5" style="282" bestFit="1" customWidth="1"/>
    <col min="5639" max="5639" width="4.28515625" style="282" bestFit="1" customWidth="1"/>
    <col min="5640" max="5640" width="5" style="282" bestFit="1" customWidth="1"/>
    <col min="5641" max="5641" width="5.140625" style="282" bestFit="1" customWidth="1"/>
    <col min="5642" max="5642" width="5.85546875" style="282" bestFit="1" customWidth="1"/>
    <col min="5643" max="5643" width="5.140625" style="282" bestFit="1" customWidth="1"/>
    <col min="5644" max="5644" width="7.140625" style="282" bestFit="1" customWidth="1"/>
    <col min="5645" max="5645" width="6" style="282" bestFit="1" customWidth="1"/>
    <col min="5646" max="5888" width="9.140625" style="282"/>
    <col min="5889" max="5889" width="2.28515625" style="282" customWidth="1"/>
    <col min="5890" max="5890" width="9.140625" style="282" bestFit="1" customWidth="1"/>
    <col min="5891" max="5891" width="56.28515625" style="282" customWidth="1"/>
    <col min="5892" max="5892" width="6.42578125" style="282" bestFit="1" customWidth="1"/>
    <col min="5893" max="5893" width="6.28515625" style="282" bestFit="1" customWidth="1"/>
    <col min="5894" max="5894" width="5" style="282" bestFit="1" customWidth="1"/>
    <col min="5895" max="5895" width="4.28515625" style="282" bestFit="1" customWidth="1"/>
    <col min="5896" max="5896" width="5" style="282" bestFit="1" customWidth="1"/>
    <col min="5897" max="5897" width="5.140625" style="282" bestFit="1" customWidth="1"/>
    <col min="5898" max="5898" width="5.85546875" style="282" bestFit="1" customWidth="1"/>
    <col min="5899" max="5899" width="5.140625" style="282" bestFit="1" customWidth="1"/>
    <col min="5900" max="5900" width="7.140625" style="282" bestFit="1" customWidth="1"/>
    <col min="5901" max="5901" width="6" style="282" bestFit="1" customWidth="1"/>
    <col min="5902" max="6144" width="9.140625" style="282"/>
    <col min="6145" max="6145" width="2.28515625" style="282" customWidth="1"/>
    <col min="6146" max="6146" width="9.140625" style="282" bestFit="1" customWidth="1"/>
    <col min="6147" max="6147" width="56.28515625" style="282" customWidth="1"/>
    <col min="6148" max="6148" width="6.42578125" style="282" bestFit="1" customWidth="1"/>
    <col min="6149" max="6149" width="6.28515625" style="282" bestFit="1" customWidth="1"/>
    <col min="6150" max="6150" width="5" style="282" bestFit="1" customWidth="1"/>
    <col min="6151" max="6151" width="4.28515625" style="282" bestFit="1" customWidth="1"/>
    <col min="6152" max="6152" width="5" style="282" bestFit="1" customWidth="1"/>
    <col min="6153" max="6153" width="5.140625" style="282" bestFit="1" customWidth="1"/>
    <col min="6154" max="6154" width="5.85546875" style="282" bestFit="1" customWidth="1"/>
    <col min="6155" max="6155" width="5.140625" style="282" bestFit="1" customWidth="1"/>
    <col min="6156" max="6156" width="7.140625" style="282" bestFit="1" customWidth="1"/>
    <col min="6157" max="6157" width="6" style="282" bestFit="1" customWidth="1"/>
    <col min="6158" max="6400" width="9.140625" style="282"/>
    <col min="6401" max="6401" width="2.28515625" style="282" customWidth="1"/>
    <col min="6402" max="6402" width="9.140625" style="282" bestFit="1" customWidth="1"/>
    <col min="6403" max="6403" width="56.28515625" style="282" customWidth="1"/>
    <col min="6404" max="6404" width="6.42578125" style="282" bestFit="1" customWidth="1"/>
    <col min="6405" max="6405" width="6.28515625" style="282" bestFit="1" customWidth="1"/>
    <col min="6406" max="6406" width="5" style="282" bestFit="1" customWidth="1"/>
    <col min="6407" max="6407" width="4.28515625" style="282" bestFit="1" customWidth="1"/>
    <col min="6408" max="6408" width="5" style="282" bestFit="1" customWidth="1"/>
    <col min="6409" max="6409" width="5.140625" style="282" bestFit="1" customWidth="1"/>
    <col min="6410" max="6410" width="5.85546875" style="282" bestFit="1" customWidth="1"/>
    <col min="6411" max="6411" width="5.140625" style="282" bestFit="1" customWidth="1"/>
    <col min="6412" max="6412" width="7.140625" style="282" bestFit="1" customWidth="1"/>
    <col min="6413" max="6413" width="6" style="282" bestFit="1" customWidth="1"/>
    <col min="6414" max="6656" width="9.140625" style="282"/>
    <col min="6657" max="6657" width="2.28515625" style="282" customWidth="1"/>
    <col min="6658" max="6658" width="9.140625" style="282" bestFit="1" customWidth="1"/>
    <col min="6659" max="6659" width="56.28515625" style="282" customWidth="1"/>
    <col min="6660" max="6660" width="6.42578125" style="282" bestFit="1" customWidth="1"/>
    <col min="6661" max="6661" width="6.28515625" style="282" bestFit="1" customWidth="1"/>
    <col min="6662" max="6662" width="5" style="282" bestFit="1" customWidth="1"/>
    <col min="6663" max="6663" width="4.28515625" style="282" bestFit="1" customWidth="1"/>
    <col min="6664" max="6664" width="5" style="282" bestFit="1" customWidth="1"/>
    <col min="6665" max="6665" width="5.140625" style="282" bestFit="1" customWidth="1"/>
    <col min="6666" max="6666" width="5.85546875" style="282" bestFit="1" customWidth="1"/>
    <col min="6667" max="6667" width="5.140625" style="282" bestFit="1" customWidth="1"/>
    <col min="6668" max="6668" width="7.140625" style="282" bestFit="1" customWidth="1"/>
    <col min="6669" max="6669" width="6" style="282" bestFit="1" customWidth="1"/>
    <col min="6670" max="6912" width="9.140625" style="282"/>
    <col min="6913" max="6913" width="2.28515625" style="282" customWidth="1"/>
    <col min="6914" max="6914" width="9.140625" style="282" bestFit="1" customWidth="1"/>
    <col min="6915" max="6915" width="56.28515625" style="282" customWidth="1"/>
    <col min="6916" max="6916" width="6.42578125" style="282" bestFit="1" customWidth="1"/>
    <col min="6917" max="6917" width="6.28515625" style="282" bestFit="1" customWidth="1"/>
    <col min="6918" max="6918" width="5" style="282" bestFit="1" customWidth="1"/>
    <col min="6919" max="6919" width="4.28515625" style="282" bestFit="1" customWidth="1"/>
    <col min="6920" max="6920" width="5" style="282" bestFit="1" customWidth="1"/>
    <col min="6921" max="6921" width="5.140625" style="282" bestFit="1" customWidth="1"/>
    <col min="6922" max="6922" width="5.85546875" style="282" bestFit="1" customWidth="1"/>
    <col min="6923" max="6923" width="5.140625" style="282" bestFit="1" customWidth="1"/>
    <col min="6924" max="6924" width="7.140625" style="282" bestFit="1" customWidth="1"/>
    <col min="6925" max="6925" width="6" style="282" bestFit="1" customWidth="1"/>
    <col min="6926" max="7168" width="9.140625" style="282"/>
    <col min="7169" max="7169" width="2.28515625" style="282" customWidth="1"/>
    <col min="7170" max="7170" width="9.140625" style="282" bestFit="1" customWidth="1"/>
    <col min="7171" max="7171" width="56.28515625" style="282" customWidth="1"/>
    <col min="7172" max="7172" width="6.42578125" style="282" bestFit="1" customWidth="1"/>
    <col min="7173" max="7173" width="6.28515625" style="282" bestFit="1" customWidth="1"/>
    <col min="7174" max="7174" width="5" style="282" bestFit="1" customWidth="1"/>
    <col min="7175" max="7175" width="4.28515625" style="282" bestFit="1" customWidth="1"/>
    <col min="7176" max="7176" width="5" style="282" bestFit="1" customWidth="1"/>
    <col min="7177" max="7177" width="5.140625" style="282" bestFit="1" customWidth="1"/>
    <col min="7178" max="7178" width="5.85546875" style="282" bestFit="1" customWidth="1"/>
    <col min="7179" max="7179" width="5.140625" style="282" bestFit="1" customWidth="1"/>
    <col min="7180" max="7180" width="7.140625" style="282" bestFit="1" customWidth="1"/>
    <col min="7181" max="7181" width="6" style="282" bestFit="1" customWidth="1"/>
    <col min="7182" max="7424" width="9.140625" style="282"/>
    <col min="7425" max="7425" width="2.28515625" style="282" customWidth="1"/>
    <col min="7426" max="7426" width="9.140625" style="282" bestFit="1" customWidth="1"/>
    <col min="7427" max="7427" width="56.28515625" style="282" customWidth="1"/>
    <col min="7428" max="7428" width="6.42578125" style="282" bestFit="1" customWidth="1"/>
    <col min="7429" max="7429" width="6.28515625" style="282" bestFit="1" customWidth="1"/>
    <col min="7430" max="7430" width="5" style="282" bestFit="1" customWidth="1"/>
    <col min="7431" max="7431" width="4.28515625" style="282" bestFit="1" customWidth="1"/>
    <col min="7432" max="7432" width="5" style="282" bestFit="1" customWidth="1"/>
    <col min="7433" max="7433" width="5.140625" style="282" bestFit="1" customWidth="1"/>
    <col min="7434" max="7434" width="5.85546875" style="282" bestFit="1" customWidth="1"/>
    <col min="7435" max="7435" width="5.140625" style="282" bestFit="1" customWidth="1"/>
    <col min="7436" max="7436" width="7.140625" style="282" bestFit="1" customWidth="1"/>
    <col min="7437" max="7437" width="6" style="282" bestFit="1" customWidth="1"/>
    <col min="7438" max="7680" width="9.140625" style="282"/>
    <col min="7681" max="7681" width="2.28515625" style="282" customWidth="1"/>
    <col min="7682" max="7682" width="9.140625" style="282" bestFit="1" customWidth="1"/>
    <col min="7683" max="7683" width="56.28515625" style="282" customWidth="1"/>
    <col min="7684" max="7684" width="6.42578125" style="282" bestFit="1" customWidth="1"/>
    <col min="7685" max="7685" width="6.28515625" style="282" bestFit="1" customWidth="1"/>
    <col min="7686" max="7686" width="5" style="282" bestFit="1" customWidth="1"/>
    <col min="7687" max="7687" width="4.28515625" style="282" bestFit="1" customWidth="1"/>
    <col min="7688" max="7688" width="5" style="282" bestFit="1" customWidth="1"/>
    <col min="7689" max="7689" width="5.140625" style="282" bestFit="1" customWidth="1"/>
    <col min="7690" max="7690" width="5.85546875" style="282" bestFit="1" customWidth="1"/>
    <col min="7691" max="7691" width="5.140625" style="282" bestFit="1" customWidth="1"/>
    <col min="7692" max="7692" width="7.140625" style="282" bestFit="1" customWidth="1"/>
    <col min="7693" max="7693" width="6" style="282" bestFit="1" customWidth="1"/>
    <col min="7694" max="7936" width="9.140625" style="282"/>
    <col min="7937" max="7937" width="2.28515625" style="282" customWidth="1"/>
    <col min="7938" max="7938" width="9.140625" style="282" bestFit="1" customWidth="1"/>
    <col min="7939" max="7939" width="56.28515625" style="282" customWidth="1"/>
    <col min="7940" max="7940" width="6.42578125" style="282" bestFit="1" customWidth="1"/>
    <col min="7941" max="7941" width="6.28515625" style="282" bestFit="1" customWidth="1"/>
    <col min="7942" max="7942" width="5" style="282" bestFit="1" customWidth="1"/>
    <col min="7943" max="7943" width="4.28515625" style="282" bestFit="1" customWidth="1"/>
    <col min="7944" max="7944" width="5" style="282" bestFit="1" customWidth="1"/>
    <col min="7945" max="7945" width="5.140625" style="282" bestFit="1" customWidth="1"/>
    <col min="7946" max="7946" width="5.85546875" style="282" bestFit="1" customWidth="1"/>
    <col min="7947" max="7947" width="5.140625" style="282" bestFit="1" customWidth="1"/>
    <col min="7948" max="7948" width="7.140625" style="282" bestFit="1" customWidth="1"/>
    <col min="7949" max="7949" width="6" style="282" bestFit="1" customWidth="1"/>
    <col min="7950" max="8192" width="9.140625" style="282"/>
    <col min="8193" max="8193" width="2.28515625" style="282" customWidth="1"/>
    <col min="8194" max="8194" width="9.140625" style="282" bestFit="1" customWidth="1"/>
    <col min="8195" max="8195" width="56.28515625" style="282" customWidth="1"/>
    <col min="8196" max="8196" width="6.42578125" style="282" bestFit="1" customWidth="1"/>
    <col min="8197" max="8197" width="6.28515625" style="282" bestFit="1" customWidth="1"/>
    <col min="8198" max="8198" width="5" style="282" bestFit="1" customWidth="1"/>
    <col min="8199" max="8199" width="4.28515625" style="282" bestFit="1" customWidth="1"/>
    <col min="8200" max="8200" width="5" style="282" bestFit="1" customWidth="1"/>
    <col min="8201" max="8201" width="5.140625" style="282" bestFit="1" customWidth="1"/>
    <col min="8202" max="8202" width="5.85546875" style="282" bestFit="1" customWidth="1"/>
    <col min="8203" max="8203" width="5.140625" style="282" bestFit="1" customWidth="1"/>
    <col min="8204" max="8204" width="7.140625" style="282" bestFit="1" customWidth="1"/>
    <col min="8205" max="8205" width="6" style="282" bestFit="1" customWidth="1"/>
    <col min="8206" max="8448" width="9.140625" style="282"/>
    <col min="8449" max="8449" width="2.28515625" style="282" customWidth="1"/>
    <col min="8450" max="8450" width="9.140625" style="282" bestFit="1" customWidth="1"/>
    <col min="8451" max="8451" width="56.28515625" style="282" customWidth="1"/>
    <col min="8452" max="8452" width="6.42578125" style="282" bestFit="1" customWidth="1"/>
    <col min="8453" max="8453" width="6.28515625" style="282" bestFit="1" customWidth="1"/>
    <col min="8454" max="8454" width="5" style="282" bestFit="1" customWidth="1"/>
    <col min="8455" max="8455" width="4.28515625" style="282" bestFit="1" customWidth="1"/>
    <col min="8456" max="8456" width="5" style="282" bestFit="1" customWidth="1"/>
    <col min="8457" max="8457" width="5.140625" style="282" bestFit="1" customWidth="1"/>
    <col min="8458" max="8458" width="5.85546875" style="282" bestFit="1" customWidth="1"/>
    <col min="8459" max="8459" width="5.140625" style="282" bestFit="1" customWidth="1"/>
    <col min="8460" max="8460" width="7.140625" style="282" bestFit="1" customWidth="1"/>
    <col min="8461" max="8461" width="6" style="282" bestFit="1" customWidth="1"/>
    <col min="8462" max="8704" width="9.140625" style="282"/>
    <col min="8705" max="8705" width="2.28515625" style="282" customWidth="1"/>
    <col min="8706" max="8706" width="9.140625" style="282" bestFit="1" customWidth="1"/>
    <col min="8707" max="8707" width="56.28515625" style="282" customWidth="1"/>
    <col min="8708" max="8708" width="6.42578125" style="282" bestFit="1" customWidth="1"/>
    <col min="8709" max="8709" width="6.28515625" style="282" bestFit="1" customWidth="1"/>
    <col min="8710" max="8710" width="5" style="282" bestFit="1" customWidth="1"/>
    <col min="8711" max="8711" width="4.28515625" style="282" bestFit="1" customWidth="1"/>
    <col min="8712" max="8712" width="5" style="282" bestFit="1" customWidth="1"/>
    <col min="8713" max="8713" width="5.140625" style="282" bestFit="1" customWidth="1"/>
    <col min="8714" max="8714" width="5.85546875" style="282" bestFit="1" customWidth="1"/>
    <col min="8715" max="8715" width="5.140625" style="282" bestFit="1" customWidth="1"/>
    <col min="8716" max="8716" width="7.140625" style="282" bestFit="1" customWidth="1"/>
    <col min="8717" max="8717" width="6" style="282" bestFit="1" customWidth="1"/>
    <col min="8718" max="8960" width="9.140625" style="282"/>
    <col min="8961" max="8961" width="2.28515625" style="282" customWidth="1"/>
    <col min="8962" max="8962" width="9.140625" style="282" bestFit="1" customWidth="1"/>
    <col min="8963" max="8963" width="56.28515625" style="282" customWidth="1"/>
    <col min="8964" max="8964" width="6.42578125" style="282" bestFit="1" customWidth="1"/>
    <col min="8965" max="8965" width="6.28515625" style="282" bestFit="1" customWidth="1"/>
    <col min="8966" max="8966" width="5" style="282" bestFit="1" customWidth="1"/>
    <col min="8967" max="8967" width="4.28515625" style="282" bestFit="1" customWidth="1"/>
    <col min="8968" max="8968" width="5" style="282" bestFit="1" customWidth="1"/>
    <col min="8969" max="8969" width="5.140625" style="282" bestFit="1" customWidth="1"/>
    <col min="8970" max="8970" width="5.85546875" style="282" bestFit="1" customWidth="1"/>
    <col min="8971" max="8971" width="5.140625" style="282" bestFit="1" customWidth="1"/>
    <col min="8972" max="8972" width="7.140625" style="282" bestFit="1" customWidth="1"/>
    <col min="8973" max="8973" width="6" style="282" bestFit="1" customWidth="1"/>
    <col min="8974" max="9216" width="9.140625" style="282"/>
    <col min="9217" max="9217" width="2.28515625" style="282" customWidth="1"/>
    <col min="9218" max="9218" width="9.140625" style="282" bestFit="1" customWidth="1"/>
    <col min="9219" max="9219" width="56.28515625" style="282" customWidth="1"/>
    <col min="9220" max="9220" width="6.42578125" style="282" bestFit="1" customWidth="1"/>
    <col min="9221" max="9221" width="6.28515625" style="282" bestFit="1" customWidth="1"/>
    <col min="9222" max="9222" width="5" style="282" bestFit="1" customWidth="1"/>
    <col min="9223" max="9223" width="4.28515625" style="282" bestFit="1" customWidth="1"/>
    <col min="9224" max="9224" width="5" style="282" bestFit="1" customWidth="1"/>
    <col min="9225" max="9225" width="5.140625" style="282" bestFit="1" customWidth="1"/>
    <col min="9226" max="9226" width="5.85546875" style="282" bestFit="1" customWidth="1"/>
    <col min="9227" max="9227" width="5.140625" style="282" bestFit="1" customWidth="1"/>
    <col min="9228" max="9228" width="7.140625" style="282" bestFit="1" customWidth="1"/>
    <col min="9229" max="9229" width="6" style="282" bestFit="1" customWidth="1"/>
    <col min="9230" max="9472" width="9.140625" style="282"/>
    <col min="9473" max="9473" width="2.28515625" style="282" customWidth="1"/>
    <col min="9474" max="9474" width="9.140625" style="282" bestFit="1" customWidth="1"/>
    <col min="9475" max="9475" width="56.28515625" style="282" customWidth="1"/>
    <col min="9476" max="9476" width="6.42578125" style="282" bestFit="1" customWidth="1"/>
    <col min="9477" max="9477" width="6.28515625" style="282" bestFit="1" customWidth="1"/>
    <col min="9478" max="9478" width="5" style="282" bestFit="1" customWidth="1"/>
    <col min="9479" max="9479" width="4.28515625" style="282" bestFit="1" customWidth="1"/>
    <col min="9480" max="9480" width="5" style="282" bestFit="1" customWidth="1"/>
    <col min="9481" max="9481" width="5.140625" style="282" bestFit="1" customWidth="1"/>
    <col min="9482" max="9482" width="5.85546875" style="282" bestFit="1" customWidth="1"/>
    <col min="9483" max="9483" width="5.140625" style="282" bestFit="1" customWidth="1"/>
    <col min="9484" max="9484" width="7.140625" style="282" bestFit="1" customWidth="1"/>
    <col min="9485" max="9485" width="6" style="282" bestFit="1" customWidth="1"/>
    <col min="9486" max="9728" width="9.140625" style="282"/>
    <col min="9729" max="9729" width="2.28515625" style="282" customWidth="1"/>
    <col min="9730" max="9730" width="9.140625" style="282" bestFit="1" customWidth="1"/>
    <col min="9731" max="9731" width="56.28515625" style="282" customWidth="1"/>
    <col min="9732" max="9732" width="6.42578125" style="282" bestFit="1" customWidth="1"/>
    <col min="9733" max="9733" width="6.28515625" style="282" bestFit="1" customWidth="1"/>
    <col min="9734" max="9734" width="5" style="282" bestFit="1" customWidth="1"/>
    <col min="9735" max="9735" width="4.28515625" style="282" bestFit="1" customWidth="1"/>
    <col min="9736" max="9736" width="5" style="282" bestFit="1" customWidth="1"/>
    <col min="9737" max="9737" width="5.140625" style="282" bestFit="1" customWidth="1"/>
    <col min="9738" max="9738" width="5.85546875" style="282" bestFit="1" customWidth="1"/>
    <col min="9739" max="9739" width="5.140625" style="282" bestFit="1" customWidth="1"/>
    <col min="9740" max="9740" width="7.140625" style="282" bestFit="1" customWidth="1"/>
    <col min="9741" max="9741" width="6" style="282" bestFit="1" customWidth="1"/>
    <col min="9742" max="9984" width="9.140625" style="282"/>
    <col min="9985" max="9985" width="2.28515625" style="282" customWidth="1"/>
    <col min="9986" max="9986" width="9.140625" style="282" bestFit="1" customWidth="1"/>
    <col min="9987" max="9987" width="56.28515625" style="282" customWidth="1"/>
    <col min="9988" max="9988" width="6.42578125" style="282" bestFit="1" customWidth="1"/>
    <col min="9989" max="9989" width="6.28515625" style="282" bestFit="1" customWidth="1"/>
    <col min="9990" max="9990" width="5" style="282" bestFit="1" customWidth="1"/>
    <col min="9991" max="9991" width="4.28515625" style="282" bestFit="1" customWidth="1"/>
    <col min="9992" max="9992" width="5" style="282" bestFit="1" customWidth="1"/>
    <col min="9993" max="9993" width="5.140625" style="282" bestFit="1" customWidth="1"/>
    <col min="9994" max="9994" width="5.85546875" style="282" bestFit="1" customWidth="1"/>
    <col min="9995" max="9995" width="5.140625" style="282" bestFit="1" customWidth="1"/>
    <col min="9996" max="9996" width="7.140625" style="282" bestFit="1" customWidth="1"/>
    <col min="9997" max="9997" width="6" style="282" bestFit="1" customWidth="1"/>
    <col min="9998" max="10240" width="9.140625" style="282"/>
    <col min="10241" max="10241" width="2.28515625" style="282" customWidth="1"/>
    <col min="10242" max="10242" width="9.140625" style="282" bestFit="1" customWidth="1"/>
    <col min="10243" max="10243" width="56.28515625" style="282" customWidth="1"/>
    <col min="10244" max="10244" width="6.42578125" style="282" bestFit="1" customWidth="1"/>
    <col min="10245" max="10245" width="6.28515625" style="282" bestFit="1" customWidth="1"/>
    <col min="10246" max="10246" width="5" style="282" bestFit="1" customWidth="1"/>
    <col min="10247" max="10247" width="4.28515625" style="282" bestFit="1" customWidth="1"/>
    <col min="10248" max="10248" width="5" style="282" bestFit="1" customWidth="1"/>
    <col min="10249" max="10249" width="5.140625" style="282" bestFit="1" customWidth="1"/>
    <col min="10250" max="10250" width="5.85546875" style="282" bestFit="1" customWidth="1"/>
    <col min="10251" max="10251" width="5.140625" style="282" bestFit="1" customWidth="1"/>
    <col min="10252" max="10252" width="7.140625" style="282" bestFit="1" customWidth="1"/>
    <col min="10253" max="10253" width="6" style="282" bestFit="1" customWidth="1"/>
    <col min="10254" max="10496" width="9.140625" style="282"/>
    <col min="10497" max="10497" width="2.28515625" style="282" customWidth="1"/>
    <col min="10498" max="10498" width="9.140625" style="282" bestFit="1" customWidth="1"/>
    <col min="10499" max="10499" width="56.28515625" style="282" customWidth="1"/>
    <col min="10500" max="10500" width="6.42578125" style="282" bestFit="1" customWidth="1"/>
    <col min="10501" max="10501" width="6.28515625" style="282" bestFit="1" customWidth="1"/>
    <col min="10502" max="10502" width="5" style="282" bestFit="1" customWidth="1"/>
    <col min="10503" max="10503" width="4.28515625" style="282" bestFit="1" customWidth="1"/>
    <col min="10504" max="10504" width="5" style="282" bestFit="1" customWidth="1"/>
    <col min="10505" max="10505" width="5.140625" style="282" bestFit="1" customWidth="1"/>
    <col min="10506" max="10506" width="5.85546875" style="282" bestFit="1" customWidth="1"/>
    <col min="10507" max="10507" width="5.140625" style="282" bestFit="1" customWidth="1"/>
    <col min="10508" max="10508" width="7.140625" style="282" bestFit="1" customWidth="1"/>
    <col min="10509" max="10509" width="6" style="282" bestFit="1" customWidth="1"/>
    <col min="10510" max="10752" width="9.140625" style="282"/>
    <col min="10753" max="10753" width="2.28515625" style="282" customWidth="1"/>
    <col min="10754" max="10754" width="9.140625" style="282" bestFit="1" customWidth="1"/>
    <col min="10755" max="10755" width="56.28515625" style="282" customWidth="1"/>
    <col min="10756" max="10756" width="6.42578125" style="282" bestFit="1" customWidth="1"/>
    <col min="10757" max="10757" width="6.28515625" style="282" bestFit="1" customWidth="1"/>
    <col min="10758" max="10758" width="5" style="282" bestFit="1" customWidth="1"/>
    <col min="10759" max="10759" width="4.28515625" style="282" bestFit="1" customWidth="1"/>
    <col min="10760" max="10760" width="5" style="282" bestFit="1" customWidth="1"/>
    <col min="10761" max="10761" width="5.140625" style="282" bestFit="1" customWidth="1"/>
    <col min="10762" max="10762" width="5.85546875" style="282" bestFit="1" customWidth="1"/>
    <col min="10763" max="10763" width="5.140625" style="282" bestFit="1" customWidth="1"/>
    <col min="10764" max="10764" width="7.140625" style="282" bestFit="1" customWidth="1"/>
    <col min="10765" max="10765" width="6" style="282" bestFit="1" customWidth="1"/>
    <col min="10766" max="11008" width="9.140625" style="282"/>
    <col min="11009" max="11009" width="2.28515625" style="282" customWidth="1"/>
    <col min="11010" max="11010" width="9.140625" style="282" bestFit="1" customWidth="1"/>
    <col min="11011" max="11011" width="56.28515625" style="282" customWidth="1"/>
    <col min="11012" max="11012" width="6.42578125" style="282" bestFit="1" customWidth="1"/>
    <col min="11013" max="11013" width="6.28515625" style="282" bestFit="1" customWidth="1"/>
    <col min="11014" max="11014" width="5" style="282" bestFit="1" customWidth="1"/>
    <col min="11015" max="11015" width="4.28515625" style="282" bestFit="1" customWidth="1"/>
    <col min="11016" max="11016" width="5" style="282" bestFit="1" customWidth="1"/>
    <col min="11017" max="11017" width="5.140625" style="282" bestFit="1" customWidth="1"/>
    <col min="11018" max="11018" width="5.85546875" style="282" bestFit="1" customWidth="1"/>
    <col min="11019" max="11019" width="5.140625" style="282" bestFit="1" customWidth="1"/>
    <col min="11020" max="11020" width="7.140625" style="282" bestFit="1" customWidth="1"/>
    <col min="11021" max="11021" width="6" style="282" bestFit="1" customWidth="1"/>
    <col min="11022" max="11264" width="9.140625" style="282"/>
    <col min="11265" max="11265" width="2.28515625" style="282" customWidth="1"/>
    <col min="11266" max="11266" width="9.140625" style="282" bestFit="1" customWidth="1"/>
    <col min="11267" max="11267" width="56.28515625" style="282" customWidth="1"/>
    <col min="11268" max="11268" width="6.42578125" style="282" bestFit="1" customWidth="1"/>
    <col min="11269" max="11269" width="6.28515625" style="282" bestFit="1" customWidth="1"/>
    <col min="11270" max="11270" width="5" style="282" bestFit="1" customWidth="1"/>
    <col min="11271" max="11271" width="4.28515625" style="282" bestFit="1" customWidth="1"/>
    <col min="11272" max="11272" width="5" style="282" bestFit="1" customWidth="1"/>
    <col min="11273" max="11273" width="5.140625" style="282" bestFit="1" customWidth="1"/>
    <col min="11274" max="11274" width="5.85546875" style="282" bestFit="1" customWidth="1"/>
    <col min="11275" max="11275" width="5.140625" style="282" bestFit="1" customWidth="1"/>
    <col min="11276" max="11276" width="7.140625" style="282" bestFit="1" customWidth="1"/>
    <col min="11277" max="11277" width="6" style="282" bestFit="1" customWidth="1"/>
    <col min="11278" max="11520" width="9.140625" style="282"/>
    <col min="11521" max="11521" width="2.28515625" style="282" customWidth="1"/>
    <col min="11522" max="11522" width="9.140625" style="282" bestFit="1" customWidth="1"/>
    <col min="11523" max="11523" width="56.28515625" style="282" customWidth="1"/>
    <col min="11524" max="11524" width="6.42578125" style="282" bestFit="1" customWidth="1"/>
    <col min="11525" max="11525" width="6.28515625" style="282" bestFit="1" customWidth="1"/>
    <col min="11526" max="11526" width="5" style="282" bestFit="1" customWidth="1"/>
    <col min="11527" max="11527" width="4.28515625" style="282" bestFit="1" customWidth="1"/>
    <col min="11528" max="11528" width="5" style="282" bestFit="1" customWidth="1"/>
    <col min="11529" max="11529" width="5.140625" style="282" bestFit="1" customWidth="1"/>
    <col min="11530" max="11530" width="5.85546875" style="282" bestFit="1" customWidth="1"/>
    <col min="11531" max="11531" width="5.140625" style="282" bestFit="1" customWidth="1"/>
    <col min="11532" max="11532" width="7.140625" style="282" bestFit="1" customWidth="1"/>
    <col min="11533" max="11533" width="6" style="282" bestFit="1" customWidth="1"/>
    <col min="11534" max="11776" width="9.140625" style="282"/>
    <col min="11777" max="11777" width="2.28515625" style="282" customWidth="1"/>
    <col min="11778" max="11778" width="9.140625" style="282" bestFit="1" customWidth="1"/>
    <col min="11779" max="11779" width="56.28515625" style="282" customWidth="1"/>
    <col min="11780" max="11780" width="6.42578125" style="282" bestFit="1" customWidth="1"/>
    <col min="11781" max="11781" width="6.28515625" style="282" bestFit="1" customWidth="1"/>
    <col min="11782" max="11782" width="5" style="282" bestFit="1" customWidth="1"/>
    <col min="11783" max="11783" width="4.28515625" style="282" bestFit="1" customWidth="1"/>
    <col min="11784" max="11784" width="5" style="282" bestFit="1" customWidth="1"/>
    <col min="11785" max="11785" width="5.140625" style="282" bestFit="1" customWidth="1"/>
    <col min="11786" max="11786" width="5.85546875" style="282" bestFit="1" customWidth="1"/>
    <col min="11787" max="11787" width="5.140625" style="282" bestFit="1" customWidth="1"/>
    <col min="11788" max="11788" width="7.140625" style="282" bestFit="1" customWidth="1"/>
    <col min="11789" max="11789" width="6" style="282" bestFit="1" customWidth="1"/>
    <col min="11790" max="12032" width="9.140625" style="282"/>
    <col min="12033" max="12033" width="2.28515625" style="282" customWidth="1"/>
    <col min="12034" max="12034" width="9.140625" style="282" bestFit="1" customWidth="1"/>
    <col min="12035" max="12035" width="56.28515625" style="282" customWidth="1"/>
    <col min="12036" max="12036" width="6.42578125" style="282" bestFit="1" customWidth="1"/>
    <col min="12037" max="12037" width="6.28515625" style="282" bestFit="1" customWidth="1"/>
    <col min="12038" max="12038" width="5" style="282" bestFit="1" customWidth="1"/>
    <col min="12039" max="12039" width="4.28515625" style="282" bestFit="1" customWidth="1"/>
    <col min="12040" max="12040" width="5" style="282" bestFit="1" customWidth="1"/>
    <col min="12041" max="12041" width="5.140625" style="282" bestFit="1" customWidth="1"/>
    <col min="12042" max="12042" width="5.85546875" style="282" bestFit="1" customWidth="1"/>
    <col min="12043" max="12043" width="5.140625" style="282" bestFit="1" customWidth="1"/>
    <col min="12044" max="12044" width="7.140625" style="282" bestFit="1" customWidth="1"/>
    <col min="12045" max="12045" width="6" style="282" bestFit="1" customWidth="1"/>
    <col min="12046" max="12288" width="9.140625" style="282"/>
    <col min="12289" max="12289" width="2.28515625" style="282" customWidth="1"/>
    <col min="12290" max="12290" width="9.140625" style="282" bestFit="1" customWidth="1"/>
    <col min="12291" max="12291" width="56.28515625" style="282" customWidth="1"/>
    <col min="12292" max="12292" width="6.42578125" style="282" bestFit="1" customWidth="1"/>
    <col min="12293" max="12293" width="6.28515625" style="282" bestFit="1" customWidth="1"/>
    <col min="12294" max="12294" width="5" style="282" bestFit="1" customWidth="1"/>
    <col min="12295" max="12295" width="4.28515625" style="282" bestFit="1" customWidth="1"/>
    <col min="12296" max="12296" width="5" style="282" bestFit="1" customWidth="1"/>
    <col min="12297" max="12297" width="5.140625" style="282" bestFit="1" customWidth="1"/>
    <col min="12298" max="12298" width="5.85546875" style="282" bestFit="1" customWidth="1"/>
    <col min="12299" max="12299" width="5.140625" style="282" bestFit="1" customWidth="1"/>
    <col min="12300" max="12300" width="7.140625" style="282" bestFit="1" customWidth="1"/>
    <col min="12301" max="12301" width="6" style="282" bestFit="1" customWidth="1"/>
    <col min="12302" max="12544" width="9.140625" style="282"/>
    <col min="12545" max="12545" width="2.28515625" style="282" customWidth="1"/>
    <col min="12546" max="12546" width="9.140625" style="282" bestFit="1" customWidth="1"/>
    <col min="12547" max="12547" width="56.28515625" style="282" customWidth="1"/>
    <col min="12548" max="12548" width="6.42578125" style="282" bestFit="1" customWidth="1"/>
    <col min="12549" max="12549" width="6.28515625" style="282" bestFit="1" customWidth="1"/>
    <col min="12550" max="12550" width="5" style="282" bestFit="1" customWidth="1"/>
    <col min="12551" max="12551" width="4.28515625" style="282" bestFit="1" customWidth="1"/>
    <col min="12552" max="12552" width="5" style="282" bestFit="1" customWidth="1"/>
    <col min="12553" max="12553" width="5.140625" style="282" bestFit="1" customWidth="1"/>
    <col min="12554" max="12554" width="5.85546875" style="282" bestFit="1" customWidth="1"/>
    <col min="12555" max="12555" width="5.140625" style="282" bestFit="1" customWidth="1"/>
    <col min="12556" max="12556" width="7.140625" style="282" bestFit="1" customWidth="1"/>
    <col min="12557" max="12557" width="6" style="282" bestFit="1" customWidth="1"/>
    <col min="12558" max="12800" width="9.140625" style="282"/>
    <col min="12801" max="12801" width="2.28515625" style="282" customWidth="1"/>
    <col min="12802" max="12802" width="9.140625" style="282" bestFit="1" customWidth="1"/>
    <col min="12803" max="12803" width="56.28515625" style="282" customWidth="1"/>
    <col min="12804" max="12804" width="6.42578125" style="282" bestFit="1" customWidth="1"/>
    <col min="12805" max="12805" width="6.28515625" style="282" bestFit="1" customWidth="1"/>
    <col min="12806" max="12806" width="5" style="282" bestFit="1" customWidth="1"/>
    <col min="12807" max="12807" width="4.28515625" style="282" bestFit="1" customWidth="1"/>
    <col min="12808" max="12808" width="5" style="282" bestFit="1" customWidth="1"/>
    <col min="12809" max="12809" width="5.140625" style="282" bestFit="1" customWidth="1"/>
    <col min="12810" max="12810" width="5.85546875" style="282" bestFit="1" customWidth="1"/>
    <col min="12811" max="12811" width="5.140625" style="282" bestFit="1" customWidth="1"/>
    <col min="12812" max="12812" width="7.140625" style="282" bestFit="1" customWidth="1"/>
    <col min="12813" max="12813" width="6" style="282" bestFit="1" customWidth="1"/>
    <col min="12814" max="13056" width="9.140625" style="282"/>
    <col min="13057" max="13057" width="2.28515625" style="282" customWidth="1"/>
    <col min="13058" max="13058" width="9.140625" style="282" bestFit="1" customWidth="1"/>
    <col min="13059" max="13059" width="56.28515625" style="282" customWidth="1"/>
    <col min="13060" max="13060" width="6.42578125" style="282" bestFit="1" customWidth="1"/>
    <col min="13061" max="13061" width="6.28515625" style="282" bestFit="1" customWidth="1"/>
    <col min="13062" max="13062" width="5" style="282" bestFit="1" customWidth="1"/>
    <col min="13063" max="13063" width="4.28515625" style="282" bestFit="1" customWidth="1"/>
    <col min="13064" max="13064" width="5" style="282" bestFit="1" customWidth="1"/>
    <col min="13065" max="13065" width="5.140625" style="282" bestFit="1" customWidth="1"/>
    <col min="13066" max="13066" width="5.85546875" style="282" bestFit="1" customWidth="1"/>
    <col min="13067" max="13067" width="5.140625" style="282" bestFit="1" customWidth="1"/>
    <col min="13068" max="13068" width="7.140625" style="282" bestFit="1" customWidth="1"/>
    <col min="13069" max="13069" width="6" style="282" bestFit="1" customWidth="1"/>
    <col min="13070" max="13312" width="9.140625" style="282"/>
    <col min="13313" max="13313" width="2.28515625" style="282" customWidth="1"/>
    <col min="13314" max="13314" width="9.140625" style="282" bestFit="1" customWidth="1"/>
    <col min="13315" max="13315" width="56.28515625" style="282" customWidth="1"/>
    <col min="13316" max="13316" width="6.42578125" style="282" bestFit="1" customWidth="1"/>
    <col min="13317" max="13317" width="6.28515625" style="282" bestFit="1" customWidth="1"/>
    <col min="13318" max="13318" width="5" style="282" bestFit="1" customWidth="1"/>
    <col min="13319" max="13319" width="4.28515625" style="282" bestFit="1" customWidth="1"/>
    <col min="13320" max="13320" width="5" style="282" bestFit="1" customWidth="1"/>
    <col min="13321" max="13321" width="5.140625" style="282" bestFit="1" customWidth="1"/>
    <col min="13322" max="13322" width="5.85546875" style="282" bestFit="1" customWidth="1"/>
    <col min="13323" max="13323" width="5.140625" style="282" bestFit="1" customWidth="1"/>
    <col min="13324" max="13324" width="7.140625" style="282" bestFit="1" customWidth="1"/>
    <col min="13325" max="13325" width="6" style="282" bestFit="1" customWidth="1"/>
    <col min="13326" max="13568" width="9.140625" style="282"/>
    <col min="13569" max="13569" width="2.28515625" style="282" customWidth="1"/>
    <col min="13570" max="13570" width="9.140625" style="282" bestFit="1" customWidth="1"/>
    <col min="13571" max="13571" width="56.28515625" style="282" customWidth="1"/>
    <col min="13572" max="13572" width="6.42578125" style="282" bestFit="1" customWidth="1"/>
    <col min="13573" max="13573" width="6.28515625" style="282" bestFit="1" customWidth="1"/>
    <col min="13574" max="13574" width="5" style="282" bestFit="1" customWidth="1"/>
    <col min="13575" max="13575" width="4.28515625" style="282" bestFit="1" customWidth="1"/>
    <col min="13576" max="13576" width="5" style="282" bestFit="1" customWidth="1"/>
    <col min="13577" max="13577" width="5.140625" style="282" bestFit="1" customWidth="1"/>
    <col min="13578" max="13578" width="5.85546875" style="282" bestFit="1" customWidth="1"/>
    <col min="13579" max="13579" width="5.140625" style="282" bestFit="1" customWidth="1"/>
    <col min="13580" max="13580" width="7.140625" style="282" bestFit="1" customWidth="1"/>
    <col min="13581" max="13581" width="6" style="282" bestFit="1" customWidth="1"/>
    <col min="13582" max="13824" width="9.140625" style="282"/>
    <col min="13825" max="13825" width="2.28515625" style="282" customWidth="1"/>
    <col min="13826" max="13826" width="9.140625" style="282" bestFit="1" customWidth="1"/>
    <col min="13827" max="13827" width="56.28515625" style="282" customWidth="1"/>
    <col min="13828" max="13828" width="6.42578125" style="282" bestFit="1" customWidth="1"/>
    <col min="13829" max="13829" width="6.28515625" style="282" bestFit="1" customWidth="1"/>
    <col min="13830" max="13830" width="5" style="282" bestFit="1" customWidth="1"/>
    <col min="13831" max="13831" width="4.28515625" style="282" bestFit="1" customWidth="1"/>
    <col min="13832" max="13832" width="5" style="282" bestFit="1" customWidth="1"/>
    <col min="13833" max="13833" width="5.140625" style="282" bestFit="1" customWidth="1"/>
    <col min="13834" max="13834" width="5.85546875" style="282" bestFit="1" customWidth="1"/>
    <col min="13835" max="13835" width="5.140625" style="282" bestFit="1" customWidth="1"/>
    <col min="13836" max="13836" width="7.140625" style="282" bestFit="1" customWidth="1"/>
    <col min="13837" max="13837" width="6" style="282" bestFit="1" customWidth="1"/>
    <col min="13838" max="14080" width="9.140625" style="282"/>
    <col min="14081" max="14081" width="2.28515625" style="282" customWidth="1"/>
    <col min="14082" max="14082" width="9.140625" style="282" bestFit="1" customWidth="1"/>
    <col min="14083" max="14083" width="56.28515625" style="282" customWidth="1"/>
    <col min="14084" max="14084" width="6.42578125" style="282" bestFit="1" customWidth="1"/>
    <col min="14085" max="14085" width="6.28515625" style="282" bestFit="1" customWidth="1"/>
    <col min="14086" max="14086" width="5" style="282" bestFit="1" customWidth="1"/>
    <col min="14087" max="14087" width="4.28515625" style="282" bestFit="1" customWidth="1"/>
    <col min="14088" max="14088" width="5" style="282" bestFit="1" customWidth="1"/>
    <col min="14089" max="14089" width="5.140625" style="282" bestFit="1" customWidth="1"/>
    <col min="14090" max="14090" width="5.85546875" style="282" bestFit="1" customWidth="1"/>
    <col min="14091" max="14091" width="5.140625" style="282" bestFit="1" customWidth="1"/>
    <col min="14092" max="14092" width="7.140625" style="282" bestFit="1" customWidth="1"/>
    <col min="14093" max="14093" width="6" style="282" bestFit="1" customWidth="1"/>
    <col min="14094" max="14336" width="9.140625" style="282"/>
    <col min="14337" max="14337" width="2.28515625" style="282" customWidth="1"/>
    <col min="14338" max="14338" width="9.140625" style="282" bestFit="1" customWidth="1"/>
    <col min="14339" max="14339" width="56.28515625" style="282" customWidth="1"/>
    <col min="14340" max="14340" width="6.42578125" style="282" bestFit="1" customWidth="1"/>
    <col min="14341" max="14341" width="6.28515625" style="282" bestFit="1" customWidth="1"/>
    <col min="14342" max="14342" width="5" style="282" bestFit="1" customWidth="1"/>
    <col min="14343" max="14343" width="4.28515625" style="282" bestFit="1" customWidth="1"/>
    <col min="14344" max="14344" width="5" style="282" bestFit="1" customWidth="1"/>
    <col min="14345" max="14345" width="5.140625" style="282" bestFit="1" customWidth="1"/>
    <col min="14346" max="14346" width="5.85546875" style="282" bestFit="1" customWidth="1"/>
    <col min="14347" max="14347" width="5.140625" style="282" bestFit="1" customWidth="1"/>
    <col min="14348" max="14348" width="7.140625" style="282" bestFit="1" customWidth="1"/>
    <col min="14349" max="14349" width="6" style="282" bestFit="1" customWidth="1"/>
    <col min="14350" max="14592" width="9.140625" style="282"/>
    <col min="14593" max="14593" width="2.28515625" style="282" customWidth="1"/>
    <col min="14594" max="14594" width="9.140625" style="282" bestFit="1" customWidth="1"/>
    <col min="14595" max="14595" width="56.28515625" style="282" customWidth="1"/>
    <col min="14596" max="14596" width="6.42578125" style="282" bestFit="1" customWidth="1"/>
    <col min="14597" max="14597" width="6.28515625" style="282" bestFit="1" customWidth="1"/>
    <col min="14598" max="14598" width="5" style="282" bestFit="1" customWidth="1"/>
    <col min="14599" max="14599" width="4.28515625" style="282" bestFit="1" customWidth="1"/>
    <col min="14600" max="14600" width="5" style="282" bestFit="1" customWidth="1"/>
    <col min="14601" max="14601" width="5.140625" style="282" bestFit="1" customWidth="1"/>
    <col min="14602" max="14602" width="5.85546875" style="282" bestFit="1" customWidth="1"/>
    <col min="14603" max="14603" width="5.140625" style="282" bestFit="1" customWidth="1"/>
    <col min="14604" max="14604" width="7.140625" style="282" bestFit="1" customWidth="1"/>
    <col min="14605" max="14605" width="6" style="282" bestFit="1" customWidth="1"/>
    <col min="14606" max="14848" width="9.140625" style="282"/>
    <col min="14849" max="14849" width="2.28515625" style="282" customWidth="1"/>
    <col min="14850" max="14850" width="9.140625" style="282" bestFit="1" customWidth="1"/>
    <col min="14851" max="14851" width="56.28515625" style="282" customWidth="1"/>
    <col min="14852" max="14852" width="6.42578125" style="282" bestFit="1" customWidth="1"/>
    <col min="14853" max="14853" width="6.28515625" style="282" bestFit="1" customWidth="1"/>
    <col min="14854" max="14854" width="5" style="282" bestFit="1" customWidth="1"/>
    <col min="14855" max="14855" width="4.28515625" style="282" bestFit="1" customWidth="1"/>
    <col min="14856" max="14856" width="5" style="282" bestFit="1" customWidth="1"/>
    <col min="14857" max="14857" width="5.140625" style="282" bestFit="1" customWidth="1"/>
    <col min="14858" max="14858" width="5.85546875" style="282" bestFit="1" customWidth="1"/>
    <col min="14859" max="14859" width="5.140625" style="282" bestFit="1" customWidth="1"/>
    <col min="14860" max="14860" width="7.140625" style="282" bestFit="1" customWidth="1"/>
    <col min="14861" max="14861" width="6" style="282" bestFit="1" customWidth="1"/>
    <col min="14862" max="15104" width="9.140625" style="282"/>
    <col min="15105" max="15105" width="2.28515625" style="282" customWidth="1"/>
    <col min="15106" max="15106" width="9.140625" style="282" bestFit="1" customWidth="1"/>
    <col min="15107" max="15107" width="56.28515625" style="282" customWidth="1"/>
    <col min="15108" max="15108" width="6.42578125" style="282" bestFit="1" customWidth="1"/>
    <col min="15109" max="15109" width="6.28515625" style="282" bestFit="1" customWidth="1"/>
    <col min="15110" max="15110" width="5" style="282" bestFit="1" customWidth="1"/>
    <col min="15111" max="15111" width="4.28515625" style="282" bestFit="1" customWidth="1"/>
    <col min="15112" max="15112" width="5" style="282" bestFit="1" customWidth="1"/>
    <col min="15113" max="15113" width="5.140625" style="282" bestFit="1" customWidth="1"/>
    <col min="15114" max="15114" width="5.85546875" style="282" bestFit="1" customWidth="1"/>
    <col min="15115" max="15115" width="5.140625" style="282" bestFit="1" customWidth="1"/>
    <col min="15116" max="15116" width="7.140625" style="282" bestFit="1" customWidth="1"/>
    <col min="15117" max="15117" width="6" style="282" bestFit="1" customWidth="1"/>
    <col min="15118" max="15360" width="9.140625" style="282"/>
    <col min="15361" max="15361" width="2.28515625" style="282" customWidth="1"/>
    <col min="15362" max="15362" width="9.140625" style="282" bestFit="1" customWidth="1"/>
    <col min="15363" max="15363" width="56.28515625" style="282" customWidth="1"/>
    <col min="15364" max="15364" width="6.42578125" style="282" bestFit="1" customWidth="1"/>
    <col min="15365" max="15365" width="6.28515625" style="282" bestFit="1" customWidth="1"/>
    <col min="15366" max="15366" width="5" style="282" bestFit="1" customWidth="1"/>
    <col min="15367" max="15367" width="4.28515625" style="282" bestFit="1" customWidth="1"/>
    <col min="15368" max="15368" width="5" style="282" bestFit="1" customWidth="1"/>
    <col min="15369" max="15369" width="5.140625" style="282" bestFit="1" customWidth="1"/>
    <col min="15370" max="15370" width="5.85546875" style="282" bestFit="1" customWidth="1"/>
    <col min="15371" max="15371" width="5.140625" style="282" bestFit="1" customWidth="1"/>
    <col min="15372" max="15372" width="7.140625" style="282" bestFit="1" customWidth="1"/>
    <col min="15373" max="15373" width="6" style="282" bestFit="1" customWidth="1"/>
    <col min="15374" max="15616" width="9.140625" style="282"/>
    <col min="15617" max="15617" width="2.28515625" style="282" customWidth="1"/>
    <col min="15618" max="15618" width="9.140625" style="282" bestFit="1" customWidth="1"/>
    <col min="15619" max="15619" width="56.28515625" style="282" customWidth="1"/>
    <col min="15620" max="15620" width="6.42578125" style="282" bestFit="1" customWidth="1"/>
    <col min="15621" max="15621" width="6.28515625" style="282" bestFit="1" customWidth="1"/>
    <col min="15622" max="15622" width="5" style="282" bestFit="1" customWidth="1"/>
    <col min="15623" max="15623" width="4.28515625" style="282" bestFit="1" customWidth="1"/>
    <col min="15624" max="15624" width="5" style="282" bestFit="1" customWidth="1"/>
    <col min="15625" max="15625" width="5.140625" style="282" bestFit="1" customWidth="1"/>
    <col min="15626" max="15626" width="5.85546875" style="282" bestFit="1" customWidth="1"/>
    <col min="15627" max="15627" width="5.140625" style="282" bestFit="1" customWidth="1"/>
    <col min="15628" max="15628" width="7.140625" style="282" bestFit="1" customWidth="1"/>
    <col min="15629" max="15629" width="6" style="282" bestFit="1" customWidth="1"/>
    <col min="15630" max="15872" width="9.140625" style="282"/>
    <col min="15873" max="15873" width="2.28515625" style="282" customWidth="1"/>
    <col min="15874" max="15874" width="9.140625" style="282" bestFit="1" customWidth="1"/>
    <col min="15875" max="15875" width="56.28515625" style="282" customWidth="1"/>
    <col min="15876" max="15876" width="6.42578125" style="282" bestFit="1" customWidth="1"/>
    <col min="15877" max="15877" width="6.28515625" style="282" bestFit="1" customWidth="1"/>
    <col min="15878" max="15878" width="5" style="282" bestFit="1" customWidth="1"/>
    <col min="15879" max="15879" width="4.28515625" style="282" bestFit="1" customWidth="1"/>
    <col min="15880" max="15880" width="5" style="282" bestFit="1" customWidth="1"/>
    <col min="15881" max="15881" width="5.140625" style="282" bestFit="1" customWidth="1"/>
    <col min="15882" max="15882" width="5.85546875" style="282" bestFit="1" customWidth="1"/>
    <col min="15883" max="15883" width="5.140625" style="282" bestFit="1" customWidth="1"/>
    <col min="15884" max="15884" width="7.140625" style="282" bestFit="1" customWidth="1"/>
    <col min="15885" max="15885" width="6" style="282" bestFit="1" customWidth="1"/>
    <col min="15886" max="16128" width="9.140625" style="282"/>
    <col min="16129" max="16129" width="2.28515625" style="282" customWidth="1"/>
    <col min="16130" max="16130" width="9.140625" style="282" bestFit="1" customWidth="1"/>
    <col min="16131" max="16131" width="56.28515625" style="282" customWidth="1"/>
    <col min="16132" max="16132" width="6.42578125" style="282" bestFit="1" customWidth="1"/>
    <col min="16133" max="16133" width="6.28515625" style="282" bestFit="1" customWidth="1"/>
    <col min="16134" max="16134" width="5" style="282" bestFit="1" customWidth="1"/>
    <col min="16135" max="16135" width="4.28515625" style="282" bestFit="1" customWidth="1"/>
    <col min="16136" max="16136" width="5" style="282" bestFit="1" customWidth="1"/>
    <col min="16137" max="16137" width="5.140625" style="282" bestFit="1" customWidth="1"/>
    <col min="16138" max="16138" width="5.85546875" style="282" bestFit="1" customWidth="1"/>
    <col min="16139" max="16139" width="5.140625" style="282" bestFit="1" customWidth="1"/>
    <col min="16140" max="16140" width="7.140625" style="282" bestFit="1" customWidth="1"/>
    <col min="16141" max="16141" width="6" style="282" bestFit="1" customWidth="1"/>
    <col min="16142" max="16384" width="9.140625" style="282"/>
  </cols>
  <sheetData>
    <row r="2" spans="2:13" x14ac:dyDescent="0.2">
      <c r="B2" s="534" t="s">
        <v>1372</v>
      </c>
      <c r="C2" s="534"/>
      <c r="D2" s="535"/>
      <c r="E2" s="535"/>
      <c r="F2" s="535"/>
      <c r="G2" s="535"/>
      <c r="H2" s="535"/>
      <c r="I2" s="535"/>
      <c r="J2" s="535"/>
      <c r="K2" s="535"/>
      <c r="L2" s="535"/>
      <c r="M2" s="535"/>
    </row>
    <row r="3" spans="2:13" ht="16.5" x14ac:dyDescent="0.35">
      <c r="B3" s="536" t="s">
        <v>1373</v>
      </c>
      <c r="C3" s="536"/>
      <c r="D3" s="535" t="s">
        <v>37</v>
      </c>
      <c r="E3" s="535"/>
      <c r="F3" s="288" t="s">
        <v>1374</v>
      </c>
      <c r="G3" s="535" t="s">
        <v>1375</v>
      </c>
      <c r="H3" s="535"/>
      <c r="I3" s="289" t="s">
        <v>1376</v>
      </c>
      <c r="J3" s="535" t="s">
        <v>1377</v>
      </c>
      <c r="K3" s="535"/>
      <c r="L3" s="534" t="s">
        <v>1378</v>
      </c>
      <c r="M3" s="535"/>
    </row>
    <row r="4" spans="2:13" ht="22.5" customHeight="1" x14ac:dyDescent="0.35">
      <c r="B4" s="536"/>
      <c r="C4" s="536"/>
      <c r="D4" s="288" t="s">
        <v>1379</v>
      </c>
      <c r="E4" s="288" t="s">
        <v>1380</v>
      </c>
      <c r="F4" s="288"/>
      <c r="G4" s="288" t="s">
        <v>105</v>
      </c>
      <c r="H4" s="288" t="s">
        <v>1381</v>
      </c>
      <c r="I4" s="289" t="s">
        <v>87</v>
      </c>
      <c r="J4" s="288" t="s">
        <v>1382</v>
      </c>
      <c r="K4" s="288" t="s">
        <v>1383</v>
      </c>
      <c r="L4" s="288" t="s">
        <v>1384</v>
      </c>
      <c r="M4" s="288" t="s">
        <v>1385</v>
      </c>
    </row>
    <row r="5" spans="2:13" x14ac:dyDescent="0.2">
      <c r="B5" s="281" t="s">
        <v>1397</v>
      </c>
      <c r="C5" s="282" t="s">
        <v>1399</v>
      </c>
      <c r="D5" s="280">
        <v>180</v>
      </c>
      <c r="E5" s="283">
        <v>1200</v>
      </c>
      <c r="F5" s="280">
        <v>0.79</v>
      </c>
      <c r="G5" s="280">
        <v>200</v>
      </c>
      <c r="H5" s="283">
        <v>4000</v>
      </c>
      <c r="I5" s="280" t="e">
        <f>NA()</f>
        <v>#N/A</v>
      </c>
      <c r="J5" s="280" t="e">
        <f>NA()</f>
        <v>#N/A</v>
      </c>
      <c r="K5" s="283" t="e">
        <f>NA()</f>
        <v>#N/A</v>
      </c>
      <c r="L5" s="280" t="e">
        <f>NA()</f>
        <v>#N/A</v>
      </c>
      <c r="M5" s="283" t="e">
        <f>NA()</f>
        <v>#N/A</v>
      </c>
    </row>
    <row r="6" spans="2:13" x14ac:dyDescent="0.2">
      <c r="B6" s="281" t="s">
        <v>1398</v>
      </c>
      <c r="C6" s="282" t="s">
        <v>1400</v>
      </c>
      <c r="D6" s="280">
        <v>60</v>
      </c>
      <c r="E6" s="283">
        <v>400</v>
      </c>
      <c r="F6" s="280">
        <v>0.35</v>
      </c>
      <c r="G6" s="280">
        <v>100</v>
      </c>
      <c r="H6" s="283">
        <v>2000</v>
      </c>
      <c r="I6" s="280" t="e">
        <f>NA()</f>
        <v>#N/A</v>
      </c>
      <c r="J6" s="280" t="e">
        <f>NA()</f>
        <v>#N/A</v>
      </c>
      <c r="K6" s="283" t="e">
        <f>NA()</f>
        <v>#N/A</v>
      </c>
      <c r="L6" s="280" t="e">
        <f>NA()</f>
        <v>#N/A</v>
      </c>
      <c r="M6" s="283" t="e">
        <f>NA()</f>
        <v>#N/A</v>
      </c>
    </row>
    <row r="7" spans="2:13" x14ac:dyDescent="0.2">
      <c r="B7" s="281" t="s">
        <v>1401</v>
      </c>
      <c r="C7" s="282" t="s">
        <v>1386</v>
      </c>
      <c r="D7" s="280">
        <v>45</v>
      </c>
      <c r="E7" s="283">
        <v>300</v>
      </c>
      <c r="F7" s="280">
        <v>0.35</v>
      </c>
      <c r="G7" s="280">
        <v>100</v>
      </c>
      <c r="H7" s="283">
        <v>2000</v>
      </c>
      <c r="I7" s="280">
        <v>38</v>
      </c>
      <c r="J7" s="280">
        <v>2000</v>
      </c>
      <c r="K7" s="283">
        <v>120</v>
      </c>
      <c r="L7" s="280">
        <v>6285</v>
      </c>
      <c r="M7" s="283">
        <v>40000</v>
      </c>
    </row>
    <row r="8" spans="2:13" x14ac:dyDescent="0.2">
      <c r="B8" s="281" t="s">
        <v>1402</v>
      </c>
      <c r="C8" s="282" t="s">
        <v>1387</v>
      </c>
      <c r="D8" s="280">
        <v>30</v>
      </c>
      <c r="E8" s="283">
        <v>200</v>
      </c>
      <c r="F8" s="280">
        <v>0.35</v>
      </c>
      <c r="G8" s="280">
        <v>100</v>
      </c>
      <c r="H8" s="283">
        <v>2000</v>
      </c>
      <c r="I8" s="280">
        <v>32</v>
      </c>
      <c r="J8" s="280">
        <v>1500</v>
      </c>
      <c r="K8" s="283">
        <v>90</v>
      </c>
      <c r="L8" s="280">
        <v>1570</v>
      </c>
      <c r="M8" s="283">
        <v>10000</v>
      </c>
    </row>
    <row r="9" spans="2:13" x14ac:dyDescent="0.2">
      <c r="B9" s="281" t="s">
        <v>1403</v>
      </c>
      <c r="C9" s="282" t="s">
        <v>1388</v>
      </c>
      <c r="D9" s="280">
        <v>30</v>
      </c>
      <c r="E9" s="283">
        <v>200</v>
      </c>
      <c r="F9" s="280">
        <v>0.25</v>
      </c>
      <c r="G9" s="280">
        <v>75</v>
      </c>
      <c r="H9" s="283">
        <v>1500</v>
      </c>
      <c r="I9" s="280">
        <v>30</v>
      </c>
      <c r="J9" s="280">
        <v>1750</v>
      </c>
      <c r="K9" s="283">
        <v>105</v>
      </c>
      <c r="L9" s="280">
        <v>1570</v>
      </c>
      <c r="M9" s="283">
        <v>10000</v>
      </c>
    </row>
    <row r="10" spans="2:13" x14ac:dyDescent="0.2">
      <c r="B10" s="281" t="s">
        <v>1404</v>
      </c>
      <c r="C10" s="282" t="s">
        <v>1389</v>
      </c>
      <c r="D10" s="280">
        <v>22.5</v>
      </c>
      <c r="E10" s="283">
        <v>150</v>
      </c>
      <c r="F10" s="280">
        <v>0.25</v>
      </c>
      <c r="G10" s="280">
        <v>75</v>
      </c>
      <c r="H10" s="283">
        <v>1500</v>
      </c>
      <c r="I10" s="280">
        <v>26</v>
      </c>
      <c r="J10" s="280">
        <v>1400</v>
      </c>
      <c r="K10" s="283">
        <v>85</v>
      </c>
      <c r="L10" s="280">
        <v>1180</v>
      </c>
      <c r="M10" s="283">
        <v>7500</v>
      </c>
    </row>
    <row r="11" spans="2:13" x14ac:dyDescent="0.2">
      <c r="B11" s="281" t="s">
        <v>1405</v>
      </c>
      <c r="C11" s="282" t="s">
        <v>1390</v>
      </c>
      <c r="D11" s="280">
        <v>20</v>
      </c>
      <c r="E11" s="283">
        <v>130</v>
      </c>
      <c r="F11" s="284">
        <v>6</v>
      </c>
      <c r="G11" s="280">
        <v>50</v>
      </c>
      <c r="H11" s="283">
        <v>1000</v>
      </c>
      <c r="I11" s="280">
        <v>15</v>
      </c>
      <c r="J11" s="280">
        <v>2000</v>
      </c>
      <c r="K11" s="283">
        <v>120</v>
      </c>
      <c r="L11" s="280">
        <v>785</v>
      </c>
      <c r="M11" s="283">
        <v>5000</v>
      </c>
    </row>
    <row r="12" spans="2:13" x14ac:dyDescent="0.2">
      <c r="B12" s="281" t="s">
        <v>1406</v>
      </c>
      <c r="C12" s="282" t="s">
        <v>1391</v>
      </c>
      <c r="D12" s="280">
        <v>15</v>
      </c>
      <c r="E12" s="283">
        <v>100</v>
      </c>
      <c r="F12" s="284">
        <v>6</v>
      </c>
      <c r="G12" s="280">
        <v>50</v>
      </c>
      <c r="H12" s="283">
        <v>1000</v>
      </c>
      <c r="I12" s="280">
        <v>10</v>
      </c>
      <c r="J12" s="280">
        <v>1500</v>
      </c>
      <c r="K12" s="283">
        <v>90</v>
      </c>
      <c r="L12" s="280">
        <v>160</v>
      </c>
      <c r="M12" s="283">
        <v>1000</v>
      </c>
    </row>
    <row r="13" spans="2:13" x14ac:dyDescent="0.2">
      <c r="B13" s="280" t="s">
        <v>37</v>
      </c>
      <c r="C13" s="533" t="s">
        <v>1392</v>
      </c>
      <c r="D13" s="533"/>
      <c r="E13" s="533"/>
      <c r="F13" s="533"/>
      <c r="G13" s="533"/>
      <c r="H13" s="533"/>
      <c r="I13" s="533"/>
      <c r="J13" s="533"/>
      <c r="K13" s="533"/>
      <c r="L13" s="533"/>
      <c r="M13" s="533"/>
    </row>
    <row r="14" spans="2:13" ht="15.75" x14ac:dyDescent="0.3">
      <c r="B14" s="280" t="s">
        <v>1374</v>
      </c>
      <c r="C14" s="533" t="s">
        <v>1393</v>
      </c>
      <c r="D14" s="533"/>
      <c r="E14" s="533"/>
      <c r="F14" s="533"/>
      <c r="G14" s="533"/>
      <c r="H14" s="533"/>
      <c r="I14" s="533"/>
      <c r="J14" s="533"/>
      <c r="K14" s="533"/>
      <c r="L14" s="533"/>
      <c r="M14" s="533"/>
    </row>
    <row r="15" spans="2:13" ht="15.75" x14ac:dyDescent="0.3">
      <c r="B15" s="280" t="s">
        <v>1375</v>
      </c>
      <c r="C15" s="533" t="s">
        <v>1394</v>
      </c>
      <c r="D15" s="533"/>
      <c r="E15" s="533"/>
      <c r="F15" s="533"/>
      <c r="G15" s="533"/>
      <c r="H15" s="533"/>
      <c r="I15" s="533"/>
      <c r="J15" s="533"/>
      <c r="K15" s="533"/>
      <c r="L15" s="533"/>
      <c r="M15" s="533"/>
    </row>
    <row r="16" spans="2:13" ht="15.75" x14ac:dyDescent="0.35">
      <c r="B16" s="285" t="s">
        <v>1376</v>
      </c>
      <c r="C16" s="533" t="s">
        <v>1395</v>
      </c>
      <c r="D16" s="533"/>
      <c r="E16" s="533"/>
      <c r="F16" s="533"/>
      <c r="G16" s="533"/>
      <c r="H16" s="533"/>
      <c r="I16" s="533"/>
      <c r="J16" s="533"/>
      <c r="K16" s="533"/>
      <c r="L16" s="533"/>
      <c r="M16" s="533"/>
    </row>
    <row r="17" spans="2:13" x14ac:dyDescent="0.2">
      <c r="B17" s="280" t="s">
        <v>1377</v>
      </c>
      <c r="C17" s="533" t="s">
        <v>1303</v>
      </c>
      <c r="D17" s="533"/>
      <c r="E17" s="533"/>
      <c r="F17" s="533"/>
      <c r="G17" s="533"/>
      <c r="H17" s="533"/>
      <c r="I17" s="533"/>
      <c r="J17" s="533"/>
      <c r="K17" s="533"/>
      <c r="L17" s="533"/>
      <c r="M17" s="533"/>
    </row>
    <row r="18" spans="2:13" ht="15.75" x14ac:dyDescent="0.3">
      <c r="B18" s="286" t="s">
        <v>1378</v>
      </c>
      <c r="C18" s="533" t="s">
        <v>1396</v>
      </c>
      <c r="D18" s="533"/>
      <c r="E18" s="533"/>
      <c r="F18" s="533"/>
      <c r="G18" s="533"/>
      <c r="H18" s="533"/>
      <c r="I18" s="533"/>
      <c r="J18" s="533"/>
      <c r="K18" s="533"/>
      <c r="L18" s="533"/>
      <c r="M18" s="533"/>
    </row>
    <row r="19" spans="2:13" x14ac:dyDescent="0.2">
      <c r="E19" s="287"/>
    </row>
  </sheetData>
  <mergeCells count="12">
    <mergeCell ref="C18:M18"/>
    <mergeCell ref="B2:M2"/>
    <mergeCell ref="B3:C4"/>
    <mergeCell ref="D3:E3"/>
    <mergeCell ref="G3:H3"/>
    <mergeCell ref="J3:K3"/>
    <mergeCell ref="L3:M3"/>
    <mergeCell ref="C13:M13"/>
    <mergeCell ref="C14:M14"/>
    <mergeCell ref="C15:M15"/>
    <mergeCell ref="C16:M16"/>
    <mergeCell ref="C17:M17"/>
  </mergeCells>
  <pageMargins left="0.75" right="0.75" top="1" bottom="1" header="0.5" footer="0.5"/>
  <headerFooter alignWithMargins="0"/>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114</vt:i4>
      </vt:variant>
    </vt:vector>
  </HeadingPairs>
  <TitlesOfParts>
    <vt:vector size="127" baseType="lpstr">
      <vt:lpstr>design_loads</vt:lpstr>
      <vt:lpstr>NBCC_C-2</vt:lpstr>
      <vt:lpstr>NBCC_I-7</vt:lpstr>
      <vt:lpstr>NBCC_G-1</vt:lpstr>
      <vt:lpstr>inputs</vt:lpstr>
      <vt:lpstr>DAFI</vt:lpstr>
      <vt:lpstr>O86</vt:lpstr>
      <vt:lpstr>O86 T5.3.1</vt:lpstr>
      <vt:lpstr>matrix</vt:lpstr>
      <vt:lpstr>scheme</vt:lpstr>
      <vt:lpstr>PFBDM T6.1</vt:lpstr>
      <vt:lpstr>ASAE EP486.1</vt:lpstr>
      <vt:lpstr>ASAE EP486.1 T1</vt:lpstr>
      <vt:lpstr>_bldg_height_truss</vt:lpstr>
      <vt:lpstr>_bldg_height_wall</vt:lpstr>
      <vt:lpstr>_bldg_length</vt:lpstr>
      <vt:lpstr>_bldg_nb</vt:lpstr>
      <vt:lpstr>_bldg_nf</vt:lpstr>
      <vt:lpstr>_bldg_np1</vt:lpstr>
      <vt:lpstr>_bldg_npnf</vt:lpstr>
      <vt:lpstr>_bldg_s</vt:lpstr>
      <vt:lpstr>_bldg_theta</vt:lpstr>
      <vt:lpstr>_bldg_width</vt:lpstr>
      <vt:lpstr>_Ce</vt:lpstr>
      <vt:lpstr>_Cg</vt:lpstr>
      <vt:lpstr>_Cgi</vt:lpstr>
      <vt:lpstr>_Cpimax</vt:lpstr>
      <vt:lpstr>_Cpimin</vt:lpstr>
      <vt:lpstr>_Cs</vt:lpstr>
      <vt:lpstr>_Cw</vt:lpstr>
      <vt:lpstr>_diaph_PFBDM_T6.1</vt:lpstr>
      <vt:lpstr>_diaph_test_panel_index</vt:lpstr>
      <vt:lpstr>_fl</vt:lpstr>
      <vt:lpstr>_fw</vt:lpstr>
      <vt:lpstr>_load_I</vt:lpstr>
      <vt:lpstr>_load_q</vt:lpstr>
      <vt:lpstr>_load_Sr</vt:lpstr>
      <vt:lpstr>_load_Ss</vt:lpstr>
      <vt:lpstr>_post_b</vt:lpstr>
      <vt:lpstr>_post_b_avail</vt:lpstr>
      <vt:lpstr>_post_b_index</vt:lpstr>
      <vt:lpstr>_post_b1</vt:lpstr>
      <vt:lpstr>_post_b1_mm</vt:lpstr>
      <vt:lpstr>_post_b2</vt:lpstr>
      <vt:lpstr>_post_b2_mm</vt:lpstr>
      <vt:lpstr>_post_collar_index</vt:lpstr>
      <vt:lpstr>_post_condition_collar</vt:lpstr>
      <vt:lpstr>_post_condition_constraint</vt:lpstr>
      <vt:lpstr>_post_condition_fixity</vt:lpstr>
      <vt:lpstr>_post_constraint_index</vt:lpstr>
      <vt:lpstr>_post_d</vt:lpstr>
      <vt:lpstr>_post_d_avail</vt:lpstr>
      <vt:lpstr>_post_d_index</vt:lpstr>
      <vt:lpstr>_post_d1</vt:lpstr>
      <vt:lpstr>_post_d1_mm</vt:lpstr>
      <vt:lpstr>_post_d2</vt:lpstr>
      <vt:lpstr>_post_d2_mm</vt:lpstr>
      <vt:lpstr>_post_E</vt:lpstr>
      <vt:lpstr>_post_fixity_index</vt:lpstr>
      <vt:lpstr>_post_grade_index</vt:lpstr>
      <vt:lpstr>_post_grade_O86_T5.3.1</vt:lpstr>
      <vt:lpstr>_post_I</vt:lpstr>
      <vt:lpstr>_post_nply</vt:lpstr>
      <vt:lpstr>_post_O86_T5.3.1</vt:lpstr>
      <vt:lpstr>_post_species_index</vt:lpstr>
      <vt:lpstr>_post_species_O86_T5.3.1</vt:lpstr>
      <vt:lpstr>_post_type_index</vt:lpstr>
      <vt:lpstr>_post_type_O86_T5.3.1</vt:lpstr>
      <vt:lpstr>_soil_ASAE_EP486.1_T1</vt:lpstr>
      <vt:lpstr>_soil_kcs</vt:lpstr>
      <vt:lpstr>_soil_nhSv</vt:lpstr>
      <vt:lpstr>_soil_phi</vt:lpstr>
      <vt:lpstr>_soil_rho</vt:lpstr>
      <vt:lpstr>_soil_S</vt:lpstr>
      <vt:lpstr>_soil_Sy</vt:lpstr>
      <vt:lpstr>_soil_type</vt:lpstr>
      <vt:lpstr>_soil_type_index</vt:lpstr>
      <vt:lpstr>inputs_chi</vt:lpstr>
      <vt:lpstr>inputs_ke1</vt:lpstr>
      <vt:lpstr>inputs_kenf</vt:lpstr>
      <vt:lpstr>inputs_ki</vt:lpstr>
      <vt:lpstr>inputs_Pe</vt:lpstr>
      <vt:lpstr>inputs_Pi</vt:lpstr>
      <vt:lpstr>KB</vt:lpstr>
      <vt:lpstr>KB_length</vt:lpstr>
      <vt:lpstr>KD_duration</vt:lpstr>
      <vt:lpstr>KD_value</vt:lpstr>
      <vt:lpstr>Ke</vt:lpstr>
      <vt:lpstr>Ke_condition</vt:lpstr>
      <vt:lpstr>KH_0</vt:lpstr>
      <vt:lpstr>KH_1</vt:lpstr>
      <vt:lpstr>KH_2</vt:lpstr>
      <vt:lpstr>KH_property</vt:lpstr>
      <vt:lpstr>KH_system</vt:lpstr>
      <vt:lpstr>KL_condition</vt:lpstr>
      <vt:lpstr>KL_dbratio</vt:lpstr>
      <vt:lpstr>KS_condition</vt:lpstr>
      <vt:lpstr>KS_dry</vt:lpstr>
      <vt:lpstr>KS_property</vt:lpstr>
      <vt:lpstr>KS_wet_size</vt:lpstr>
      <vt:lpstr>KS_wet1</vt:lpstr>
      <vt:lpstr>KS_wet2</vt:lpstr>
      <vt:lpstr>KT_dry</vt:lpstr>
      <vt:lpstr>KT_treatment</vt:lpstr>
      <vt:lpstr>KT_wet</vt:lpstr>
      <vt:lpstr>KTE_dry</vt:lpstr>
      <vt:lpstr>KTE_wet</vt:lpstr>
      <vt:lpstr>KZ_b</vt:lpstr>
      <vt:lpstr>KZ_d</vt:lpstr>
      <vt:lpstr>KZbv_1</vt:lpstr>
      <vt:lpstr>KZbv_2</vt:lpstr>
      <vt:lpstr>KZbv_3</vt:lpstr>
      <vt:lpstr>KZcp</vt:lpstr>
      <vt:lpstr>KZcp_ratio</vt:lpstr>
      <vt:lpstr>KZt</vt:lpstr>
      <vt:lpstr>Le_condition</vt:lpstr>
      <vt:lpstr>Le_supp</vt:lpstr>
      <vt:lpstr>Le_unsup</vt:lpstr>
      <vt:lpstr>matrix_ch</vt:lpstr>
      <vt:lpstr>matrix_defl</vt:lpstr>
      <vt:lpstr>matrix_K</vt:lpstr>
      <vt:lpstr>matrix_ki</vt:lpstr>
      <vt:lpstr>matrix_P</vt:lpstr>
      <vt:lpstr>matrix_Pf</vt:lpstr>
      <vt:lpstr>matrix_Pr</vt:lpstr>
      <vt:lpstr>matrix_Pratio</vt:lpstr>
      <vt:lpstr>matrix_shear_displ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dc:creator>
  <cp:lastModifiedBy>Dave Orchard</cp:lastModifiedBy>
  <dcterms:created xsi:type="dcterms:W3CDTF">2008-05-06T15:54:44Z</dcterms:created>
  <dcterms:modified xsi:type="dcterms:W3CDTF">2016-03-22T14:36:55Z</dcterms:modified>
</cp:coreProperties>
</file>