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GoogleDrive\_Freedom66\nuQwizm\statics\"/>
    </mc:Choice>
  </mc:AlternateContent>
  <xr:revisionPtr revIDLastSave="0" documentId="13_ncr:1_{36294168-DC30-43AE-B3FF-BC9665FD71EB}" xr6:coauthVersionLast="45" xr6:coauthVersionMax="45" xr10:uidLastSave="{00000000-0000-0000-0000-000000000000}"/>
  <bookViews>
    <workbookView xWindow="17983" yWindow="-8511" windowWidth="15163" windowHeight="17228" tabRatio="912" xr2:uid="{00000000-000D-0000-FFFF-FFFF00000000}"/>
  </bookViews>
  <sheets>
    <sheet name="Q12a" sheetId="12" r:id="rId1"/>
    <sheet name="Q11a" sheetId="11" r:id="rId2"/>
    <sheet name="Q10a" sheetId="10" r:id="rId3"/>
    <sheet name="Q09a" sheetId="9" r:id="rId4"/>
    <sheet name="Q08a" sheetId="8" r:id="rId5"/>
    <sheet name="Q07a" sheetId="7" r:id="rId6"/>
    <sheet name="Q06a" sheetId="6" r:id="rId7"/>
    <sheet name="Q05a" sheetId="5" r:id="rId8"/>
    <sheet name="Q04a" sheetId="4" r:id="rId9"/>
    <sheet name="Q03a" sheetId="3" r:id="rId10"/>
    <sheet name="Q02a" sheetId="2" r:id="rId11"/>
    <sheet name="Q01b" sheetId="1" r:id="rId12"/>
    <sheet name="Q13a" sheetId="13" r:id="rId13"/>
    <sheet name="Q14a" sheetId="14" r:id="rId14"/>
    <sheet name="Q15a" sheetId="15" r:id="rId15"/>
    <sheet name="Q16a" sheetId="16" r:id="rId16"/>
  </sheets>
  <definedNames>
    <definedName name="a11_" localSheetId="11">Q01b!$B$16</definedName>
    <definedName name="a11_" localSheetId="10">Q02a!$B$15</definedName>
    <definedName name="a11_" localSheetId="9">Q03a!$B$14</definedName>
    <definedName name="a11_" localSheetId="7">Q05a!$B$13</definedName>
    <definedName name="a11_" localSheetId="2">Q10a!$B$21</definedName>
    <definedName name="a11_" localSheetId="0">Q12a!$B$17</definedName>
    <definedName name="a12_" localSheetId="11">Q01b!$B$17</definedName>
    <definedName name="a12_" localSheetId="10">Q02a!$B$16</definedName>
    <definedName name="a12_" localSheetId="9">Q03a!$B$15</definedName>
    <definedName name="a12_" localSheetId="7">Q05a!$B$14</definedName>
    <definedName name="a12_" localSheetId="2">Q10a!$B$22</definedName>
    <definedName name="a12_" localSheetId="0">Q12a!$B$18</definedName>
    <definedName name="a2_11" localSheetId="7">Q05a!$B$35</definedName>
    <definedName name="a2_12" localSheetId="7">Q05a!$B$36</definedName>
    <definedName name="a2_21" localSheetId="7">Q05a!$B$37</definedName>
    <definedName name="a2_22" localSheetId="7">Q05a!$B$38</definedName>
    <definedName name="a21_" localSheetId="11">Q01b!$B$18</definedName>
    <definedName name="a21_" localSheetId="10">Q02a!$B$17</definedName>
    <definedName name="a21_" localSheetId="9">Q03a!$B$16</definedName>
    <definedName name="a21_" localSheetId="7">Q05a!$B$15</definedName>
    <definedName name="a21_" localSheetId="2">Q10a!$B$23</definedName>
    <definedName name="a21_" localSheetId="0">Q12a!$B$19</definedName>
    <definedName name="a22_" localSheetId="11">Q01b!$B$19</definedName>
    <definedName name="a22_" localSheetId="10">Q02a!$B$18</definedName>
    <definedName name="a22_" localSheetId="9">Q03a!$B$17</definedName>
    <definedName name="a22_" localSheetId="7">Q05a!$B$16</definedName>
    <definedName name="a22_" localSheetId="2">Q10a!$B$24</definedName>
    <definedName name="a22_" localSheetId="0">Q12a!$B$20</definedName>
    <definedName name="a23_" localSheetId="9">Q03a!$B$17</definedName>
    <definedName name="AB" localSheetId="7">Q05a!$B$32</definedName>
    <definedName name="AB" localSheetId="5">Q07a!$B$4</definedName>
    <definedName name="AB" localSheetId="1">Q11a!$B$24</definedName>
    <definedName name="ABtheta" localSheetId="7">Q05a!$B$10</definedName>
    <definedName name="ABtheta" localSheetId="4">Q08a!$B$16</definedName>
    <definedName name="ABtheta" localSheetId="1">Q11a!$B$15</definedName>
    <definedName name="ABx" localSheetId="10">Q02a!$B$5</definedName>
    <definedName name="ABx" localSheetId="8">Q04a!$B$6</definedName>
    <definedName name="ABx" localSheetId="7">Q05a!$B$3</definedName>
    <definedName name="ABx" localSheetId="4">Q08a!$B$1</definedName>
    <definedName name="ABx" localSheetId="3">Q09a!$B$6</definedName>
    <definedName name="ABx" localSheetId="2">Q10a!$B$10</definedName>
    <definedName name="ABx" localSheetId="1">Q11a!$B$5</definedName>
    <definedName name="ABx" localSheetId="0">Q12a!$B$8</definedName>
    <definedName name="ABy" localSheetId="10">Q02a!$B$7</definedName>
    <definedName name="ABy" localSheetId="7">Q05a!$B$4</definedName>
    <definedName name="ABy" localSheetId="4">Q08a!$B$4</definedName>
    <definedName name="ABy" localSheetId="3">Q09a!$B$7</definedName>
    <definedName name="ABy" localSheetId="2">Q10a!$B$2</definedName>
    <definedName name="ABy" localSheetId="1">Q11a!$B$11</definedName>
    <definedName name="AC" localSheetId="4">Q08a!$B$10</definedName>
    <definedName name="ACx" localSheetId="11">Q01b!$B$4</definedName>
    <definedName name="ACx" localSheetId="2">Q10a!$B$6</definedName>
    <definedName name="ACx" localSheetId="0">Q12a!$B$9</definedName>
    <definedName name="ACy" localSheetId="11">Q01b!$B$13</definedName>
    <definedName name="ACy" localSheetId="9">Q03a!$B$7</definedName>
    <definedName name="ADx" localSheetId="6">Q06a!$B$8</definedName>
    <definedName name="ADy" localSheetId="8">Q04a!$B$5</definedName>
    <definedName name="ADy" localSheetId="6">Q06a!$B$9</definedName>
    <definedName name="AE" localSheetId="1">Q11a!$B$25</definedName>
    <definedName name="AEx" localSheetId="6">Q06a!$B$7</definedName>
    <definedName name="AEx" localSheetId="1">Q11a!$B$12</definedName>
    <definedName name="AFx" localSheetId="9">Q03a!$B$2</definedName>
    <definedName name="alpha" localSheetId="7">Q05a!$B$29</definedName>
    <definedName name="APy" localSheetId="11">Q01b!$B$7</definedName>
    <definedName name="Ax" localSheetId="11">Q01b!$E$13</definedName>
    <definedName name="Ax" localSheetId="10">Q02a!$F$11</definedName>
    <definedName name="Ax" localSheetId="9">Q03a!$B$30</definedName>
    <definedName name="Ax" localSheetId="7">Q05a!$E$46</definedName>
    <definedName name="Ax" localSheetId="4">Q08a!$B$17</definedName>
    <definedName name="Ax" localSheetId="3">Q09a!$B$22</definedName>
    <definedName name="Ax" localSheetId="1">Q11a!$B$29</definedName>
    <definedName name="Ax" localSheetId="0">Q12a!$B$31</definedName>
    <definedName name="Ay" localSheetId="11">Q01b!$E$14</definedName>
    <definedName name="Ay" localSheetId="10">Q02a!$F$12</definedName>
    <definedName name="Ay" localSheetId="9">Q03a!$B$31</definedName>
    <definedName name="Ay" localSheetId="7">Q05a!$E$47</definedName>
    <definedName name="Ay" localSheetId="4">Q08a!$B$18</definedName>
    <definedName name="Ay" localSheetId="3">Q09a!$B$23</definedName>
    <definedName name="Ay" localSheetId="1">Q11a!$B$30</definedName>
    <definedName name="Ay" localSheetId="0">Q12a!$B$32</definedName>
    <definedName name="b1_" localSheetId="11">Q01b!$B$20</definedName>
    <definedName name="b1_" localSheetId="10">Q02a!$B$19</definedName>
    <definedName name="b1_" localSheetId="9">Q03a!$B$18</definedName>
    <definedName name="b1_" localSheetId="7">Q05a!$B$17</definedName>
    <definedName name="b1_" localSheetId="2">Q10a!$B$25</definedName>
    <definedName name="b1_" localSheetId="0">Q12a!$B$21</definedName>
    <definedName name="b2_" localSheetId="11">Q01b!$B$21</definedName>
    <definedName name="b2_" localSheetId="10">Q02a!$B$20</definedName>
    <definedName name="b2_" localSheetId="9">Q03a!$B$19</definedName>
    <definedName name="b2_" localSheetId="7">Q05a!$B$18</definedName>
    <definedName name="b2_" localSheetId="2">Q10a!$B$26</definedName>
    <definedName name="b2_" localSheetId="0">Q12a!$B$22</definedName>
    <definedName name="b2_1" localSheetId="7">Q05a!$B$39</definedName>
    <definedName name="b2_2" localSheetId="7">Q05a!$B$40</definedName>
    <definedName name="BC" localSheetId="10">Q02a!$B$12</definedName>
    <definedName name="BC" localSheetId="5">Q07a!$B$5</definedName>
    <definedName name="BCtheta" localSheetId="10">Q02a!$F$16</definedName>
    <definedName name="BCtheta" localSheetId="1">Q11a!$B$14</definedName>
    <definedName name="BCx" localSheetId="11">Q01b!$B$14</definedName>
    <definedName name="BCx" localSheetId="10">Q02a!$B$6</definedName>
    <definedName name="BCx" localSheetId="8">Q04a!$B$7</definedName>
    <definedName name="BCx" localSheetId="4">Q08a!$B$2</definedName>
    <definedName name="BCx" localSheetId="3">Q09a!$B$8</definedName>
    <definedName name="BCx" localSheetId="2">Q10a!$B$11</definedName>
    <definedName name="BCx" localSheetId="1">Q11a!$B$6</definedName>
    <definedName name="BCx" localSheetId="0">Q12a!$B$3</definedName>
    <definedName name="BCy" localSheetId="9">Q03a!$B$8</definedName>
    <definedName name="BCy" localSheetId="4">Q08a!$B$5</definedName>
    <definedName name="BCy" localSheetId="3">Q09a!$B$9</definedName>
    <definedName name="BCy" localSheetId="2">Q10a!$B$4</definedName>
    <definedName name="BCy" localSheetId="1">Q11a!$B$4</definedName>
    <definedName name="BD" localSheetId="8">Q04a!$B$10</definedName>
    <definedName name="BD" localSheetId="7">Q05a!$B$33</definedName>
    <definedName name="BDtheta" localSheetId="8">Q04a!$B$11</definedName>
    <definedName name="BDtheta" localSheetId="7">Q05a!$B$11</definedName>
    <definedName name="BDtheta" localSheetId="6">Q06a!$B$19</definedName>
    <definedName name="BDx" localSheetId="7">Q05a!$B$5</definedName>
    <definedName name="BDy" localSheetId="6">Q06a!$B$10</definedName>
    <definedName name="BDy" localSheetId="1">Q11a!$B$10</definedName>
    <definedName name="BEx" localSheetId="3">Q09a!$B$12</definedName>
    <definedName name="BEy" localSheetId="6">Q06a!$B$6</definedName>
    <definedName name="BEy" localSheetId="4">Q08a!$B$11</definedName>
    <definedName name="BEy" localSheetId="3">Q09a!$B$13</definedName>
    <definedName name="BF" localSheetId="7">Q05a!$B$30</definedName>
    <definedName name="BF" localSheetId="0">Q12a!$B$28</definedName>
    <definedName name="BFtheta" localSheetId="0">Q12a!$B$13</definedName>
    <definedName name="BGx" localSheetId="9">Q03a!$B$4</definedName>
    <definedName name="BQx" localSheetId="11">Q01b!$B$6</definedName>
    <definedName name="BQy" localSheetId="11">Q01b!$B$15</definedName>
    <definedName name="BRx" localSheetId="9">Q03a!$B$5</definedName>
    <definedName name="Bx" localSheetId="11">Q01b!$E$17</definedName>
    <definedName name="Bx" localSheetId="10">Q02a!$B$25</definedName>
    <definedName name="Bx" localSheetId="9">Q03a!$B$25</definedName>
    <definedName name="Bx" localSheetId="7">Q05a!$B$46</definedName>
    <definedName name="Bx" localSheetId="4">Q08a!$B$25</definedName>
    <definedName name="Bx" localSheetId="3">Q09a!$B$30</definedName>
    <definedName name="Bx" localSheetId="2">Q10a!$B$35</definedName>
    <definedName name="By" localSheetId="11">Q01b!$E$18</definedName>
    <definedName name="By" localSheetId="10">Q02a!$B$26</definedName>
    <definedName name="By" localSheetId="9">Q03a!$B$26</definedName>
    <definedName name="By" localSheetId="7">Q05a!$B$47</definedName>
    <definedName name="By" localSheetId="4">Q08a!$B$24</definedName>
    <definedName name="By" localSheetId="3">Q09a!$B$31</definedName>
    <definedName name="By" localSheetId="2">Q10a!$B$36</definedName>
    <definedName name="CD" localSheetId="0">Q12a!$B$29</definedName>
    <definedName name="CDtheta" localSheetId="0">Q12a!$B$14</definedName>
    <definedName name="CDx" localSheetId="4">Q08a!$B$3</definedName>
    <definedName name="CDx" localSheetId="3">Q09a!$B$10</definedName>
    <definedName name="CDx" localSheetId="2">Q10a!$B$12</definedName>
    <definedName name="CDx" localSheetId="0">Q12a!$B$4</definedName>
    <definedName name="CDy" localSheetId="4">Q08a!$B$6</definedName>
    <definedName name="CDy" localSheetId="3">Q09a!$B$11</definedName>
    <definedName name="CDy" localSheetId="2">Q10a!$B$5</definedName>
    <definedName name="CDy" localSheetId="1">Q11a!$B$9</definedName>
    <definedName name="CEtheta" localSheetId="6">Q06a!$B$13</definedName>
    <definedName name="CEx" localSheetId="6">Q06a!$B$5</definedName>
    <definedName name="CEx" localSheetId="2">Q10a!$B$7</definedName>
    <definedName name="CEy" localSheetId="6">Q06a!$B$4</definedName>
    <definedName name="CFy" localSheetId="1">Q11a!$B$3</definedName>
    <definedName name="CPy" localSheetId="11">Q01b!$B$8</definedName>
    <definedName name="CQx" localSheetId="11">Q01b!$B$5</definedName>
    <definedName name="CRx" localSheetId="9">Q03a!$B$6</definedName>
    <definedName name="Cx" localSheetId="11">Q01b!$B$25</definedName>
    <definedName name="Cx" localSheetId="10">Q02a!$F$17</definedName>
    <definedName name="Cx" localSheetId="9">Q03a!$B$35</definedName>
    <definedName name="Cx" localSheetId="3">Q09a!$B$26</definedName>
    <definedName name="Cy" localSheetId="11">Q01b!$B$26</definedName>
    <definedName name="Cy" localSheetId="10">Q02a!$F$18</definedName>
    <definedName name="Cy" localSheetId="9">Q03a!$B$36</definedName>
    <definedName name="Cy" localSheetId="3">Q09a!$B$27</definedName>
    <definedName name="D" localSheetId="11">Q01b!$B$22</definedName>
    <definedName name="D" localSheetId="10">Q02a!$B$22</definedName>
    <definedName name="DBlen" localSheetId="6">Q06a!$B$18</definedName>
    <definedName name="det" localSheetId="9">Q03a!$B$21</definedName>
    <definedName name="det" localSheetId="7">Q05a!$B$20</definedName>
    <definedName name="det" localSheetId="2">Q10a!$B$28</definedName>
    <definedName name="det" localSheetId="0">Q12a!$B$24</definedName>
    <definedName name="detB" localSheetId="7">Q05a!$B$42</definedName>
    <definedName name="detBx" localSheetId="7">Q05a!$B$43</definedName>
    <definedName name="detBy" localSheetId="7">Q05a!$B$44</definedName>
    <definedName name="DEtheta" localSheetId="4">Q08a!$B$21</definedName>
    <definedName name="detX" localSheetId="9">Q03a!$B$22</definedName>
    <definedName name="detX" localSheetId="7">Q05a!$B$21</definedName>
    <definedName name="detX" localSheetId="2">Q10a!$B$29</definedName>
    <definedName name="detX" localSheetId="0">Q12a!$B$25</definedName>
    <definedName name="detY" localSheetId="9">Q03a!$B$23</definedName>
    <definedName name="detY" localSheetId="7">Q05a!$B$22</definedName>
    <definedName name="detY" localSheetId="2">Q10a!$B$30</definedName>
    <definedName name="detY" localSheetId="0">Q12a!$B$26</definedName>
    <definedName name="DEx" localSheetId="2">Q10a!$B$13</definedName>
    <definedName name="DEy" localSheetId="4">Q08a!$B$7</definedName>
    <definedName name="DEy" localSheetId="2">Q10a!$B$3</definedName>
    <definedName name="DFy" localSheetId="3">Q09a!$B$14</definedName>
    <definedName name="DFy" localSheetId="1">Q11a!$B$2</definedName>
    <definedName name="diam" localSheetId="7">Q05a!$B$6</definedName>
    <definedName name="DL" localSheetId="5">Q07a!$B$6</definedName>
    <definedName name="DL2_" localSheetId="5">Q07a!$B$8</definedName>
    <definedName name="DLrect" localSheetId="10">Q02a!$B$9</definedName>
    <definedName name="DLtri" localSheetId="10">Q02a!$B$8</definedName>
    <definedName name="Dx" localSheetId="11">Q01b!$B$23</definedName>
    <definedName name="Dx" localSheetId="10">Q02a!$B$23</definedName>
    <definedName name="Dx" localSheetId="7">Q05a!$H$46</definedName>
    <definedName name="Dx" localSheetId="2">Q10a!$B$39</definedName>
    <definedName name="Dx" localSheetId="1">Q11a!$B$19</definedName>
    <definedName name="Dy" localSheetId="11">Q01b!$B$24</definedName>
    <definedName name="Dy" localSheetId="10">Q02a!$B$24</definedName>
    <definedName name="Dy" localSheetId="7">Q05a!$H$47</definedName>
    <definedName name="Dy" localSheetId="2">Q10a!$B$40</definedName>
    <definedName name="Dy" localSheetId="1">Q11a!$B$20</definedName>
    <definedName name="Ex" localSheetId="2">Q10a!$B$17</definedName>
    <definedName name="Ey" localSheetId="2">Q10a!$B$18</definedName>
    <definedName name="F" localSheetId="2">Q10a!$B$8</definedName>
    <definedName name="FBC" localSheetId="1">Q11a!$B$17</definedName>
    <definedName name="FDE" localSheetId="4">Q08a!$B$22</definedName>
    <definedName name="FEx" localSheetId="0">Q12a!$B$2</definedName>
    <definedName name="FF" localSheetId="9">Q03a!$B$11</definedName>
    <definedName name="FGx" localSheetId="9">Q03a!$B$3</definedName>
    <definedName name="FR" localSheetId="9">Q03a!$B$12</definedName>
    <definedName name="Fx" localSheetId="3">Q09a!$B$18</definedName>
    <definedName name="Fy" localSheetId="3">Q09a!$B$19</definedName>
    <definedName name="G" localSheetId="9">Q03a!$B$1</definedName>
    <definedName name="GDx" localSheetId="0">Q12a!$B$11</definedName>
    <definedName name="GEx" localSheetId="0">Q12a!$B$10</definedName>
    <definedName name="GFx" localSheetId="0">Q12a!$B$1</definedName>
    <definedName name="Gx" localSheetId="0">Q12a!$B$36</definedName>
    <definedName name="Gy" localSheetId="0">Q12a!$B$37</definedName>
    <definedName name="M" localSheetId="0">Q12a!$B$6</definedName>
    <definedName name="MA" localSheetId="6">Q06a!$B$30</definedName>
    <definedName name="MA" localSheetId="5">Q07a!$B$15</definedName>
    <definedName name="mass" localSheetId="7">Q05a!$B$7</definedName>
    <definedName name="P" localSheetId="11">Q01b!$B$10</definedName>
    <definedName name="P" localSheetId="6">Q06a!$B$11</definedName>
    <definedName name="P" localSheetId="3">Q09a!$B$3</definedName>
    <definedName name="P" localSheetId="1">Q11a!$B$7</definedName>
    <definedName name="Q" localSheetId="11">Q01b!$B$11</definedName>
    <definedName name="RA" localSheetId="11">Q01b!$E$15</definedName>
    <definedName name="RA" localSheetId="10">Q02a!$F$13</definedName>
    <definedName name="RA" localSheetId="9">Q03a!$B$32</definedName>
    <definedName name="RA" localSheetId="8">Q04a!$B$15</definedName>
    <definedName name="RA" localSheetId="7">Q05a!$E$48</definedName>
    <definedName name="RA" localSheetId="6">Q06a!$B$28</definedName>
    <definedName name="RA" localSheetId="5">Q07a!$B$14</definedName>
    <definedName name="RA" localSheetId="4">Q08a!$B$19</definedName>
    <definedName name="RA" localSheetId="3">Q09a!$B$24</definedName>
    <definedName name="RA" localSheetId="2">Q10a!$B$15</definedName>
    <definedName name="RA" localSheetId="1">Q11a!$B$31</definedName>
    <definedName name="RA" localSheetId="0">Q12a!$B$33</definedName>
    <definedName name="RAtheta" localSheetId="10">Q02a!$F$14</definedName>
    <definedName name="RAtheta" localSheetId="9">Q03a!$B$33</definedName>
    <definedName name="RAtheta" localSheetId="6">Q06a!$B$29</definedName>
    <definedName name="RAtheta" localSheetId="1">Q11a!$B$32</definedName>
    <definedName name="RAtheta" localSheetId="0">Q12a!$B$34</definedName>
    <definedName name="RAx" localSheetId="6">Q06a!$B$27</definedName>
    <definedName name="RAy" localSheetId="6">Q06a!$B$26</definedName>
    <definedName name="RB" localSheetId="11">Q01b!$E$19</definedName>
    <definedName name="RB" localSheetId="10">Q02a!$B$27</definedName>
    <definedName name="RB" localSheetId="9">Q03a!$B$27</definedName>
    <definedName name="RB" localSheetId="8">Q04a!$B$13</definedName>
    <definedName name="RB" localSheetId="7">Q05a!$B$48</definedName>
    <definedName name="RB" localSheetId="6">Q06a!$B$20</definedName>
    <definedName name="RB" localSheetId="5">Q07a!$B$11</definedName>
    <definedName name="RB" localSheetId="4">Q08a!$B$26</definedName>
    <definedName name="RB" localSheetId="3">Q09a!$B$32</definedName>
    <definedName name="RB" localSheetId="2">Q10a!$B$37</definedName>
    <definedName name="RBtheta" localSheetId="10">Q02a!$B$28</definedName>
    <definedName name="Rbtheta" localSheetId="9">Q03a!$B$28</definedName>
    <definedName name="RBtheta" localSheetId="6">Q06a!$B$21</definedName>
    <definedName name="RC_" localSheetId="11">Q01b!$B$27</definedName>
    <definedName name="RC_" localSheetId="10">Q02a!$F$19</definedName>
    <definedName name="RC_" localSheetId="9">Q03a!$B$37</definedName>
    <definedName name="RC_" localSheetId="8">Q04a!$B$14</definedName>
    <definedName name="RC_" localSheetId="6">Q06a!$B$15</definedName>
    <definedName name="RC_" localSheetId="5">Q07a!$B$10</definedName>
    <definedName name="RC_" localSheetId="4">Q08a!$B$14</definedName>
    <definedName name="RC_" localSheetId="3">Q09a!$B$28</definedName>
    <definedName name="RC_" localSheetId="2">Q10a!$B$33</definedName>
    <definedName name="RCtheta" localSheetId="10">Q02a!$F$20</definedName>
    <definedName name="RCtheta" localSheetId="9">Q03a!$B$38</definedName>
    <definedName name="RCtheta" localSheetId="6">Q06a!$B$14</definedName>
    <definedName name="RD" localSheetId="8">Q04a!$B$18</definedName>
    <definedName name="RD" localSheetId="7">Q05a!$H$48</definedName>
    <definedName name="RD" localSheetId="6">Q06a!$B$24</definedName>
    <definedName name="RD" localSheetId="2">Q10a!$B$41</definedName>
    <definedName name="RD" localSheetId="1">Q11a!$B$21</definedName>
    <definedName name="RDtheta" localSheetId="8">Q04a!$B$19</definedName>
    <definedName name="RDtheta" localSheetId="6">Q06a!$B$25</definedName>
    <definedName name="RDtheta" localSheetId="1">Q11a!$B$22</definedName>
    <definedName name="RDx" localSheetId="8">Q04a!$B$17</definedName>
    <definedName name="RDx" localSheetId="6">Q06a!$B$23</definedName>
    <definedName name="RDy" localSheetId="8">Q04a!$B$16</definedName>
    <definedName name="RDy" localSheetId="6">Q06a!$B$22</definedName>
    <definedName name="RE" localSheetId="6">Q06a!$B$17</definedName>
    <definedName name="RE" localSheetId="3">Q09a!$B$16</definedName>
    <definedName name="RE" localSheetId="2">Q10a!$B$19</definedName>
    <definedName name="RE" localSheetId="1">Q11a!$B$26</definedName>
    <definedName name="REtheta" localSheetId="6">Q06a!$B$16</definedName>
    <definedName name="REtheta" localSheetId="1">Q11a!$B$27</definedName>
    <definedName name="RF" localSheetId="7">Q05a!$B$24</definedName>
    <definedName name="RF" localSheetId="3">Q09a!$B$20</definedName>
    <definedName name="RFtheta" localSheetId="7">Q05a!$B$26</definedName>
    <definedName name="RG" localSheetId="7">Q05a!$B$25</definedName>
    <definedName name="RG" localSheetId="0">Q12a!$B$38</definedName>
    <definedName name="RGtheta" localSheetId="7">Q05a!$B$27</definedName>
    <definedName name="RGtheta" localSheetId="0">Q12a!$B$39</definedName>
    <definedName name="theta" localSheetId="11">Q01b!$B$9</definedName>
    <definedName name="theta" localSheetId="3">Q09a!$B$4</definedName>
    <definedName name="UDF" localSheetId="4">Q08a!$B$8</definedName>
    <definedName name="UDL" localSheetId="8">Q04a!$B$8</definedName>
    <definedName name="W" localSheetId="9">Q03a!$B$10</definedName>
    <definedName name="W" localSheetId="8">Q04a!$B$12</definedName>
    <definedName name="W" localSheetId="7">Q05a!$B$9</definedName>
    <definedName name="W" localSheetId="4">Q08a!$B$12</definedName>
    <definedName name="W" localSheetId="0">Q12a!$B$15</definedName>
    <definedName name="W1rect" localSheetId="5">Q07a!$B$13</definedName>
    <definedName name="W1tri" localSheetId="5">Q07a!$B$12</definedName>
    <definedName name="W2_" localSheetId="5">Q07a!$B$9</definedName>
    <definedName name="Wrect" localSheetId="10">Q02a!$B$13</definedName>
    <definedName name="Wtri" localSheetId="10">Q02a!$B$11</definedName>
    <definedName name="x" localSheetId="2">Q10a!$B$31</definedName>
    <definedName name="y" localSheetId="2">Q10a!$B$32</definedName>
    <definedName name="y" localSheetId="0">Q12a!$B$5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2" l="1"/>
  <c r="B39" i="12"/>
  <c r="B38" i="12"/>
  <c r="B37" i="12"/>
  <c r="B36" i="12"/>
  <c r="B34" i="12"/>
  <c r="B31" i="12"/>
  <c r="B32" i="12"/>
  <c r="B29" i="12"/>
  <c r="B28" i="12"/>
  <c r="B26" i="12"/>
  <c r="B25" i="12"/>
  <c r="B24" i="12"/>
  <c r="B15" i="12"/>
  <c r="B14" i="12"/>
  <c r="B13" i="12"/>
  <c r="B11" i="12"/>
  <c r="B10" i="12"/>
  <c r="B22" i="12" s="1"/>
  <c r="B8" i="12"/>
  <c r="B9" i="12" s="1"/>
  <c r="B18" i="12" s="1"/>
  <c r="B32" i="11"/>
  <c r="B31" i="11"/>
  <c r="B30" i="11"/>
  <c r="B29" i="11"/>
  <c r="B27" i="11"/>
  <c r="B26" i="11"/>
  <c r="B25" i="11"/>
  <c r="B24" i="11"/>
  <c r="B22" i="11"/>
  <c r="B20" i="11"/>
  <c r="B19" i="11"/>
  <c r="B17" i="11"/>
  <c r="B15" i="11"/>
  <c r="B14" i="11"/>
  <c r="B12" i="11"/>
  <c r="B11" i="11"/>
  <c r="B10" i="11"/>
  <c r="B9" i="11"/>
  <c r="B41" i="10"/>
  <c r="B40" i="10"/>
  <c r="B39" i="10"/>
  <c r="B37" i="10"/>
  <c r="B36" i="10"/>
  <c r="B35" i="10"/>
  <c r="B33" i="10"/>
  <c r="B32" i="10"/>
  <c r="B31" i="10"/>
  <c r="B30" i="10"/>
  <c r="B29" i="10"/>
  <c r="B28" i="10"/>
  <c r="B26" i="10"/>
  <c r="B25" i="10"/>
  <c r="B18" i="10"/>
  <c r="B19" i="10" s="1"/>
  <c r="B24" i="10"/>
  <c r="B23" i="10"/>
  <c r="B22" i="10"/>
  <c r="B21" i="10"/>
  <c r="B15" i="10"/>
  <c r="B12" i="10"/>
  <c r="B11" i="10"/>
  <c r="B10" i="10"/>
  <c r="B33" i="12" l="1"/>
  <c r="B20" i="12"/>
  <c r="B17" i="12"/>
  <c r="B19" i="12"/>
  <c r="B32" i="9"/>
  <c r="B31" i="9"/>
  <c r="B30" i="9"/>
  <c r="B28" i="9"/>
  <c r="B27" i="9"/>
  <c r="B26" i="9"/>
  <c r="B24" i="9"/>
  <c r="B23" i="9"/>
  <c r="B22" i="9"/>
  <c r="B20" i="9"/>
  <c r="B19" i="9"/>
  <c r="B18" i="9"/>
  <c r="B16" i="9"/>
  <c r="B26" i="8" l="1"/>
  <c r="B25" i="8"/>
  <c r="B24" i="8"/>
  <c r="B22" i="8"/>
  <c r="B21" i="8"/>
  <c r="B19" i="8"/>
  <c r="B18" i="8"/>
  <c r="B17" i="8"/>
  <c r="B16" i="8"/>
  <c r="B14" i="8"/>
  <c r="B12" i="8"/>
  <c r="B11" i="8"/>
  <c r="B10" i="8"/>
  <c r="B15" i="7" l="1"/>
  <c r="B14" i="7"/>
  <c r="B13" i="7"/>
  <c r="B12" i="7"/>
  <c r="B11" i="7"/>
  <c r="B10" i="7"/>
  <c r="B9" i="7"/>
  <c r="B8" i="7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H48" i="5" l="1"/>
  <c r="H47" i="5"/>
  <c r="H46" i="5"/>
  <c r="E46" i="5"/>
  <c r="E48" i="5"/>
  <c r="E47" i="5"/>
  <c r="B48" i="5"/>
  <c r="B47" i="5"/>
  <c r="B46" i="5"/>
  <c r="B43" i="5"/>
  <c r="B42" i="5"/>
  <c r="B44" i="5"/>
  <c r="B40" i="5"/>
  <c r="B39" i="5"/>
  <c r="B38" i="5"/>
  <c r="B37" i="5"/>
  <c r="B36" i="5"/>
  <c r="B35" i="5"/>
  <c r="B33" i="5"/>
  <c r="B32" i="5"/>
  <c r="B27" i="5"/>
  <c r="B26" i="5"/>
  <c r="B17" i="5"/>
  <c r="B11" i="5"/>
  <c r="B29" i="5" s="1"/>
  <c r="B30" i="5" s="1"/>
  <c r="B10" i="5"/>
  <c r="B15" i="5" s="1"/>
  <c r="B9" i="5"/>
  <c r="B18" i="5" s="1"/>
  <c r="B19" i="4"/>
  <c r="B18" i="4"/>
  <c r="B17" i="4"/>
  <c r="B16" i="4"/>
  <c r="B15" i="4"/>
  <c r="B14" i="4"/>
  <c r="B13" i="4"/>
  <c r="B12" i="4"/>
  <c r="B11" i="4"/>
  <c r="B10" i="4"/>
  <c r="B13" i="5" l="1"/>
  <c r="B14" i="5"/>
  <c r="B16" i="5"/>
  <c r="B20" i="2"/>
  <c r="B18" i="2"/>
  <c r="B17" i="2"/>
  <c r="B16" i="2"/>
  <c r="B22" i="2" s="1"/>
  <c r="B15" i="2"/>
  <c r="B13" i="2"/>
  <c r="B12" i="2"/>
  <c r="B11" i="2"/>
  <c r="B19" i="2" s="1"/>
  <c r="E18" i="1"/>
  <c r="E17" i="1"/>
  <c r="E15" i="1"/>
  <c r="E14" i="1"/>
  <c r="E13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38" i="3"/>
  <c r="B37" i="3"/>
  <c r="B36" i="3"/>
  <c r="B35" i="3"/>
  <c r="B33" i="3"/>
  <c r="B32" i="3"/>
  <c r="B31" i="3"/>
  <c r="B30" i="3"/>
  <c r="B28" i="3"/>
  <c r="B17" i="3"/>
  <c r="B16" i="3"/>
  <c r="B15" i="3"/>
  <c r="B14" i="3"/>
  <c r="B10" i="3"/>
  <c r="B11" i="3" s="1"/>
  <c r="B17" i="10"/>
  <c r="B13" i="10"/>
  <c r="F16" i="2"/>
  <c r="B20" i="5" l="1"/>
  <c r="B22" i="5"/>
  <c r="B21" i="5"/>
  <c r="B23" i="2"/>
  <c r="B25" i="2" s="1"/>
  <c r="F17" i="2" s="1"/>
  <c r="B24" i="2"/>
  <c r="B26" i="2" s="1"/>
  <c r="B21" i="3"/>
  <c r="B12" i="3"/>
  <c r="B19" i="3" s="1"/>
  <c r="B18" i="3"/>
  <c r="B21" i="11"/>
  <c r="B25" i="5" l="1"/>
  <c r="B24" i="5"/>
  <c r="F12" i="2"/>
  <c r="F18" i="2"/>
  <c r="F19" i="2" s="1"/>
  <c r="B28" i="2"/>
  <c r="F11" i="2"/>
  <c r="B27" i="2"/>
  <c r="B22" i="3"/>
  <c r="B25" i="3" s="1"/>
  <c r="B23" i="3"/>
  <c r="B26" i="3" s="1"/>
  <c r="F14" i="2" l="1"/>
  <c r="F20" i="2"/>
  <c r="F13" i="2"/>
  <c r="B27" i="3"/>
  <c r="E19" i="1" l="1"/>
</calcChain>
</file>

<file path=xl/sharedStrings.xml><?xml version="1.0" encoding="utf-8"?>
<sst xmlns="http://schemas.openxmlformats.org/spreadsheetml/2006/main" count="470" uniqueCount="146">
  <si>
    <t>Q1a</t>
  </si>
  <si>
    <t>ACx</t>
  </si>
  <si>
    <t>m</t>
  </si>
  <si>
    <t>CQx</t>
  </si>
  <si>
    <t>BQx</t>
  </si>
  <si>
    <t>APy</t>
  </si>
  <si>
    <t>CPy</t>
  </si>
  <si>
    <t>theta</t>
  </si>
  <si>
    <t>deg</t>
  </si>
  <si>
    <t>P</t>
  </si>
  <si>
    <t>kN</t>
  </si>
  <si>
    <t>Q</t>
  </si>
  <si>
    <t>ACy</t>
  </si>
  <si>
    <t>Ax</t>
  </si>
  <si>
    <t>BCx</t>
  </si>
  <si>
    <t>Ay</t>
  </si>
  <si>
    <t>BQy</t>
  </si>
  <si>
    <t>RA</t>
  </si>
  <si>
    <t>a11</t>
  </si>
  <si>
    <t>a12</t>
  </si>
  <si>
    <t>Bx</t>
  </si>
  <si>
    <t>a21</t>
  </si>
  <si>
    <t>By</t>
  </si>
  <si>
    <t>a22</t>
  </si>
  <si>
    <t>RB</t>
  </si>
  <si>
    <t>b1</t>
  </si>
  <si>
    <t>b2</t>
  </si>
  <si>
    <t>D</t>
  </si>
  <si>
    <t>Dx</t>
  </si>
  <si>
    <t>Dy</t>
  </si>
  <si>
    <t>Cx</t>
  </si>
  <si>
    <t>Cy</t>
  </si>
  <si>
    <t>RC</t>
  </si>
  <si>
    <t>Q2a</t>
  </si>
  <si>
    <t>ABx</t>
  </si>
  <si>
    <t>ABy</t>
  </si>
  <si>
    <t>DLtri</t>
  </si>
  <si>
    <t>kN/m</t>
  </si>
  <si>
    <t>DLrect</t>
  </si>
  <si>
    <t>Wtri</t>
  </si>
  <si>
    <t>BC</t>
  </si>
  <si>
    <t>Wrect</t>
  </si>
  <si>
    <t>RAtheta</t>
  </si>
  <si>
    <t>BCtheta</t>
  </si>
  <si>
    <t>RCtheta</t>
  </si>
  <si>
    <t xml:space="preserve">RB </t>
  </si>
  <si>
    <t>RBtheta</t>
  </si>
  <si>
    <t>G</t>
  </si>
  <si>
    <t>kg</t>
  </si>
  <si>
    <t>AFx</t>
  </si>
  <si>
    <t>mm</t>
  </si>
  <si>
    <t>FGx</t>
  </si>
  <si>
    <t>BGx</t>
  </si>
  <si>
    <t>BRx</t>
  </si>
  <si>
    <t>CRx</t>
  </si>
  <si>
    <t>BCy</t>
  </si>
  <si>
    <t>Q4a</t>
  </si>
  <si>
    <t>ADy</t>
  </si>
  <si>
    <t>UDL</t>
  </si>
  <si>
    <t>BD</t>
  </si>
  <si>
    <t>BDtheta</t>
  </si>
  <si>
    <t>W</t>
  </si>
  <si>
    <t xml:space="preserve">RA </t>
  </si>
  <si>
    <t>RDy</t>
  </si>
  <si>
    <t>RDx</t>
  </si>
  <si>
    <t>RD</t>
  </si>
  <si>
    <t>RDtheta</t>
  </si>
  <si>
    <t>RF</t>
  </si>
  <si>
    <t>RG</t>
  </si>
  <si>
    <t>Q6a</t>
  </si>
  <si>
    <t>CEy</t>
  </si>
  <si>
    <t>CEx</t>
  </si>
  <si>
    <t>BEy</t>
  </si>
  <si>
    <t>AEx</t>
  </si>
  <si>
    <t>ADx</t>
  </si>
  <si>
    <t>BDy</t>
  </si>
  <si>
    <t>CEtheta</t>
  </si>
  <si>
    <t>REtheta</t>
  </si>
  <si>
    <t>RE</t>
  </si>
  <si>
    <t>DBlen</t>
  </si>
  <si>
    <t>RAy</t>
  </si>
  <si>
    <t>RAx</t>
  </si>
  <si>
    <t>MA</t>
  </si>
  <si>
    <t>kN.m</t>
  </si>
  <si>
    <t>Q7a</t>
  </si>
  <si>
    <t>AB</t>
  </si>
  <si>
    <t>DL</t>
  </si>
  <si>
    <t>DL2</t>
  </si>
  <si>
    <t>W2</t>
  </si>
  <si>
    <t>W1tri</t>
  </si>
  <si>
    <t>W1rect</t>
  </si>
  <si>
    <t>CDx</t>
  </si>
  <si>
    <t>CDy</t>
  </si>
  <si>
    <t>DEy</t>
  </si>
  <si>
    <t>UDF</t>
  </si>
  <si>
    <t>AC</t>
  </si>
  <si>
    <t>ABtheta</t>
  </si>
  <si>
    <t>DEtheta</t>
  </si>
  <si>
    <t>FDE</t>
  </si>
  <si>
    <t>BEx</t>
  </si>
  <si>
    <t>DFy</t>
  </si>
  <si>
    <t>Fx</t>
  </si>
  <si>
    <t>Fy</t>
  </si>
  <si>
    <t>F</t>
  </si>
  <si>
    <t>DEx</t>
  </si>
  <si>
    <t>Ex</t>
  </si>
  <si>
    <t>Ey</t>
  </si>
  <si>
    <t>det</t>
  </si>
  <si>
    <t>detX</t>
  </si>
  <si>
    <t>detY</t>
  </si>
  <si>
    <t>x</t>
  </si>
  <si>
    <t>y</t>
  </si>
  <si>
    <t>CFy</t>
  </si>
  <si>
    <t>FBC</t>
  </si>
  <si>
    <t>AE</t>
  </si>
  <si>
    <t xml:space="preserve">RE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</si>
  <si>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FF</t>
  </si>
  <si>
    <t>FR</t>
  </si>
  <si>
    <t>Rbtheta</t>
  </si>
  <si>
    <t>BDx</t>
  </si>
  <si>
    <t>diam</t>
  </si>
  <si>
    <t>mass</t>
  </si>
  <si>
    <t>alpha</t>
  </si>
  <si>
    <t>BF</t>
  </si>
  <si>
    <t>RGtheta</t>
  </si>
  <si>
    <t>RFtheta</t>
  </si>
  <si>
    <t>a2-11</t>
  </si>
  <si>
    <t>a2-12</t>
  </si>
  <si>
    <t>a2-21</t>
  </si>
  <si>
    <t>a2-22</t>
  </si>
  <si>
    <t>b2-1</t>
  </si>
  <si>
    <t>b2-2</t>
  </si>
  <si>
    <t>detB</t>
  </si>
  <si>
    <t>detBx</t>
  </si>
  <si>
    <t>detBy</t>
  </si>
  <si>
    <t>GFx</t>
  </si>
  <si>
    <t>FEx</t>
  </si>
  <si>
    <t>M</t>
  </si>
  <si>
    <t>GEx</t>
  </si>
  <si>
    <t>GDx</t>
  </si>
  <si>
    <t>BFtheta</t>
  </si>
  <si>
    <t>CDtheta</t>
  </si>
  <si>
    <t xml:space="preserve">W </t>
  </si>
  <si>
    <t>CD</t>
  </si>
  <si>
    <t>Gx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</si>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</sst>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rial"/>
    </font>
    <font>
      <b/>
      <sz val="11"/>
      <color rgb="FF000000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632880</xdr:colOff>
      <xdr:row>7</xdr:row>
      <xdr:rowOff>55080</xdr:rowOff>
    </xdr:from>
    <xdr:to>
      <xdr:col>9</xdr:col>
      <xdr:colOff>149498</xdr:colOff>
      <xdr:row>25</xdr:row>
      <xdr:rowOff>149788</xdr:rowOff>
    </xdr:to>
    <xdr:pic>
      <xdr:nvPicPr>
        <xdr:cNvPr id="11" name="Image 12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71160" y="1281600"/>
          <a:ext cx="4380840" cy="30301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169920</xdr:colOff>
      <xdr:row>4</xdr:row>
      <xdr:rowOff>86040</xdr:rowOff>
    </xdr:from>
    <xdr:to>
      <xdr:col>8</xdr:col>
      <xdr:colOff>797040</xdr:colOff>
      <xdr:row>20</xdr:row>
      <xdr:rowOff>40680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08200" y="786960"/>
          <a:ext cx="4691160" cy="25682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554760</xdr:colOff>
      <xdr:row>6</xdr:row>
      <xdr:rowOff>173520</xdr:rowOff>
    </xdr:from>
    <xdr:to>
      <xdr:col>12</xdr:col>
      <xdr:colOff>113040</xdr:colOff>
      <xdr:row>21</xdr:row>
      <xdr:rowOff>117145</xdr:rowOff>
    </xdr:to>
    <xdr:pic>
      <xdr:nvPicPr>
        <xdr:cNvPr id="2" name="Imag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77200" y="1225080"/>
          <a:ext cx="4435200" cy="257688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425520</xdr:colOff>
      <xdr:row>1</xdr:row>
      <xdr:rowOff>141120</xdr:rowOff>
    </xdr:from>
    <xdr:to>
      <xdr:col>10</xdr:col>
      <xdr:colOff>421546</xdr:colOff>
      <xdr:row>14</xdr:row>
      <xdr:rowOff>111511</xdr:rowOff>
    </xdr:to>
    <xdr:pic>
      <xdr:nvPicPr>
        <xdr:cNvPr id="2" name="Imag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9200" y="316080"/>
          <a:ext cx="4061880" cy="22370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531720</xdr:colOff>
      <xdr:row>9</xdr:row>
      <xdr:rowOff>15840</xdr:rowOff>
    </xdr:from>
    <xdr:to>
      <xdr:col>9</xdr:col>
      <xdr:colOff>87480</xdr:colOff>
      <xdr:row>21</xdr:row>
      <xdr:rowOff>113760</xdr:rowOff>
    </xdr:to>
    <xdr:pic>
      <xdr:nvPicPr>
        <xdr:cNvPr id="12" name="Image 13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0" y="1593000"/>
          <a:ext cx="4432680" cy="20613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784800</xdr:colOff>
      <xdr:row>2</xdr:row>
      <xdr:rowOff>117360</xdr:rowOff>
    </xdr:from>
    <xdr:to>
      <xdr:col>12</xdr:col>
      <xdr:colOff>165240</xdr:colOff>
      <xdr:row>21</xdr:row>
      <xdr:rowOff>137160</xdr:rowOff>
    </xdr:to>
    <xdr:pic>
      <xdr:nvPicPr>
        <xdr:cNvPr id="13" name="Image 14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48480" y="467640"/>
          <a:ext cx="5070240" cy="31212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649080</xdr:colOff>
      <xdr:row>4</xdr:row>
      <xdr:rowOff>119520</xdr:rowOff>
    </xdr:from>
    <xdr:to>
      <xdr:col>9</xdr:col>
      <xdr:colOff>585360</xdr:colOff>
      <xdr:row>18</xdr:row>
      <xdr:rowOff>158400</xdr:rowOff>
    </xdr:to>
    <xdr:pic>
      <xdr:nvPicPr>
        <xdr:cNvPr id="14" name="Image 1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12760" y="820440"/>
          <a:ext cx="3187800" cy="23400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126720</xdr:colOff>
      <xdr:row>6</xdr:row>
      <xdr:rowOff>9000</xdr:rowOff>
    </xdr:from>
    <xdr:to>
      <xdr:col>9</xdr:col>
      <xdr:colOff>48600</xdr:colOff>
      <xdr:row>20</xdr:row>
      <xdr:rowOff>80280</xdr:rowOff>
    </xdr:to>
    <xdr:pic>
      <xdr:nvPicPr>
        <xdr:cNvPr id="15" name="Image 16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65000" y="1060560"/>
          <a:ext cx="4798800" cy="23598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735480</xdr:colOff>
      <xdr:row>1</xdr:row>
      <xdr:rowOff>153360</xdr:rowOff>
    </xdr:from>
    <xdr:to>
      <xdr:col>9</xdr:col>
      <xdr:colOff>40320</xdr:colOff>
      <xdr:row>20</xdr:row>
      <xdr:rowOff>111137</xdr:rowOff>
    </xdr:to>
    <xdr:pic>
      <xdr:nvPicPr>
        <xdr:cNvPr id="10" name="Image 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60880" y="328320"/>
          <a:ext cx="4994640" cy="327780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339120</xdr:colOff>
      <xdr:row>3</xdr:row>
      <xdr:rowOff>137880</xdr:rowOff>
    </xdr:from>
    <xdr:to>
      <xdr:col>9</xdr:col>
      <xdr:colOff>535680</xdr:colOff>
      <xdr:row>23</xdr:row>
      <xdr:rowOff>149727</xdr:rowOff>
    </xdr:to>
    <xdr:pic>
      <xdr:nvPicPr>
        <xdr:cNvPr id="9" name="Image 1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90280" y="663480"/>
          <a:ext cx="4260600" cy="34981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598320</xdr:colOff>
      <xdr:row>2</xdr:row>
      <xdr:rowOff>93960</xdr:rowOff>
    </xdr:from>
    <xdr:to>
      <xdr:col>11</xdr:col>
      <xdr:colOff>225921</xdr:colOff>
      <xdr:row>25</xdr:row>
      <xdr:rowOff>117290</xdr:rowOff>
    </xdr:to>
    <xdr:pic>
      <xdr:nvPicPr>
        <xdr:cNvPr id="8" name="Image 10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49480" y="444240"/>
          <a:ext cx="5314320" cy="406332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621360</xdr:colOff>
      <xdr:row>2</xdr:row>
      <xdr:rowOff>99000</xdr:rowOff>
    </xdr:from>
    <xdr:to>
      <xdr:col>7</xdr:col>
      <xdr:colOff>263936</xdr:colOff>
      <xdr:row>19</xdr:row>
      <xdr:rowOff>112680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59640" y="449280"/>
          <a:ext cx="2886480" cy="29930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28800</xdr:colOff>
      <xdr:row>2</xdr:row>
      <xdr:rowOff>64080</xdr:rowOff>
    </xdr:from>
    <xdr:to>
      <xdr:col>9</xdr:col>
      <xdr:colOff>307557</xdr:colOff>
      <xdr:row>14</xdr:row>
      <xdr:rowOff>34270</xdr:rowOff>
    </xdr:to>
    <xdr:pic>
      <xdr:nvPicPr>
        <xdr:cNvPr id="6" name="Image 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79960" y="414360"/>
          <a:ext cx="4350960" cy="20642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697320</xdr:colOff>
      <xdr:row>10</xdr:row>
      <xdr:rowOff>86400</xdr:rowOff>
    </xdr:from>
    <xdr:to>
      <xdr:col>8</xdr:col>
      <xdr:colOff>192240</xdr:colOff>
      <xdr:row>29</xdr:row>
      <xdr:rowOff>73482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135600" y="1838880"/>
          <a:ext cx="3558960" cy="331164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100692</xdr:colOff>
      <xdr:row>4</xdr:row>
      <xdr:rowOff>107952</xdr:rowOff>
    </xdr:from>
    <xdr:to>
      <xdr:col>7</xdr:col>
      <xdr:colOff>220434</xdr:colOff>
      <xdr:row>19</xdr:row>
      <xdr:rowOff>111402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4D8F17-08B5-45F5-9073-EBCA6AC4C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2506" y="826409"/>
          <a:ext cx="3458029" cy="26786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537480</xdr:colOff>
      <xdr:row>3</xdr:row>
      <xdr:rowOff>32400</xdr:rowOff>
    </xdr:from>
    <xdr:to>
      <xdr:col>8</xdr:col>
      <xdr:colOff>303840</xdr:colOff>
      <xdr:row>19</xdr:row>
      <xdr:rowOff>155450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5760" y="558000"/>
          <a:ext cx="3830400" cy="29361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9"/>
  <sheetViews>
    <sheetView tabSelected="1" zoomScaleNormal="100" workbookViewId="0">
      <selection activeCell="E37" sqref="E37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135</v>
      </c>
      <c r="B1">
        <v>870</v>
      </c>
      <c r="C1" t="s">
        <v>50</v>
      </c>
    </row>
    <row r="2" spans="1:3" x14ac:dyDescent="0.3">
      <c r="A2" t="s">
        <v>136</v>
      </c>
      <c r="B2">
        <v>1780</v>
      </c>
      <c r="C2" t="s">
        <v>50</v>
      </c>
    </row>
    <row r="3" spans="1:3" x14ac:dyDescent="0.3">
      <c r="A3" t="s">
        <v>14</v>
      </c>
      <c r="B3">
        <v>830</v>
      </c>
      <c r="C3" t="s">
        <v>50</v>
      </c>
    </row>
    <row r="4" spans="1:3" x14ac:dyDescent="0.3">
      <c r="A4" t="s">
        <v>91</v>
      </c>
      <c r="B4">
        <v>830</v>
      </c>
      <c r="C4" t="s">
        <v>50</v>
      </c>
    </row>
    <row r="5" spans="1:3" x14ac:dyDescent="0.3">
      <c r="A5" t="s">
        <v>111</v>
      </c>
      <c r="B5">
        <v>1830</v>
      </c>
      <c r="C5" t="s">
        <v>50</v>
      </c>
    </row>
    <row r="6" spans="1:3" x14ac:dyDescent="0.3">
      <c r="A6" t="s">
        <v>137</v>
      </c>
      <c r="B6">
        <v>210</v>
      </c>
      <c r="C6" t="s">
        <v>48</v>
      </c>
    </row>
    <row r="8" spans="1:3" x14ac:dyDescent="0.3">
      <c r="A8" t="s">
        <v>34</v>
      </c>
      <c r="B8">
        <f>GFx+FEx</f>
        <v>2650</v>
      </c>
      <c r="C8" t="s">
        <v>50</v>
      </c>
    </row>
    <row r="9" spans="1:3" x14ac:dyDescent="0.3">
      <c r="A9" t="s">
        <v>1</v>
      </c>
      <c r="B9">
        <f>ABx+BCx</f>
        <v>3480</v>
      </c>
      <c r="C9" t="s">
        <v>50</v>
      </c>
    </row>
    <row r="10" spans="1:3" x14ac:dyDescent="0.3">
      <c r="A10" t="s">
        <v>138</v>
      </c>
      <c r="B10">
        <f>GFx+FEx</f>
        <v>2650</v>
      </c>
      <c r="C10" t="s">
        <v>50</v>
      </c>
    </row>
    <row r="11" spans="1:3" x14ac:dyDescent="0.3">
      <c r="A11" t="s">
        <v>139</v>
      </c>
      <c r="B11">
        <f>GFx+FEx+BCx+CDx</f>
        <v>4310</v>
      </c>
      <c r="C11" t="s">
        <v>50</v>
      </c>
    </row>
    <row r="13" spans="1:3" x14ac:dyDescent="0.3">
      <c r="A13" t="s">
        <v>140</v>
      </c>
      <c r="B13">
        <f>DEGREES(ATAN(y/FEx))</f>
        <v>45.793519614612379</v>
      </c>
    </row>
    <row r="14" spans="1:3" x14ac:dyDescent="0.3">
      <c r="A14" t="s">
        <v>141</v>
      </c>
      <c r="B14">
        <f>DEGREES(ATAN(y/CDx))</f>
        <v>65.603241073417323</v>
      </c>
    </row>
    <row r="15" spans="1:3" x14ac:dyDescent="0.3">
      <c r="A15" t="s">
        <v>142</v>
      </c>
      <c r="B15">
        <f>M*9.81/1000</f>
        <v>2.0600999999999998</v>
      </c>
    </row>
    <row r="17" spans="1:3" x14ac:dyDescent="0.3">
      <c r="A17" t="s">
        <v>18</v>
      </c>
      <c r="B17">
        <f>ABx*SIN(RADIANS(BFtheta))</f>
        <v>1899.6041397795686</v>
      </c>
    </row>
    <row r="18" spans="1:3" x14ac:dyDescent="0.3">
      <c r="A18" t="s">
        <v>19</v>
      </c>
      <c r="B18">
        <f>ACx*SIN(RADIANS(CDtheta))</f>
        <v>3169.2604560259283</v>
      </c>
    </row>
    <row r="19" spans="1:3" x14ac:dyDescent="0.3">
      <c r="A19" t="s">
        <v>21</v>
      </c>
      <c r="B19">
        <f>GFx*SIN(RADIANS(BFtheta))</f>
        <v>623.64362324838669</v>
      </c>
    </row>
    <row r="20" spans="1:3" x14ac:dyDescent="0.3">
      <c r="A20" t="s">
        <v>23</v>
      </c>
      <c r="B20">
        <f>GDx*SIN(RADIANS(CDtheta))</f>
        <v>3925.1472889286638</v>
      </c>
    </row>
    <row r="21" spans="1:3" x14ac:dyDescent="0.3">
      <c r="A21" t="s">
        <v>25</v>
      </c>
      <c r="B21">
        <v>0</v>
      </c>
    </row>
    <row r="22" spans="1:3" x14ac:dyDescent="0.3">
      <c r="A22" t="s">
        <v>26</v>
      </c>
      <c r="B22">
        <f>GEx*W</f>
        <v>5459.2649999999994</v>
      </c>
    </row>
    <row r="23" spans="1:3" s="2" customFormat="1" x14ac:dyDescent="0.3"/>
    <row r="24" spans="1:3" s="2" customFormat="1" x14ac:dyDescent="0.3">
      <c r="A24" s="2" t="s">
        <v>107</v>
      </c>
      <c r="B24" s="2">
        <f>a11_*a22_-a12_*a21_</f>
        <v>5479736.9654795956</v>
      </c>
    </row>
    <row r="25" spans="1:3" s="2" customFormat="1" x14ac:dyDescent="0.3">
      <c r="A25" s="2" t="s">
        <v>108</v>
      </c>
      <c r="B25" s="2">
        <f>b1_*a22_-b2_*a12_</f>
        <v>-17301832.683466386</v>
      </c>
    </row>
    <row r="26" spans="1:3" s="2" customFormat="1" x14ac:dyDescent="0.3">
      <c r="A26" s="2" t="s">
        <v>109</v>
      </c>
      <c r="B26" s="2">
        <f>a11_*b2_-a21_*b1_</f>
        <v>10370442.394153705</v>
      </c>
    </row>
    <row r="28" spans="1:3" x14ac:dyDescent="0.3">
      <c r="A28" t="s">
        <v>123</v>
      </c>
      <c r="B28">
        <f>detX/det</f>
        <v>-3.1574202908756042</v>
      </c>
      <c r="C28" t="s">
        <v>10</v>
      </c>
    </row>
    <row r="29" spans="1:3" x14ac:dyDescent="0.3">
      <c r="A29" t="s">
        <v>143</v>
      </c>
      <c r="B29">
        <f>detY/det</f>
        <v>1.8925073337431748</v>
      </c>
      <c r="C29" t="s">
        <v>10</v>
      </c>
    </row>
    <row r="31" spans="1:3" x14ac:dyDescent="0.3">
      <c r="A31" t="s">
        <v>13</v>
      </c>
      <c r="B31">
        <f>-CD*COS(RADIANS(CDtheta))+BF*(COS(RADIANS(BFtheta)))</f>
        <v>-2.9832049180327873</v>
      </c>
    </row>
    <row r="32" spans="1:3" x14ac:dyDescent="0.3">
      <c r="A32" t="s">
        <v>15</v>
      </c>
      <c r="B32">
        <f>BF*SIN(RADIANS(BFtheta))+CD*SIN(RADIANS(CDtheta))</f>
        <v>-0.53981938669748253</v>
      </c>
    </row>
    <row r="33" spans="1:5" x14ac:dyDescent="0.3">
      <c r="A33" t="s">
        <v>17</v>
      </c>
      <c r="B33">
        <f>(Ax^2+Ay^2)^0.5</f>
        <v>3.0316524459821337</v>
      </c>
      <c r="C33" t="s">
        <v>10</v>
      </c>
    </row>
    <row r="34" spans="1:5" x14ac:dyDescent="0.3">
      <c r="A34" t="s">
        <v>42</v>
      </c>
      <c r="B34">
        <f>180+DEGREES(ATAN(Ay/Ax))</f>
        <v>190.25684502060594</v>
      </c>
      <c r="C34" t="s">
        <v>8</v>
      </c>
    </row>
    <row r="36" spans="1:5" x14ac:dyDescent="0.3">
      <c r="A36" t="s">
        <v>144</v>
      </c>
      <c r="B36">
        <f>CD*COS(RADIANS(CDtheta))-BF*COS(RADIANS(BFtheta))</f>
        <v>2.9832049180327873</v>
      </c>
      <c r="E36">
        <f>Ay+Gy-W</f>
        <v>0</v>
      </c>
    </row>
    <row r="37" spans="1:5" x14ac:dyDescent="0.3">
      <c r="A37" t="s">
        <v>145</v>
      </c>
      <c r="B37">
        <f>W-BF*SIN(RADIANS(BFtheta))-CD*SIN(RADIANS(CDtheta))</f>
        <v>2.5999193866974828</v>
      </c>
    </row>
    <row r="38" spans="1:5" x14ac:dyDescent="0.3">
      <c r="A38" t="s">
        <v>68</v>
      </c>
      <c r="B38">
        <f>(Gx^2+Gy^2)^0.5</f>
        <v>3.9571571108941863</v>
      </c>
    </row>
    <row r="39" spans="1:5" x14ac:dyDescent="0.3">
      <c r="A39" t="s">
        <v>124</v>
      </c>
      <c r="B39">
        <f>DEGREES(ATAN(Gy/Gx))</f>
        <v>41.0727650458102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"/>
  <sheetViews>
    <sheetView zoomScaleNormal="100" workbookViewId="0">
      <selection activeCell="B35" sqref="B35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47</v>
      </c>
      <c r="B1">
        <v>1160</v>
      </c>
      <c r="C1" t="s">
        <v>48</v>
      </c>
    </row>
    <row r="2" spans="1:3" x14ac:dyDescent="0.3">
      <c r="A2" t="s">
        <v>49</v>
      </c>
      <c r="B2">
        <v>1130</v>
      </c>
      <c r="C2" t="s">
        <v>50</v>
      </c>
    </row>
    <row r="3" spans="1:3" x14ac:dyDescent="0.3">
      <c r="A3" t="s">
        <v>51</v>
      </c>
      <c r="B3">
        <v>825</v>
      </c>
      <c r="C3" t="s">
        <v>50</v>
      </c>
    </row>
    <row r="4" spans="1:3" x14ac:dyDescent="0.3">
      <c r="A4" t="s">
        <v>52</v>
      </c>
      <c r="B4">
        <v>910</v>
      </c>
      <c r="C4" t="s">
        <v>50</v>
      </c>
    </row>
    <row r="5" spans="1:3" x14ac:dyDescent="0.3">
      <c r="A5" t="s">
        <v>53</v>
      </c>
      <c r="B5">
        <v>785</v>
      </c>
      <c r="C5" t="s">
        <v>50</v>
      </c>
    </row>
    <row r="6" spans="1:3" x14ac:dyDescent="0.3">
      <c r="A6" t="s">
        <v>54</v>
      </c>
      <c r="B6">
        <v>1955</v>
      </c>
      <c r="C6" t="s">
        <v>50</v>
      </c>
    </row>
    <row r="7" spans="1:3" x14ac:dyDescent="0.3">
      <c r="A7" t="s">
        <v>12</v>
      </c>
      <c r="B7">
        <v>1220</v>
      </c>
      <c r="C7" t="s">
        <v>50</v>
      </c>
    </row>
    <row r="8" spans="1:3" x14ac:dyDescent="0.3">
      <c r="A8" t="s">
        <v>55</v>
      </c>
      <c r="B8">
        <v>590</v>
      </c>
      <c r="C8" t="s">
        <v>50</v>
      </c>
    </row>
    <row r="10" spans="1:3" x14ac:dyDescent="0.3">
      <c r="A10" t="s">
        <v>61</v>
      </c>
      <c r="B10">
        <f>G*9.81/1000</f>
        <v>11.3796</v>
      </c>
      <c r="C10" t="s">
        <v>10</v>
      </c>
    </row>
    <row r="11" spans="1:3" x14ac:dyDescent="0.3">
      <c r="A11" t="s">
        <v>116</v>
      </c>
      <c r="B11">
        <f>W*(BGx+BRx)/(FGx+BGx+BRx)</f>
        <v>7.6541357142857134</v>
      </c>
      <c r="C11" s="4" t="s">
        <v>10</v>
      </c>
    </row>
    <row r="12" spans="1:3" x14ac:dyDescent="0.3">
      <c r="A12" t="s">
        <v>117</v>
      </c>
      <c r="B12">
        <f>W-FF</f>
        <v>3.7254642857142866</v>
      </c>
      <c r="C12" s="4" t="s">
        <v>10</v>
      </c>
    </row>
    <row r="14" spans="1:3" x14ac:dyDescent="0.3">
      <c r="A14" s="4" t="s">
        <v>18</v>
      </c>
      <c r="B14">
        <f>-(ACy+BCy)</f>
        <v>-1810</v>
      </c>
    </row>
    <row r="15" spans="1:3" x14ac:dyDescent="0.3">
      <c r="A15" s="4" t="s">
        <v>19</v>
      </c>
      <c r="B15">
        <f>(AFx+FGx+BGx)</f>
        <v>2865</v>
      </c>
    </row>
    <row r="16" spans="1:3" x14ac:dyDescent="0.3">
      <c r="A16" s="4" t="s">
        <v>21</v>
      </c>
      <c r="B16">
        <f>BCy</f>
        <v>590</v>
      </c>
    </row>
    <row r="17" spans="1:2" x14ac:dyDescent="0.3">
      <c r="A17" s="4" t="s">
        <v>23</v>
      </c>
      <c r="B17">
        <f>CRx+BRx</f>
        <v>2740</v>
      </c>
    </row>
    <row r="18" spans="1:2" x14ac:dyDescent="0.3">
      <c r="A18" s="4" t="s">
        <v>25</v>
      </c>
      <c r="B18">
        <f>AFx*FF</f>
        <v>8649.1733571428558</v>
      </c>
    </row>
    <row r="19" spans="1:2" x14ac:dyDescent="0.3">
      <c r="A19" s="4" t="s">
        <v>26</v>
      </c>
      <c r="B19">
        <f>-CRx*FR</f>
        <v>-7283.2826785714306</v>
      </c>
    </row>
    <row r="21" spans="1:2" x14ac:dyDescent="0.3">
      <c r="A21" s="4" t="s">
        <v>107</v>
      </c>
      <c r="B21">
        <f>a11_*a22_-a12_*a21_</f>
        <v>-6649750</v>
      </c>
    </row>
    <row r="22" spans="1:2" x14ac:dyDescent="0.3">
      <c r="A22" s="4" t="s">
        <v>108</v>
      </c>
      <c r="B22">
        <f>b1_*a22_-b2_*a12_</f>
        <v>44565339.872678578</v>
      </c>
    </row>
    <row r="23" spans="1:2" x14ac:dyDescent="0.3">
      <c r="A23" s="4" t="s">
        <v>109</v>
      </c>
      <c r="B23">
        <f>a11_*b2_-a21_*b1_</f>
        <v>8079729.3675000053</v>
      </c>
    </row>
    <row r="25" spans="1:2" x14ac:dyDescent="0.3">
      <c r="A25" s="4" t="s">
        <v>20</v>
      </c>
      <c r="B25">
        <f>detX/det</f>
        <v>-6.7018068156966173</v>
      </c>
    </row>
    <row r="26" spans="1:2" x14ac:dyDescent="0.3">
      <c r="A26" s="4" t="s">
        <v>22</v>
      </c>
      <c r="B26">
        <f>detY/det</f>
        <v>-1.2150425756607399</v>
      </c>
    </row>
    <row r="27" spans="1:2" x14ac:dyDescent="0.3">
      <c r="A27" s="4" t="s">
        <v>24</v>
      </c>
      <c r="B27">
        <f>(Bx^2+By^2)^0.5</f>
        <v>6.8110603473751361</v>
      </c>
    </row>
    <row r="28" spans="1:2" s="2" customFormat="1" x14ac:dyDescent="0.3">
      <c r="A28" s="4" t="s">
        <v>118</v>
      </c>
      <c r="B28" s="2">
        <f>DEGREES(ATAN(By/Bx))</f>
        <v>10.276145672839549</v>
      </c>
    </row>
    <row r="30" spans="1:2" x14ac:dyDescent="0.3">
      <c r="A30" s="4" t="s">
        <v>13</v>
      </c>
      <c r="B30">
        <f>-Bx</f>
        <v>6.7018068156966173</v>
      </c>
    </row>
    <row r="31" spans="1:2" x14ac:dyDescent="0.3">
      <c r="A31" s="4" t="s">
        <v>15</v>
      </c>
      <c r="B31">
        <f>FF-By</f>
        <v>8.8691782899464542</v>
      </c>
    </row>
    <row r="32" spans="1:2" x14ac:dyDescent="0.3">
      <c r="A32" s="4" t="s">
        <v>17</v>
      </c>
      <c r="B32">
        <f>(Ax^2+Ay^2)^0.5</f>
        <v>11.116498465514001</v>
      </c>
    </row>
    <row r="33" spans="1:2" x14ac:dyDescent="0.3">
      <c r="A33" s="4" t="s">
        <v>42</v>
      </c>
      <c r="B33">
        <f>DEGREES(ATAN(Ay/Ax))</f>
        <v>52.924254155350475</v>
      </c>
    </row>
    <row r="35" spans="1:2" x14ac:dyDescent="0.3">
      <c r="A35" s="4" t="s">
        <v>30</v>
      </c>
      <c r="B35">
        <f>Bx</f>
        <v>-6.7018068156966173</v>
      </c>
    </row>
    <row r="36" spans="1:2" x14ac:dyDescent="0.3">
      <c r="A36" s="4" t="s">
        <v>31</v>
      </c>
      <c r="B36">
        <f>FR+By</f>
        <v>2.5104217100535466</v>
      </c>
    </row>
    <row r="37" spans="1:2" x14ac:dyDescent="0.3">
      <c r="A37" s="4" t="s">
        <v>32</v>
      </c>
      <c r="B37">
        <f>(Cx^2+Cy^2)^0.5</f>
        <v>7.1565656398321256</v>
      </c>
    </row>
    <row r="38" spans="1:2" x14ac:dyDescent="0.3">
      <c r="A38" s="4" t="s">
        <v>44</v>
      </c>
      <c r="B38">
        <f>180+DEGREES(ATAN(Cy/Cx))</f>
        <v>159.46461340761047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&amp;C&amp;10&amp;A</oddHeader>
    <oddFooter>&amp;C&amp;10Page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topLeftCell="A4" zoomScaleNormal="100" workbookViewId="0">
      <selection activeCell="F20" sqref="F20"/>
    </sheetView>
  </sheetViews>
  <sheetFormatPr defaultColWidth="10.5" defaultRowHeight="14" x14ac:dyDescent="0.3"/>
  <cols>
    <col min="2" max="2" width="12.58203125" customWidth="1"/>
    <col min="4" max="4" width="10.5" style="2"/>
    <col min="6" max="6" width="11.75" bestFit="1" customWidth="1"/>
  </cols>
  <sheetData>
    <row r="1" spans="1:15" x14ac:dyDescent="0.3">
      <c r="A1" s="3"/>
      <c r="B1" s="2"/>
      <c r="C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3"/>
      <c r="B2" s="2"/>
      <c r="C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1" t="s">
        <v>33</v>
      </c>
      <c r="B3" s="2"/>
      <c r="C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3"/>
      <c r="B4" s="2"/>
      <c r="C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3" t="s">
        <v>34</v>
      </c>
      <c r="B5" s="2">
        <v>2</v>
      </c>
      <c r="C5" s="2" t="s">
        <v>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3" t="s">
        <v>14</v>
      </c>
      <c r="B6" s="2">
        <v>3.05</v>
      </c>
      <c r="C6" s="2" t="s">
        <v>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3" t="s">
        <v>35</v>
      </c>
      <c r="B7" s="2">
        <v>2.4500000000000002</v>
      </c>
      <c r="C7" s="2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3" t="s">
        <v>36</v>
      </c>
      <c r="B8" s="2">
        <v>3.3</v>
      </c>
      <c r="C8" s="2" t="s">
        <v>37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s="3" t="s">
        <v>38</v>
      </c>
      <c r="B9" s="2">
        <v>2.5</v>
      </c>
      <c r="C9" s="2" t="s">
        <v>37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3">
      <c r="A10" s="3"/>
      <c r="B10" s="2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3">
      <c r="A11" s="3" t="s">
        <v>39</v>
      </c>
      <c r="B11" s="2">
        <f>DLtri*ABy/2</f>
        <v>4.0425000000000004</v>
      </c>
      <c r="C11" s="2" t="s">
        <v>10</v>
      </c>
      <c r="E11" s="2" t="s">
        <v>13</v>
      </c>
      <c r="F11" s="2">
        <f>Bx-Wtri</f>
        <v>0.67771721559911136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3">
      <c r="A12" s="3" t="s">
        <v>40</v>
      </c>
      <c r="B12" s="2">
        <f>(BCx^2+ABy^2)^0.5</f>
        <v>3.9121605284037106</v>
      </c>
      <c r="C12" s="2" t="s">
        <v>2</v>
      </c>
      <c r="E12" s="2" t="s">
        <v>15</v>
      </c>
      <c r="F12" s="2">
        <f>-By</f>
        <v>2.4808910891089111</v>
      </c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">
      <c r="A13" s="3" t="s">
        <v>41</v>
      </c>
      <c r="B13" s="2">
        <f>BC*DLrect</f>
        <v>9.7804013210092773</v>
      </c>
      <c r="C13" s="2" t="s">
        <v>10</v>
      </c>
      <c r="E13" s="2" t="s">
        <v>17</v>
      </c>
      <c r="F13" s="2">
        <f>(Ax^2+Ay^2)^0.5</f>
        <v>2.5717933860128444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3">
      <c r="A14" s="3"/>
      <c r="B14" s="2"/>
      <c r="C14" s="2"/>
      <c r="E14" s="2" t="s">
        <v>42</v>
      </c>
      <c r="F14" s="2">
        <f>DEGREES(ATAN(Ay/Ax))</f>
        <v>74.72101156046206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A15" s="3" t="s">
        <v>18</v>
      </c>
      <c r="B15" s="2">
        <f>ABy</f>
        <v>2.4500000000000002</v>
      </c>
      <c r="C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3">
      <c r="A16" s="3" t="s">
        <v>19</v>
      </c>
      <c r="B16" s="2">
        <f>ABx</f>
        <v>2</v>
      </c>
      <c r="C16" s="2"/>
      <c r="E16" t="s">
        <v>43</v>
      </c>
      <c r="F16">
        <f>DEGREES(ATAN(B7/B6))</f>
        <v>38.774170935574233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3">
      <c r="A17" s="3" t="s">
        <v>21</v>
      </c>
      <c r="B17" s="2">
        <f>-ABy</f>
        <v>-2.4500000000000002</v>
      </c>
      <c r="C17" s="2"/>
      <c r="E17" t="s">
        <v>30</v>
      </c>
      <c r="F17">
        <f>Wrect*SIN(RADIANS(BCtheta))-Bx</f>
        <v>1.4047827844008891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3">
      <c r="A18" s="3" t="s">
        <v>23</v>
      </c>
      <c r="B18" s="2">
        <f>BCx</f>
        <v>3.05</v>
      </c>
      <c r="C18" s="2"/>
      <c r="E18" t="s">
        <v>31</v>
      </c>
      <c r="F18">
        <f>By+Wrect*COS(RADIANS(BCtheta))</f>
        <v>5.1441089108910898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3">
      <c r="A19" s="3" t="s">
        <v>25</v>
      </c>
      <c r="B19" s="2">
        <f>2*B11*B7/3</f>
        <v>6.6027500000000012</v>
      </c>
      <c r="C19" s="2"/>
      <c r="E19" s="2" t="s">
        <v>32</v>
      </c>
      <c r="F19" s="2">
        <f>(Cx^2+Cy^2)^0.5</f>
        <v>5.3324732684241587</v>
      </c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">
      <c r="A20" s="3" t="s">
        <v>26</v>
      </c>
      <c r="B20" s="2">
        <f>-Wrect*(COS(RADIANS(BCtheta))*a22_/2+SIN(RADIANS(BCtheta))*ABy/2)</f>
        <v>-19.131250000000001</v>
      </c>
      <c r="C20" s="2"/>
      <c r="E20" s="2" t="s">
        <v>44</v>
      </c>
      <c r="F20" s="2">
        <f>DEGREES(ATAN(Cy/Cx))</f>
        <v>74.725766325795263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A21" s="3"/>
      <c r="B21" s="2"/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">
      <c r="A22" s="3" t="s">
        <v>27</v>
      </c>
      <c r="B22" s="2">
        <f>a11_*a22_-a12_*a21_</f>
        <v>12.3725</v>
      </c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">
      <c r="A23" s="3" t="s">
        <v>28</v>
      </c>
      <c r="B23" s="2">
        <f>b1_*a22_-b2_*a12_</f>
        <v>58.40088750000001</v>
      </c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3">
      <c r="A24" s="3" t="s">
        <v>29</v>
      </c>
      <c r="B24" s="2">
        <f>a11_*b2_-a21_*b1_</f>
        <v>-30.694825000000005</v>
      </c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">
      <c r="A25" s="3" t="s">
        <v>20</v>
      </c>
      <c r="B25" s="2">
        <f>Dx/D</f>
        <v>4.7202172155991118</v>
      </c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A26" s="3" t="s">
        <v>22</v>
      </c>
      <c r="B26" s="2">
        <f>Dy/D</f>
        <v>-2.4808910891089111</v>
      </c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">
      <c r="A27" s="3" t="s">
        <v>45</v>
      </c>
      <c r="B27" s="2">
        <f>(Bx^2+By^2)^0.5</f>
        <v>5.3324732684241587</v>
      </c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3">
      <c r="A28" s="3" t="s">
        <v>46</v>
      </c>
      <c r="B28" s="2">
        <f>-DEGREES(ATAN(By/Bx))</f>
        <v>27.725891803056264</v>
      </c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3">
      <c r="A29" s="3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Normal="100" workbookViewId="0">
      <selection activeCell="B27" sqref="B27"/>
    </sheetView>
  </sheetViews>
  <sheetFormatPr defaultColWidth="10.5" defaultRowHeight="14" x14ac:dyDescent="0.3"/>
  <cols>
    <col min="2" max="2" width="12.33203125" bestFit="1" customWidth="1"/>
    <col min="5" max="5" width="12.33203125" bestFit="1" customWidth="1"/>
  </cols>
  <sheetData>
    <row r="1" spans="1:12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3">
      <c r="A4" s="3" t="s">
        <v>1</v>
      </c>
      <c r="B4" s="2">
        <v>1.2</v>
      </c>
      <c r="C4" s="2" t="s">
        <v>2</v>
      </c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3" t="s">
        <v>3</v>
      </c>
      <c r="B5" s="2">
        <v>1.1399999999999999</v>
      </c>
      <c r="C5" s="2" t="s">
        <v>2</v>
      </c>
      <c r="D5" s="2"/>
      <c r="E5" s="2"/>
      <c r="F5" s="2"/>
      <c r="G5" s="2"/>
      <c r="H5" s="2"/>
      <c r="I5" s="2"/>
      <c r="J5" s="2"/>
      <c r="K5" s="2"/>
      <c r="L5" s="2"/>
    </row>
    <row r="6" spans="1:12" x14ac:dyDescent="0.3">
      <c r="A6" s="3" t="s">
        <v>4</v>
      </c>
      <c r="B6" s="2">
        <v>1.26</v>
      </c>
      <c r="C6" s="2" t="s">
        <v>2</v>
      </c>
      <c r="D6" s="2"/>
      <c r="E6" s="2"/>
      <c r="F6" s="2"/>
      <c r="G6" s="2"/>
      <c r="H6" s="2"/>
      <c r="I6" s="2"/>
      <c r="J6" s="2"/>
      <c r="K6" s="2"/>
      <c r="L6" s="2"/>
    </row>
    <row r="7" spans="1:12" x14ac:dyDescent="0.3">
      <c r="A7" s="3" t="s">
        <v>5</v>
      </c>
      <c r="B7" s="2">
        <v>1.1499999999999999</v>
      </c>
      <c r="C7" s="2" t="s">
        <v>2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3">
      <c r="A8" s="3" t="s">
        <v>6</v>
      </c>
      <c r="B8" s="2">
        <v>0.63</v>
      </c>
      <c r="C8" s="2" t="s">
        <v>2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3">
      <c r="A9" s="3" t="s">
        <v>7</v>
      </c>
      <c r="B9" s="2">
        <v>30</v>
      </c>
      <c r="C9" s="2" t="s">
        <v>8</v>
      </c>
      <c r="D9" s="2"/>
      <c r="E9" s="2"/>
      <c r="F9" s="2"/>
      <c r="G9" s="2"/>
      <c r="H9" s="2"/>
      <c r="I9" s="2"/>
      <c r="J9" s="2"/>
      <c r="K9" s="2"/>
      <c r="L9" s="2"/>
    </row>
    <row r="10" spans="1:12" x14ac:dyDescent="0.3">
      <c r="A10" s="3" t="s">
        <v>9</v>
      </c>
      <c r="B10" s="2">
        <v>3.1</v>
      </c>
      <c r="C10" s="2" t="s">
        <v>10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3">
      <c r="A11" s="3" t="s">
        <v>11</v>
      </c>
      <c r="B11" s="2">
        <v>2.1</v>
      </c>
      <c r="C11" s="2" t="s">
        <v>10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3">
      <c r="A13" s="3" t="s">
        <v>12</v>
      </c>
      <c r="B13" s="2">
        <f>APy+CPy</f>
        <v>1.7799999999999998</v>
      </c>
      <c r="C13" s="2" t="s">
        <v>2</v>
      </c>
      <c r="D13" s="2" t="s">
        <v>13</v>
      </c>
      <c r="E13" s="2">
        <f>-Cx-P</f>
        <v>-1.1987768626110917</v>
      </c>
      <c r="F13" s="2"/>
      <c r="G13" s="2"/>
      <c r="H13" s="2"/>
      <c r="I13" s="2"/>
      <c r="J13" s="2"/>
      <c r="K13" s="2"/>
      <c r="L13" s="2"/>
    </row>
    <row r="14" spans="1:12" x14ac:dyDescent="0.3">
      <c r="A14" s="3" t="s">
        <v>14</v>
      </c>
      <c r="B14" s="2">
        <f>CQx+BQx</f>
        <v>2.4</v>
      </c>
      <c r="C14" s="2" t="s">
        <v>2</v>
      </c>
      <c r="D14" s="2" t="s">
        <v>15</v>
      </c>
      <c r="E14" s="2">
        <f>-Cy</f>
        <v>-0.15068567953978571</v>
      </c>
      <c r="F14" s="2"/>
      <c r="G14" s="2"/>
      <c r="H14" s="2"/>
      <c r="I14" s="2"/>
      <c r="J14" s="2"/>
      <c r="K14" s="2"/>
      <c r="L14" s="2"/>
    </row>
    <row r="15" spans="1:12" x14ac:dyDescent="0.3">
      <c r="A15" s="3" t="s">
        <v>16</v>
      </c>
      <c r="B15" s="2">
        <f>BQx/(BQx+CQx)*ACy</f>
        <v>0.93449999999999989</v>
      </c>
      <c r="C15" s="2" t="s">
        <v>2</v>
      </c>
      <c r="D15" s="2" t="s">
        <v>17</v>
      </c>
      <c r="E15" s="2">
        <f>(Ay^2+Ax^2)^0.5</f>
        <v>1.2082103046862576</v>
      </c>
      <c r="F15" s="2"/>
      <c r="G15" s="2"/>
      <c r="H15" s="2"/>
      <c r="I15" s="2"/>
      <c r="J15" s="2"/>
      <c r="K15" s="2"/>
      <c r="L15" s="2"/>
    </row>
    <row r="16" spans="1:12" x14ac:dyDescent="0.3">
      <c r="A16" s="3" t="s">
        <v>18</v>
      </c>
      <c r="B16" s="2">
        <f>-ACy</f>
        <v>-1.7799999999999998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3" t="s">
        <v>19</v>
      </c>
      <c r="B17" s="2">
        <f>ACx</f>
        <v>1.2</v>
      </c>
      <c r="C17" s="2"/>
      <c r="D17" s="2" t="s">
        <v>20</v>
      </c>
      <c r="E17" s="2">
        <f>Q*COS(RADIANS(theta))+Cx</f>
        <v>-8.2569789441587105E-2</v>
      </c>
      <c r="F17" s="2"/>
      <c r="G17" s="2"/>
      <c r="H17" s="2"/>
      <c r="I17" s="2"/>
      <c r="J17" s="2"/>
      <c r="K17" s="2"/>
      <c r="L17" s="2"/>
    </row>
    <row r="18" spans="1:12" x14ac:dyDescent="0.3">
      <c r="A18" s="3" t="s">
        <v>21</v>
      </c>
      <c r="B18" s="2">
        <f>ACy</f>
        <v>1.7799999999999998</v>
      </c>
      <c r="C18" s="2"/>
      <c r="D18" s="2" t="s">
        <v>22</v>
      </c>
      <c r="E18" s="2">
        <f>Q*SIN(RADIANS(theta))+Cy</f>
        <v>1.2006856795397856</v>
      </c>
      <c r="F18" s="2"/>
      <c r="G18" s="2"/>
      <c r="H18" s="2"/>
      <c r="I18" s="2"/>
      <c r="J18" s="2"/>
      <c r="K18" s="2"/>
      <c r="L18" s="2"/>
    </row>
    <row r="19" spans="1:12" x14ac:dyDescent="0.3">
      <c r="A19" s="3" t="s">
        <v>23</v>
      </c>
      <c r="B19" s="2">
        <f>BCx</f>
        <v>2.4</v>
      </c>
      <c r="C19" s="2"/>
      <c r="D19" s="2" t="s">
        <v>24</v>
      </c>
      <c r="E19" s="2">
        <f>(E18^2+E17^2)^0.5</f>
        <v>1.2035214460824304</v>
      </c>
      <c r="F19" s="2"/>
      <c r="G19" s="2"/>
      <c r="H19" s="2"/>
      <c r="I19" s="2"/>
      <c r="J19" s="2"/>
      <c r="K19" s="2"/>
      <c r="L19" s="2"/>
    </row>
    <row r="20" spans="1:12" x14ac:dyDescent="0.3">
      <c r="A20" s="3" t="s">
        <v>25</v>
      </c>
      <c r="B20" s="2">
        <f>P*APy</f>
        <v>3.5649999999999999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3" t="s">
        <v>26</v>
      </c>
      <c r="B21" s="2">
        <f>-Q*(BQx*SIN(RADIANS(theta))+BQy*COS(RADIANS(theta)))</f>
        <v>-3.0225315536567714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3" t="s">
        <v>27</v>
      </c>
      <c r="B22" s="2">
        <f>a11_*a22_-a12_*a21_</f>
        <v>-6.4079999999999995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t="s">
        <v>28</v>
      </c>
      <c r="B23">
        <f>b1_*a22_-b2_*a12_</f>
        <v>12.183037864388124</v>
      </c>
    </row>
    <row r="24" spans="1:12" x14ac:dyDescent="0.3">
      <c r="A24" t="s">
        <v>29</v>
      </c>
      <c r="B24">
        <f>a11_*b2_-a21_*b1_</f>
        <v>-0.96559383449094671</v>
      </c>
    </row>
    <row r="25" spans="1:12" x14ac:dyDescent="0.3">
      <c r="A25" t="s">
        <v>30</v>
      </c>
      <c r="B25">
        <f>Dx/D</f>
        <v>-1.9012231373889084</v>
      </c>
    </row>
    <row r="26" spans="1:12" x14ac:dyDescent="0.3">
      <c r="A26" t="s">
        <v>31</v>
      </c>
      <c r="B26">
        <f>Dy/D</f>
        <v>0.15068567953978571</v>
      </c>
    </row>
    <row r="27" spans="1:12" x14ac:dyDescent="0.3">
      <c r="A27" t="s">
        <v>32</v>
      </c>
      <c r="B27">
        <f>(Cx^2+Cy^2)^0.5</f>
        <v>1.9071852537604446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&amp;C&amp;10&amp;A</oddHeader>
    <oddFooter>&amp;C&amp;10Page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zoomScaleNormal="100" workbookViewId="0"/>
  </sheetViews>
  <sheetFormatPr defaultColWidth="10.5" defaultRowHeight="14" x14ac:dyDescent="0.3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D1" zoomScaleNormal="100" workbookViewId="0"/>
  </sheetViews>
  <sheetFormatPr defaultColWidth="10.5" defaultRowHeight="14" x14ac:dyDescent="0.3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1" zoomScaleNormal="100" workbookViewId="0"/>
  </sheetViews>
  <sheetFormatPr defaultColWidth="10.5" defaultRowHeight="14" x14ac:dyDescent="0.3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zoomScaleNormal="100" workbookViewId="0"/>
  </sheetViews>
  <sheetFormatPr defaultColWidth="10.5" defaultRowHeight="14" x14ac:dyDescent="0.3"/>
  <sheetData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32"/>
  <sheetViews>
    <sheetView zoomScaleNormal="100" workbookViewId="0">
      <selection activeCell="B33" sqref="B33"/>
    </sheetView>
  </sheetViews>
  <sheetFormatPr defaultColWidth="10.5" defaultRowHeight="14" x14ac:dyDescent="0.3"/>
  <cols>
    <col min="2" max="2" width="12.33203125" bestFit="1" customWidth="1"/>
  </cols>
  <sheetData>
    <row r="2" spans="1:3" x14ac:dyDescent="0.3">
      <c r="A2" t="s">
        <v>100</v>
      </c>
      <c r="B2">
        <v>1250</v>
      </c>
      <c r="C2" t="s">
        <v>50</v>
      </c>
    </row>
    <row r="3" spans="1:3" x14ac:dyDescent="0.3">
      <c r="A3" t="s">
        <v>112</v>
      </c>
      <c r="B3">
        <v>660</v>
      </c>
      <c r="C3" t="s">
        <v>50</v>
      </c>
    </row>
    <row r="4" spans="1:3" x14ac:dyDescent="0.3">
      <c r="A4" t="s">
        <v>55</v>
      </c>
      <c r="B4">
        <v>1320</v>
      </c>
      <c r="C4" t="s">
        <v>50</v>
      </c>
    </row>
    <row r="5" spans="1:3" x14ac:dyDescent="0.3">
      <c r="A5" t="s">
        <v>34</v>
      </c>
      <c r="B5">
        <v>1880</v>
      </c>
      <c r="C5" t="s">
        <v>50</v>
      </c>
    </row>
    <row r="6" spans="1:3" x14ac:dyDescent="0.3">
      <c r="A6" t="s">
        <v>14</v>
      </c>
      <c r="B6">
        <v>2350</v>
      </c>
      <c r="C6" t="s">
        <v>50</v>
      </c>
    </row>
    <row r="7" spans="1:3" x14ac:dyDescent="0.3">
      <c r="A7" t="s">
        <v>9</v>
      </c>
      <c r="B7">
        <v>3.2</v>
      </c>
      <c r="C7" t="s">
        <v>10</v>
      </c>
    </row>
    <row r="9" spans="1:3" x14ac:dyDescent="0.3">
      <c r="A9" t="s">
        <v>92</v>
      </c>
      <c r="B9">
        <f>DFy+CFy</f>
        <v>1910</v>
      </c>
    </row>
    <row r="10" spans="1:3" x14ac:dyDescent="0.3">
      <c r="A10" t="s">
        <v>75</v>
      </c>
      <c r="B10">
        <f>CDy+BCy</f>
        <v>3230</v>
      </c>
    </row>
    <row r="11" spans="1:3" x14ac:dyDescent="0.3">
      <c r="A11" t="s">
        <v>35</v>
      </c>
      <c r="B11">
        <f>BDy</f>
        <v>3230</v>
      </c>
    </row>
    <row r="12" spans="1:3" x14ac:dyDescent="0.3">
      <c r="A12" t="s">
        <v>73</v>
      </c>
      <c r="B12">
        <f>CDy/BDy*ABx</f>
        <v>1111.7027863777091</v>
      </c>
    </row>
    <row r="14" spans="1:3" x14ac:dyDescent="0.3">
      <c r="A14" t="s">
        <v>43</v>
      </c>
      <c r="B14">
        <f>DEGREES(ATAN(BCy/BCx))</f>
        <v>29.323014796332714</v>
      </c>
    </row>
    <row r="15" spans="1:3" x14ac:dyDescent="0.3">
      <c r="A15" t="s">
        <v>96</v>
      </c>
      <c r="B15">
        <f>DEGREES(ATAN(ABy/ABx))</f>
        <v>59.798739802765915</v>
      </c>
    </row>
    <row r="17" spans="1:2" x14ac:dyDescent="0.3">
      <c r="A17" t="s">
        <v>113</v>
      </c>
      <c r="B17">
        <f>-P*DFy/CDy/COS(RADIANS(BCtheta))</f>
        <v>-2.4020032028260343</v>
      </c>
    </row>
    <row r="19" spans="1:2" x14ac:dyDescent="0.3">
      <c r="A19" t="s">
        <v>28</v>
      </c>
      <c r="B19">
        <f>P+FBC*COS(RADIANS(BCtheta))</f>
        <v>1.1057591623036651</v>
      </c>
    </row>
    <row r="20" spans="1:2" x14ac:dyDescent="0.3">
      <c r="A20" t="s">
        <v>29</v>
      </c>
      <c r="B20">
        <f>-FBC*SIN(RADIANS(BCtheta))</f>
        <v>1.1763395343656011</v>
      </c>
    </row>
    <row r="21" spans="1:2" s="2" customFormat="1" x14ac:dyDescent="0.3">
      <c r="A21" s="2" t="s">
        <v>65</v>
      </c>
      <c r="B21" s="2">
        <f>(Dx^2+Dy^2)^0.5</f>
        <v>1.6144590503106551</v>
      </c>
    </row>
    <row r="22" spans="1:2" x14ac:dyDescent="0.3">
      <c r="A22" t="s">
        <v>66</v>
      </c>
      <c r="B22">
        <f>DEGREES(ATAN(Dy/Dx))</f>
        <v>46.771469740034078</v>
      </c>
    </row>
    <row r="24" spans="1:2" x14ac:dyDescent="0.3">
      <c r="A24" t="s">
        <v>85</v>
      </c>
      <c r="B24">
        <f>(BDy^2+ABx^2)^0.5</f>
        <v>3737.2851108792865</v>
      </c>
    </row>
    <row r="25" spans="1:2" x14ac:dyDescent="0.3">
      <c r="A25" t="s">
        <v>114</v>
      </c>
      <c r="B25">
        <f>AB*CDy/BDy</f>
        <v>2209.9735485385254</v>
      </c>
    </row>
    <row r="26" spans="1:2" x14ac:dyDescent="0.3">
      <c r="A26" t="s">
        <v>115</v>
      </c>
      <c r="B26">
        <f>-FBC*AB*SIN(RADIANS(ABtheta+BCtheta))/AE</f>
        <v>4.0615491693565033</v>
      </c>
    </row>
    <row r="27" spans="1:2" x14ac:dyDescent="0.3">
      <c r="A27" t="s">
        <v>77</v>
      </c>
      <c r="B27">
        <f>270+ABtheta</f>
        <v>329.79873980276591</v>
      </c>
    </row>
    <row r="29" spans="1:2" x14ac:dyDescent="0.3">
      <c r="A29" t="s">
        <v>13</v>
      </c>
      <c r="B29">
        <f>-RE*SIN(RADIANS(ABtheta))-FBC*COS(RADIANS(BCtheta))</f>
        <v>-1.4160088295908877</v>
      </c>
    </row>
    <row r="30" spans="1:2" x14ac:dyDescent="0.3">
      <c r="A30" t="s">
        <v>15</v>
      </c>
      <c r="B30">
        <f>RE*COS(RADIANS(ABtheta))+FBC*SIN(RADIANS(BCtheta))</f>
        <v>0.86677791903996448</v>
      </c>
    </row>
    <row r="31" spans="1:2" x14ac:dyDescent="0.3">
      <c r="A31" t="s">
        <v>17</v>
      </c>
      <c r="B31">
        <f>(Ax^2+Ay^2)^0.5</f>
        <v>1.660236418831549</v>
      </c>
    </row>
    <row r="32" spans="1:2" x14ac:dyDescent="0.3">
      <c r="A32" t="s">
        <v>42</v>
      </c>
      <c r="B32">
        <f>180+DEGREES(ATAN(Ay/Ax))</f>
        <v>148.52805415397853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41"/>
  <sheetViews>
    <sheetView zoomScaleNormal="100" workbookViewId="0">
      <selection activeCell="E40" sqref="E40"/>
    </sheetView>
  </sheetViews>
  <sheetFormatPr defaultColWidth="10.5" defaultRowHeight="14" x14ac:dyDescent="0.3"/>
  <cols>
    <col min="2" max="2" width="12.33203125" bestFit="1" customWidth="1"/>
  </cols>
  <sheetData>
    <row r="2" spans="1:3" x14ac:dyDescent="0.3">
      <c r="A2" t="s">
        <v>35</v>
      </c>
      <c r="B2">
        <v>630</v>
      </c>
      <c r="C2" t="s">
        <v>50</v>
      </c>
    </row>
    <row r="3" spans="1:3" x14ac:dyDescent="0.3">
      <c r="A3" t="s">
        <v>93</v>
      </c>
      <c r="B3">
        <v>1230</v>
      </c>
      <c r="C3" t="s">
        <v>50</v>
      </c>
    </row>
    <row r="4" spans="1:3" x14ac:dyDescent="0.3">
      <c r="A4" t="s">
        <v>55</v>
      </c>
      <c r="B4">
        <v>1950</v>
      </c>
      <c r="C4" t="s">
        <v>50</v>
      </c>
    </row>
    <row r="5" spans="1:3" x14ac:dyDescent="0.3">
      <c r="A5" t="s">
        <v>92</v>
      </c>
      <c r="B5">
        <v>1950</v>
      </c>
      <c r="C5" t="s">
        <v>50</v>
      </c>
    </row>
    <row r="6" spans="1:3" x14ac:dyDescent="0.3">
      <c r="A6" t="s">
        <v>1</v>
      </c>
      <c r="B6">
        <v>2400</v>
      </c>
      <c r="C6" t="s">
        <v>50</v>
      </c>
    </row>
    <row r="7" spans="1:3" x14ac:dyDescent="0.3">
      <c r="A7" t="s">
        <v>71</v>
      </c>
      <c r="B7">
        <v>1590</v>
      </c>
      <c r="C7" t="s">
        <v>50</v>
      </c>
    </row>
    <row r="8" spans="1:3" x14ac:dyDescent="0.3">
      <c r="A8" t="s">
        <v>103</v>
      </c>
      <c r="B8">
        <v>4.5999999999999996</v>
      </c>
      <c r="C8" t="s">
        <v>10</v>
      </c>
    </row>
    <row r="10" spans="1:3" x14ac:dyDescent="0.3">
      <c r="A10" t="s">
        <v>34</v>
      </c>
      <c r="B10">
        <f>ABy/(ABy+BCy)*ACx</f>
        <v>586.04651162790697</v>
      </c>
      <c r="C10" t="s">
        <v>50</v>
      </c>
    </row>
    <row r="11" spans="1:3" x14ac:dyDescent="0.3">
      <c r="A11" t="s">
        <v>14</v>
      </c>
      <c r="B11">
        <f>BCy/(BCy+ABy)*ACx</f>
        <v>1813.953488372093</v>
      </c>
      <c r="C11" t="s">
        <v>50</v>
      </c>
    </row>
    <row r="12" spans="1:3" x14ac:dyDescent="0.3">
      <c r="A12" t="s">
        <v>91</v>
      </c>
      <c r="B12">
        <f>CDy/(CDy+DEy)*B7</f>
        <v>975</v>
      </c>
      <c r="C12" t="s">
        <v>50</v>
      </c>
    </row>
    <row r="13" spans="1:3" x14ac:dyDescent="0.3">
      <c r="A13" t="s">
        <v>104</v>
      </c>
      <c r="B13">
        <f>B3/(B3+B5)*B7</f>
        <v>615</v>
      </c>
      <c r="C13" t="s">
        <v>50</v>
      </c>
    </row>
    <row r="15" spans="1:3" x14ac:dyDescent="0.3">
      <c r="A15" t="s">
        <v>17</v>
      </c>
      <c r="B15">
        <f>CEx*F/(ACx+CEx)</f>
        <v>1.8330827067669171</v>
      </c>
      <c r="C15" t="s">
        <v>10</v>
      </c>
    </row>
    <row r="17" spans="1:3" x14ac:dyDescent="0.3">
      <c r="A17" t="s">
        <v>105</v>
      </c>
      <c r="B17">
        <f>0</f>
        <v>0</v>
      </c>
      <c r="C17" t="s">
        <v>10</v>
      </c>
    </row>
    <row r="18" spans="1:3" x14ac:dyDescent="0.3">
      <c r="A18" t="s">
        <v>106</v>
      </c>
      <c r="B18">
        <f>F-RA</f>
        <v>2.7669172932330826</v>
      </c>
      <c r="C18" t="s">
        <v>10</v>
      </c>
    </row>
    <row r="19" spans="1:3" x14ac:dyDescent="0.3">
      <c r="A19" t="s">
        <v>78</v>
      </c>
      <c r="B19">
        <f>((Ex^2+Ey^2)^0.5)</f>
        <v>2.7669172932330826</v>
      </c>
      <c r="C19" t="s">
        <v>10</v>
      </c>
    </row>
    <row r="21" spans="1:3" x14ac:dyDescent="0.3">
      <c r="A21" t="s">
        <v>18</v>
      </c>
      <c r="B21">
        <f>-BCy</f>
        <v>-1950</v>
      </c>
    </row>
    <row r="22" spans="1:3" x14ac:dyDescent="0.3">
      <c r="A22" t="s">
        <v>19</v>
      </c>
      <c r="B22">
        <f>BCx</f>
        <v>1813.953488372093</v>
      </c>
    </row>
    <row r="23" spans="1:3" x14ac:dyDescent="0.3">
      <c r="A23" t="s">
        <v>21</v>
      </c>
      <c r="B23">
        <f>CDy</f>
        <v>1950</v>
      </c>
    </row>
    <row r="24" spans="1:3" x14ac:dyDescent="0.3">
      <c r="A24" t="s">
        <v>23</v>
      </c>
      <c r="B24">
        <f>CDx</f>
        <v>975</v>
      </c>
    </row>
    <row r="25" spans="1:3" x14ac:dyDescent="0.3">
      <c r="A25" t="s">
        <v>25</v>
      </c>
      <c r="B25">
        <f>ABx*RA</f>
        <v>1074.2717258261932</v>
      </c>
    </row>
    <row r="26" spans="1:3" x14ac:dyDescent="0.3">
      <c r="A26" t="s">
        <v>26</v>
      </c>
      <c r="B26">
        <f>-DEx*RE</f>
        <v>-1701.6541353383457</v>
      </c>
    </row>
    <row r="28" spans="1:3" x14ac:dyDescent="0.3">
      <c r="A28" t="s">
        <v>107</v>
      </c>
      <c r="B28">
        <f>a11_*a22_-a12_*a21_</f>
        <v>-5438459.3023255812</v>
      </c>
    </row>
    <row r="29" spans="1:3" x14ac:dyDescent="0.3">
      <c r="A29" t="s">
        <v>108</v>
      </c>
      <c r="B29">
        <f>b1_*a22_-b2_*a12_</f>
        <v>4134136.3874803283</v>
      </c>
    </row>
    <row r="30" spans="1:3" x14ac:dyDescent="0.3">
      <c r="A30" t="s">
        <v>109</v>
      </c>
      <c r="B30">
        <f>a11_*b2_-a21_*b1_</f>
        <v>1223395.6985486974</v>
      </c>
    </row>
    <row r="31" spans="1:3" x14ac:dyDescent="0.3">
      <c r="A31" t="s">
        <v>110</v>
      </c>
      <c r="B31">
        <f>detX/det</f>
        <v>-0.7601668335943047</v>
      </c>
    </row>
    <row r="32" spans="1:3" x14ac:dyDescent="0.3">
      <c r="A32" t="s">
        <v>111</v>
      </c>
      <c r="B32">
        <f>detY/det</f>
        <v>-0.22495262546610431</v>
      </c>
    </row>
    <row r="33" spans="1:2" x14ac:dyDescent="0.3">
      <c r="A33" t="s">
        <v>32</v>
      </c>
      <c r="B33">
        <f>(x^2+y^2)^0.5</f>
        <v>0.79275298712832654</v>
      </c>
    </row>
    <row r="35" spans="1:2" x14ac:dyDescent="0.3">
      <c r="A35" t="s">
        <v>20</v>
      </c>
      <c r="B35">
        <f>-x</f>
        <v>0.7601668335943047</v>
      </c>
    </row>
    <row r="36" spans="1:2" x14ac:dyDescent="0.3">
      <c r="A36" t="s">
        <v>22</v>
      </c>
      <c r="B36">
        <f>-y-RA</f>
        <v>-1.6081300813008128</v>
      </c>
    </row>
    <row r="37" spans="1:2" x14ac:dyDescent="0.3">
      <c r="A37" t="s">
        <v>24</v>
      </c>
      <c r="B37">
        <f>(Bx^2+By^2)^0.5</f>
        <v>1.7787456179233021</v>
      </c>
    </row>
    <row r="39" spans="1:2" x14ac:dyDescent="0.3">
      <c r="A39" t="s">
        <v>28</v>
      </c>
      <c r="B39">
        <f>x</f>
        <v>-0.7601668335943047</v>
      </c>
    </row>
    <row r="40" spans="1:2" x14ac:dyDescent="0.3">
      <c r="A40" t="s">
        <v>29</v>
      </c>
      <c r="B40">
        <f>y-RE</f>
        <v>-2.9918699186991868</v>
      </c>
    </row>
    <row r="41" spans="1:2" x14ac:dyDescent="0.3">
      <c r="A41" t="s">
        <v>65</v>
      </c>
      <c r="B41">
        <f>(Dx^2+Dy^2)^0.5</f>
        <v>3.0869303888027457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C32"/>
  <sheetViews>
    <sheetView zoomScaleNormal="100" workbookViewId="0">
      <selection activeCell="B33" sqref="B33"/>
    </sheetView>
  </sheetViews>
  <sheetFormatPr defaultColWidth="10.5" defaultRowHeight="14" x14ac:dyDescent="0.3"/>
  <cols>
    <col min="2" max="2" width="12.33203125" bestFit="1" customWidth="1"/>
  </cols>
  <sheetData>
    <row r="3" spans="1:3" x14ac:dyDescent="0.3">
      <c r="A3" t="s">
        <v>9</v>
      </c>
      <c r="B3">
        <v>5.2</v>
      </c>
      <c r="C3" t="s">
        <v>10</v>
      </c>
    </row>
    <row r="4" spans="1:3" x14ac:dyDescent="0.3">
      <c r="A4" t="s">
        <v>7</v>
      </c>
      <c r="B4">
        <v>27.7</v>
      </c>
      <c r="C4" t="s">
        <v>8</v>
      </c>
    </row>
    <row r="6" spans="1:3" x14ac:dyDescent="0.3">
      <c r="A6" t="s">
        <v>34</v>
      </c>
      <c r="B6">
        <v>830</v>
      </c>
      <c r="C6" t="s">
        <v>50</v>
      </c>
    </row>
    <row r="7" spans="1:3" x14ac:dyDescent="0.3">
      <c r="A7" t="s">
        <v>35</v>
      </c>
      <c r="B7">
        <v>570</v>
      </c>
      <c r="C7" t="s">
        <v>50</v>
      </c>
    </row>
    <row r="8" spans="1:3" x14ac:dyDescent="0.3">
      <c r="A8" t="s">
        <v>14</v>
      </c>
      <c r="B8">
        <v>830</v>
      </c>
      <c r="C8" t="s">
        <v>50</v>
      </c>
    </row>
    <row r="9" spans="1:3" x14ac:dyDescent="0.3">
      <c r="A9" t="s">
        <v>55</v>
      </c>
      <c r="B9">
        <v>570</v>
      </c>
      <c r="C9" t="s">
        <v>50</v>
      </c>
    </row>
    <row r="10" spans="1:3" x14ac:dyDescent="0.3">
      <c r="A10" t="s">
        <v>91</v>
      </c>
      <c r="B10">
        <v>1245</v>
      </c>
      <c r="C10" t="s">
        <v>50</v>
      </c>
    </row>
    <row r="11" spans="1:3" x14ac:dyDescent="0.3">
      <c r="A11" t="s">
        <v>92</v>
      </c>
      <c r="B11">
        <v>855</v>
      </c>
      <c r="C11" t="s">
        <v>50</v>
      </c>
    </row>
    <row r="12" spans="1:3" x14ac:dyDescent="0.3">
      <c r="A12" t="s">
        <v>99</v>
      </c>
      <c r="B12">
        <v>830</v>
      </c>
      <c r="C12" t="s">
        <v>50</v>
      </c>
    </row>
    <row r="13" spans="1:3" x14ac:dyDescent="0.3">
      <c r="A13" t="s">
        <v>72</v>
      </c>
      <c r="B13">
        <v>570</v>
      </c>
      <c r="C13" t="s">
        <v>50</v>
      </c>
    </row>
    <row r="14" spans="1:3" x14ac:dyDescent="0.3">
      <c r="A14" t="s">
        <v>100</v>
      </c>
      <c r="B14">
        <v>515</v>
      </c>
      <c r="C14" t="s">
        <v>50</v>
      </c>
    </row>
    <row r="16" spans="1:3" x14ac:dyDescent="0.3">
      <c r="A16" t="s">
        <v>78</v>
      </c>
      <c r="B16">
        <f>-P*CDx/((ABx+BEx)*COS(RADIANS(theta))-(CDy+DFy)*SIN(RADIANS(theta)))</f>
        <v>-7.7726569530290863</v>
      </c>
      <c r="C16" t="s">
        <v>10</v>
      </c>
    </row>
    <row r="18" spans="1:3" x14ac:dyDescent="0.3">
      <c r="A18" t="s">
        <v>101</v>
      </c>
      <c r="B18">
        <f>RE*SIN(RADIANS(theta))</f>
        <v>-3.613057758761729</v>
      </c>
      <c r="C18" t="s">
        <v>10</v>
      </c>
    </row>
    <row r="19" spans="1:3" x14ac:dyDescent="0.3">
      <c r="A19" t="s">
        <v>102</v>
      </c>
      <c r="B19">
        <f>P-RE*COS(RADIANS(theta))</f>
        <v>12.081860921387694</v>
      </c>
      <c r="C19" t="s">
        <v>10</v>
      </c>
    </row>
    <row r="20" spans="1:3" x14ac:dyDescent="0.3">
      <c r="A20" t="s">
        <v>67</v>
      </c>
      <c r="B20">
        <f>((Fx^2+Fy^2)^0.5)</f>
        <v>12.610533283406513</v>
      </c>
      <c r="C20" t="s">
        <v>10</v>
      </c>
    </row>
    <row r="22" spans="1:3" x14ac:dyDescent="0.3">
      <c r="A22" t="s">
        <v>13</v>
      </c>
      <c r="B22">
        <f>(CDy+DFy)*Fx/(ABy+BCy)</f>
        <v>-4.3420080083364629</v>
      </c>
      <c r="C22" t="s">
        <v>10</v>
      </c>
    </row>
    <row r="23" spans="1:3" x14ac:dyDescent="0.3">
      <c r="A23" t="s">
        <v>15</v>
      </c>
      <c r="B23">
        <f>(ABy*Ax-BEy*RE*SIN(RADIANS(theta))-BEx*RE*COS(RADIANS(theta)))/ABx</f>
        <v>6.3812565331255264</v>
      </c>
      <c r="C23" t="s">
        <v>10</v>
      </c>
    </row>
    <row r="24" spans="1:3" x14ac:dyDescent="0.3">
      <c r="A24" t="s">
        <v>17</v>
      </c>
      <c r="B24">
        <f>((Ax^2+Ay^2)^0.5)</f>
        <v>7.7183850957318265</v>
      </c>
      <c r="C24" t="s">
        <v>10</v>
      </c>
    </row>
    <row r="26" spans="1:3" x14ac:dyDescent="0.3">
      <c r="A26" t="s">
        <v>30</v>
      </c>
      <c r="B26">
        <f>-Fx-Ax</f>
        <v>7.9550657670981924</v>
      </c>
    </row>
    <row r="27" spans="1:3" x14ac:dyDescent="0.3">
      <c r="A27" t="s">
        <v>31</v>
      </c>
      <c r="B27">
        <f>-Fy-Ay</f>
        <v>-18.46311745451322</v>
      </c>
    </row>
    <row r="28" spans="1:3" x14ac:dyDescent="0.3">
      <c r="A28" t="s">
        <v>32</v>
      </c>
      <c r="B28">
        <f>((Cx^2+Cy^2)^0.5)</f>
        <v>20.103974171740479</v>
      </c>
    </row>
    <row r="30" spans="1:3" x14ac:dyDescent="0.3">
      <c r="A30" t="s">
        <v>20</v>
      </c>
      <c r="B30">
        <f>RE*SIN(RADIANS(theta))+Ax</f>
        <v>-7.9550657670981924</v>
      </c>
    </row>
    <row r="31" spans="1:3" x14ac:dyDescent="0.3">
      <c r="A31" t="s">
        <v>22</v>
      </c>
      <c r="B31">
        <f>-RE*COS(RADIANS(theta))+Ay</f>
        <v>13.263117454513219</v>
      </c>
    </row>
    <row r="32" spans="1:3" x14ac:dyDescent="0.3">
      <c r="A32" t="s">
        <v>24</v>
      </c>
      <c r="B32">
        <f>((Bx^2+By^2)^0.5)</f>
        <v>15.465877148453973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"/>
  <sheetViews>
    <sheetView zoomScaleNormal="100" workbookViewId="0">
      <selection activeCell="B26" sqref="B26"/>
    </sheetView>
  </sheetViews>
  <sheetFormatPr defaultColWidth="10.5" defaultRowHeight="14" x14ac:dyDescent="0.3"/>
  <cols>
    <col min="2" max="2" width="12.33203125" bestFit="1" customWidth="1"/>
  </cols>
  <sheetData>
    <row r="1" spans="1:3" x14ac:dyDescent="0.3">
      <c r="A1" t="s">
        <v>34</v>
      </c>
      <c r="B1">
        <v>1080</v>
      </c>
      <c r="C1" t="s">
        <v>50</v>
      </c>
    </row>
    <row r="2" spans="1:3" x14ac:dyDescent="0.3">
      <c r="A2" t="s">
        <v>14</v>
      </c>
      <c r="B2">
        <v>2160</v>
      </c>
      <c r="C2" t="s">
        <v>50</v>
      </c>
    </row>
    <row r="3" spans="1:3" x14ac:dyDescent="0.3">
      <c r="A3" t="s">
        <v>91</v>
      </c>
      <c r="B3">
        <v>1080</v>
      </c>
      <c r="C3" t="s">
        <v>50</v>
      </c>
    </row>
    <row r="4" spans="1:3" x14ac:dyDescent="0.3">
      <c r="A4" t="s">
        <v>35</v>
      </c>
      <c r="B4">
        <v>700</v>
      </c>
      <c r="C4" t="s">
        <v>50</v>
      </c>
    </row>
    <row r="5" spans="1:3" x14ac:dyDescent="0.3">
      <c r="A5" t="s">
        <v>55</v>
      </c>
      <c r="B5">
        <v>1400</v>
      </c>
      <c r="C5" t="s">
        <v>50</v>
      </c>
    </row>
    <row r="6" spans="1:3" x14ac:dyDescent="0.3">
      <c r="A6" t="s">
        <v>92</v>
      </c>
      <c r="B6">
        <v>700</v>
      </c>
      <c r="C6" t="s">
        <v>50</v>
      </c>
    </row>
    <row r="7" spans="1:3" x14ac:dyDescent="0.3">
      <c r="A7" t="s">
        <v>93</v>
      </c>
      <c r="B7">
        <v>1575</v>
      </c>
      <c r="C7" t="s">
        <v>50</v>
      </c>
    </row>
    <row r="8" spans="1:3" x14ac:dyDescent="0.3">
      <c r="A8" t="s">
        <v>94</v>
      </c>
      <c r="B8">
        <v>2.8</v>
      </c>
      <c r="C8" t="s">
        <v>37</v>
      </c>
    </row>
    <row r="10" spans="1:3" x14ac:dyDescent="0.3">
      <c r="A10" t="s">
        <v>95</v>
      </c>
      <c r="B10">
        <f>((ABx+BCx)^2+(ABy+BCy)^2)^0.5</f>
        <v>3861.0361303670807</v>
      </c>
      <c r="C10" t="s">
        <v>50</v>
      </c>
    </row>
    <row r="11" spans="1:3" x14ac:dyDescent="0.3">
      <c r="A11" t="s">
        <v>72</v>
      </c>
      <c r="B11">
        <f>BCy+CDy+DEy</f>
        <v>3675</v>
      </c>
      <c r="C11" t="s">
        <v>50</v>
      </c>
    </row>
    <row r="12" spans="1:3" x14ac:dyDescent="0.3">
      <c r="A12" t="s">
        <v>61</v>
      </c>
      <c r="B12">
        <f>BEy/1000*UDF</f>
        <v>10.29</v>
      </c>
      <c r="C12" t="s">
        <v>10</v>
      </c>
    </row>
    <row r="14" spans="1:3" x14ac:dyDescent="0.3">
      <c r="A14" t="s">
        <v>32</v>
      </c>
      <c r="B14">
        <f>(ABy+BEy/2)*W/AC</f>
        <v>6.7626601042755725</v>
      </c>
    </row>
    <row r="16" spans="1:3" x14ac:dyDescent="0.3">
      <c r="A16" t="s">
        <v>96</v>
      </c>
      <c r="B16">
        <f>DEGREES(ATAN(ABy/ABx))</f>
        <v>32.949215116590452</v>
      </c>
    </row>
    <row r="17" spans="1:2" x14ac:dyDescent="0.3">
      <c r="A17" t="s">
        <v>13</v>
      </c>
      <c r="B17">
        <f>RC_*SIN(RADIANS(ABtheta))-W</f>
        <v>-6.6118199106496007</v>
      </c>
    </row>
    <row r="18" spans="1:2" x14ac:dyDescent="0.3">
      <c r="A18" t="s">
        <v>15</v>
      </c>
      <c r="B18">
        <f>-RC_*COS(RADIANS(ABtheta))</f>
        <v>-5.6749064235691851</v>
      </c>
    </row>
    <row r="19" spans="1:2" x14ac:dyDescent="0.3">
      <c r="A19" t="s">
        <v>17</v>
      </c>
      <c r="B19">
        <f>(Ax^2+Ay^2)^0.5</f>
        <v>8.7132499933795824</v>
      </c>
    </row>
    <row r="21" spans="1:2" x14ac:dyDescent="0.3">
      <c r="A21" t="s">
        <v>97</v>
      </c>
      <c r="B21">
        <f>DEGREES(ATAN(DEy/(BCx+CDx)))</f>
        <v>25.924901507554456</v>
      </c>
    </row>
    <row r="22" spans="1:2" x14ac:dyDescent="0.3">
      <c r="A22" t="s">
        <v>98</v>
      </c>
      <c r="B22">
        <f>-W/2/COS(RADIANS(DEtheta))</f>
        <v>-5.7206847857929359</v>
      </c>
    </row>
    <row r="24" spans="1:2" x14ac:dyDescent="0.3">
      <c r="A24" t="s">
        <v>22</v>
      </c>
      <c r="B24">
        <f>FDE*SIN(RADIANS(DEtheta))</f>
        <v>-2.5010416666666666</v>
      </c>
    </row>
    <row r="25" spans="1:2" x14ac:dyDescent="0.3">
      <c r="A25" t="s">
        <v>20</v>
      </c>
      <c r="B25">
        <f>FDE*COS(RADIANS(DEtheta))+W</f>
        <v>5.1449999999999996</v>
      </c>
    </row>
    <row r="26" spans="1:2" x14ac:dyDescent="0.3">
      <c r="A26" t="s">
        <v>24</v>
      </c>
      <c r="B26">
        <f>(Bx^2+By^2)^0.5</f>
        <v>5.7206847857929368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zoomScaleNormal="100" workbookViewId="0">
      <selection activeCell="B15" sqref="B15"/>
    </sheetView>
  </sheetViews>
  <sheetFormatPr defaultColWidth="10.5" defaultRowHeight="14" x14ac:dyDescent="0.3"/>
  <cols>
    <col min="2" max="2" width="11.75" bestFit="1" customWidth="1"/>
  </cols>
  <sheetData>
    <row r="1" spans="1:10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1" t="s">
        <v>84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 t="s">
        <v>85</v>
      </c>
      <c r="B4" s="2">
        <v>2.65</v>
      </c>
      <c r="C4" s="2" t="s">
        <v>2</v>
      </c>
      <c r="D4" s="2"/>
      <c r="E4" s="2"/>
      <c r="F4" s="2"/>
      <c r="G4" s="2"/>
      <c r="H4" s="2"/>
      <c r="I4" s="2"/>
      <c r="J4" s="2"/>
    </row>
    <row r="5" spans="1:10" x14ac:dyDescent="0.3">
      <c r="A5" s="2" t="s">
        <v>40</v>
      </c>
      <c r="B5" s="2">
        <v>2.2000000000000002</v>
      </c>
      <c r="C5" s="2" t="s">
        <v>2</v>
      </c>
      <c r="D5" s="2"/>
      <c r="E5" s="2"/>
      <c r="F5" s="2"/>
      <c r="G5" s="2"/>
      <c r="H5" s="2"/>
      <c r="I5" s="2"/>
      <c r="J5" s="2"/>
    </row>
    <row r="6" spans="1:10" x14ac:dyDescent="0.3">
      <c r="A6" s="2" t="s">
        <v>86</v>
      </c>
      <c r="B6" s="2">
        <v>3.1</v>
      </c>
      <c r="C6" s="2" t="s">
        <v>37</v>
      </c>
      <c r="D6" s="2"/>
      <c r="E6" s="2"/>
      <c r="F6" s="2"/>
      <c r="G6" s="2"/>
      <c r="H6" s="2"/>
      <c r="I6" s="2"/>
      <c r="J6" s="2"/>
    </row>
    <row r="7" spans="1:10" x14ac:dyDescent="0.3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">
        <v>87</v>
      </c>
      <c r="B8" s="2">
        <f>DL*BC/(BC+AB)</f>
        <v>1.4061855670103096</v>
      </c>
      <c r="C8" s="2" t="s">
        <v>37</v>
      </c>
      <c r="D8" s="2"/>
      <c r="E8" s="2"/>
      <c r="F8" s="2"/>
      <c r="G8" s="2"/>
      <c r="H8" s="2"/>
      <c r="I8" s="2"/>
      <c r="J8" s="2"/>
    </row>
    <row r="9" spans="1:10" x14ac:dyDescent="0.3">
      <c r="A9" s="2" t="s">
        <v>88</v>
      </c>
      <c r="B9" s="2">
        <f>DL2_*BC/2</f>
        <v>1.5468041237113408</v>
      </c>
      <c r="C9" s="2" t="s">
        <v>10</v>
      </c>
      <c r="D9" s="2"/>
      <c r="E9" s="2"/>
      <c r="F9" s="2"/>
      <c r="G9" s="2"/>
      <c r="H9" s="2"/>
      <c r="I9" s="2"/>
      <c r="J9" s="2"/>
    </row>
    <row r="10" spans="1:10" x14ac:dyDescent="0.3">
      <c r="A10" s="2" t="s">
        <v>32</v>
      </c>
      <c r="B10" s="2">
        <f>W2_/3</f>
        <v>0.51560137457044697</v>
      </c>
      <c r="C10" s="2" t="s">
        <v>10</v>
      </c>
      <c r="D10" s="2"/>
      <c r="E10" s="2"/>
      <c r="F10" s="2"/>
      <c r="G10" s="2"/>
      <c r="H10" s="2"/>
      <c r="I10" s="2"/>
      <c r="J10" s="2"/>
    </row>
    <row r="11" spans="1:10" x14ac:dyDescent="0.3">
      <c r="A11" s="2" t="s">
        <v>45</v>
      </c>
      <c r="B11" s="2">
        <f>W2_-RC_</f>
        <v>1.0312027491408937</v>
      </c>
      <c r="C11" s="2" t="s">
        <v>10</v>
      </c>
      <c r="D11" s="2"/>
      <c r="E11" s="2"/>
      <c r="F11" s="2"/>
      <c r="G11" s="2"/>
      <c r="H11" s="2"/>
      <c r="I11" s="2"/>
      <c r="J11" s="2"/>
    </row>
    <row r="12" spans="1:10" x14ac:dyDescent="0.3">
      <c r="A12" s="2" t="s">
        <v>89</v>
      </c>
      <c r="B12" s="2">
        <f>(DL-DL2_)*AB/2</f>
        <v>2.2443041237113399</v>
      </c>
      <c r="C12" s="2" t="s">
        <v>10</v>
      </c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90</v>
      </c>
      <c r="B13" s="2">
        <f>DL2_*AB</f>
        <v>3.7263917525773205</v>
      </c>
      <c r="C13" s="2" t="s">
        <v>10</v>
      </c>
      <c r="D13" s="2"/>
      <c r="E13" s="2"/>
      <c r="F13" s="2"/>
      <c r="G13" s="2"/>
      <c r="H13" s="2"/>
      <c r="I13" s="2"/>
      <c r="J13" s="2"/>
    </row>
    <row r="14" spans="1:10" x14ac:dyDescent="0.3">
      <c r="A14" s="2" t="s">
        <v>62</v>
      </c>
      <c r="B14" s="2">
        <f>RB+W1tri+W1rect</f>
        <v>7.0018986254295541</v>
      </c>
      <c r="C14" s="2" t="s">
        <v>10</v>
      </c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82</v>
      </c>
      <c r="B15" s="2">
        <f>AB*(W1tri/3+W1rect/2+RB)</f>
        <v>9.6526250000000005</v>
      </c>
      <c r="C15" s="2" t="s">
        <v>83</v>
      </c>
      <c r="D15" s="2"/>
      <c r="E15" s="2"/>
      <c r="F15" s="2"/>
      <c r="G15" s="2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"/>
  <sheetViews>
    <sheetView zoomScaleNormal="100" workbookViewId="0">
      <selection activeCell="B30" sqref="B30"/>
    </sheetView>
  </sheetViews>
  <sheetFormatPr defaultColWidth="10.5" defaultRowHeight="14" x14ac:dyDescent="0.3"/>
  <cols>
    <col min="2" max="2" width="12.33203125" bestFit="1" customWidth="1"/>
  </cols>
  <sheetData>
    <row r="1" spans="1:9" x14ac:dyDescent="0.3">
      <c r="A1" s="2"/>
      <c r="B1" s="2"/>
      <c r="C1" s="2"/>
      <c r="D1" s="2"/>
      <c r="E1" s="2"/>
      <c r="F1" s="2"/>
      <c r="G1" s="2"/>
      <c r="H1" s="2"/>
      <c r="I1" s="2"/>
    </row>
    <row r="2" spans="1:9" x14ac:dyDescent="0.3">
      <c r="A2" s="1" t="s">
        <v>69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2"/>
      <c r="C3" s="2"/>
      <c r="D3" s="2"/>
      <c r="E3" s="2"/>
      <c r="F3" s="2"/>
      <c r="G3" s="2"/>
      <c r="H3" s="2"/>
      <c r="I3" s="2"/>
    </row>
    <row r="4" spans="1:9" x14ac:dyDescent="0.3">
      <c r="A4" s="2" t="s">
        <v>70</v>
      </c>
      <c r="B4" s="2">
        <v>350</v>
      </c>
      <c r="C4" s="2" t="s">
        <v>50</v>
      </c>
      <c r="D4" s="2"/>
      <c r="E4" s="2"/>
      <c r="F4" s="2"/>
      <c r="G4" s="2"/>
      <c r="H4" s="2"/>
      <c r="I4" s="2"/>
    </row>
    <row r="5" spans="1:9" x14ac:dyDescent="0.3">
      <c r="A5" s="2" t="s">
        <v>71</v>
      </c>
      <c r="B5" s="2">
        <v>665</v>
      </c>
      <c r="C5" s="2" t="s">
        <v>50</v>
      </c>
      <c r="D5" s="2"/>
      <c r="E5" s="2"/>
      <c r="F5" s="2"/>
      <c r="G5" s="2"/>
      <c r="H5" s="2"/>
      <c r="I5" s="2"/>
    </row>
    <row r="6" spans="1:9" x14ac:dyDescent="0.3">
      <c r="A6" s="2" t="s">
        <v>72</v>
      </c>
      <c r="B6" s="2">
        <v>475</v>
      </c>
      <c r="C6" s="2" t="s">
        <v>50</v>
      </c>
      <c r="D6" s="2"/>
      <c r="E6" s="2"/>
      <c r="F6" s="2"/>
      <c r="G6" s="2"/>
      <c r="H6" s="2"/>
      <c r="I6" s="2"/>
    </row>
    <row r="7" spans="1:9" x14ac:dyDescent="0.3">
      <c r="A7" s="2" t="s">
        <v>73</v>
      </c>
      <c r="B7" s="2">
        <v>665</v>
      </c>
      <c r="C7" s="2" t="s">
        <v>50</v>
      </c>
      <c r="D7" s="2"/>
      <c r="E7" s="2"/>
      <c r="F7" s="2"/>
      <c r="G7" s="2"/>
      <c r="H7" s="2"/>
      <c r="I7" s="2"/>
    </row>
    <row r="8" spans="1:9" x14ac:dyDescent="0.3">
      <c r="A8" s="2" t="s">
        <v>74</v>
      </c>
      <c r="B8" s="2">
        <v>665</v>
      </c>
      <c r="C8" s="2" t="s">
        <v>50</v>
      </c>
      <c r="D8" s="2"/>
      <c r="E8" s="2"/>
      <c r="F8" s="2"/>
      <c r="G8" s="2"/>
      <c r="H8" s="2"/>
      <c r="I8" s="2"/>
    </row>
    <row r="9" spans="1:9" x14ac:dyDescent="0.3">
      <c r="A9" s="2" t="s">
        <v>57</v>
      </c>
      <c r="B9" s="2">
        <v>350</v>
      </c>
      <c r="C9" s="2" t="s">
        <v>50</v>
      </c>
      <c r="D9" s="2"/>
      <c r="E9" s="2"/>
      <c r="F9" s="2"/>
      <c r="G9" s="2"/>
      <c r="H9" s="2"/>
      <c r="I9" s="2"/>
    </row>
    <row r="10" spans="1:9" x14ac:dyDescent="0.3">
      <c r="A10" s="2" t="s">
        <v>75</v>
      </c>
      <c r="B10" s="2">
        <v>475</v>
      </c>
      <c r="C10" s="2" t="s">
        <v>50</v>
      </c>
      <c r="D10" s="2"/>
      <c r="E10" s="2"/>
      <c r="F10" s="2"/>
      <c r="G10" s="2"/>
      <c r="H10" s="2"/>
      <c r="I10" s="2"/>
    </row>
    <row r="11" spans="1:9" x14ac:dyDescent="0.3">
      <c r="A11" s="2" t="s">
        <v>9</v>
      </c>
      <c r="B11" s="2">
        <v>3</v>
      </c>
      <c r="C11" s="2" t="s">
        <v>10</v>
      </c>
      <c r="D11" s="2"/>
      <c r="E11" s="2"/>
      <c r="F11" s="2"/>
      <c r="G11" s="2"/>
      <c r="H11" s="2"/>
      <c r="I11" s="2"/>
    </row>
    <row r="12" spans="1:9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3">
      <c r="A13" s="2" t="s">
        <v>76</v>
      </c>
      <c r="B13" s="2">
        <f>DEGREES(ATAN(CEy/CEx))</f>
        <v>27.758540601060023</v>
      </c>
      <c r="C13" s="2" t="s">
        <v>8</v>
      </c>
      <c r="D13" s="2"/>
      <c r="E13" s="2"/>
      <c r="F13" s="2"/>
      <c r="G13" s="2"/>
      <c r="H13" s="2"/>
      <c r="I13" s="2"/>
    </row>
    <row r="14" spans="1:9" x14ac:dyDescent="0.3">
      <c r="A14" s="2" t="s">
        <v>44</v>
      </c>
      <c r="B14" s="2">
        <f>180-CEtheta</f>
        <v>152.24145939893998</v>
      </c>
      <c r="C14" s="2" t="s">
        <v>8</v>
      </c>
      <c r="D14" s="2"/>
      <c r="E14" s="2"/>
      <c r="F14" s="2"/>
      <c r="G14" s="2"/>
      <c r="H14" s="2"/>
      <c r="I14" s="2"/>
    </row>
    <row r="15" spans="1:9" x14ac:dyDescent="0.3">
      <c r="A15" s="2" t="s">
        <v>32</v>
      </c>
      <c r="B15" s="2">
        <f>P</f>
        <v>3</v>
      </c>
      <c r="C15" s="2" t="s">
        <v>10</v>
      </c>
      <c r="D15" s="2"/>
      <c r="E15" s="2"/>
      <c r="F15" s="2"/>
      <c r="G15" s="2"/>
      <c r="H15" s="2"/>
      <c r="I15" s="2"/>
    </row>
    <row r="16" spans="1:9" x14ac:dyDescent="0.3">
      <c r="A16" s="2" t="s">
        <v>77</v>
      </c>
      <c r="B16" s="2">
        <f>45-CEtheta/2</f>
        <v>31.12072969946999</v>
      </c>
      <c r="C16" s="2" t="s">
        <v>8</v>
      </c>
      <c r="D16" s="2"/>
      <c r="E16" s="2"/>
      <c r="F16" s="2"/>
      <c r="G16" s="2"/>
      <c r="H16" s="2"/>
      <c r="I16" s="2"/>
    </row>
    <row r="17" spans="1:9" x14ac:dyDescent="0.3">
      <c r="A17" s="2" t="s">
        <v>78</v>
      </c>
      <c r="B17" s="2">
        <f>P*COS(RADIANS(CEtheta))/COS(RADIANS(REtheta))</f>
        <v>3.1010585626545009</v>
      </c>
      <c r="C17" s="2" t="s">
        <v>10</v>
      </c>
      <c r="D17" s="2"/>
      <c r="E17" s="2"/>
      <c r="F17" s="2"/>
      <c r="G17" s="2"/>
      <c r="H17" s="2"/>
      <c r="I17" s="2"/>
    </row>
    <row r="18" spans="1:9" x14ac:dyDescent="0.3">
      <c r="A18" s="2" t="s">
        <v>79</v>
      </c>
      <c r="B18" s="2">
        <f>SQRT((ADx+AEx)^2+(BDy+BEy)^2)/2</f>
        <v>817.22090036904956</v>
      </c>
      <c r="C18" s="2" t="s">
        <v>50</v>
      </c>
      <c r="D18" s="2"/>
      <c r="E18" s="2"/>
      <c r="F18" s="2"/>
      <c r="G18" s="2"/>
      <c r="H18" s="2"/>
      <c r="I18" s="2"/>
    </row>
    <row r="19" spans="1:9" x14ac:dyDescent="0.3">
      <c r="A19" s="2" t="s">
        <v>60</v>
      </c>
      <c r="B19" s="2">
        <f>DEGREES(ATAN(BDy/ADx))</f>
        <v>35.537677791974382</v>
      </c>
      <c r="C19" s="2" t="s">
        <v>8</v>
      </c>
      <c r="D19" s="2"/>
      <c r="E19" s="2"/>
      <c r="F19" s="2"/>
      <c r="G19" s="2"/>
      <c r="H19" s="2"/>
      <c r="I19" s="2"/>
    </row>
    <row r="20" spans="1:9" x14ac:dyDescent="0.3">
      <c r="A20" s="2" t="s">
        <v>45</v>
      </c>
      <c r="B20" s="2">
        <f>P*((ADx+CEx)*(1-SIN(RADIANS(CEtheta)))-(BDy+BEy)*COS(RADIANS(CEtheta)))/DBlen</f>
        <v>-0.47764955670435794</v>
      </c>
      <c r="C20" s="2" t="s">
        <v>10</v>
      </c>
      <c r="D20" s="2"/>
      <c r="E20" s="2"/>
      <c r="F20" s="2"/>
      <c r="G20" s="2"/>
      <c r="H20" s="2"/>
      <c r="I20" s="2"/>
    </row>
    <row r="21" spans="1:9" x14ac:dyDescent="0.3">
      <c r="A21" s="2" t="s">
        <v>46</v>
      </c>
      <c r="B21" s="2">
        <f>IF(RB&gt;=0,180-BDtheta,BDtheta-90)</f>
        <v>-54.462322208025618</v>
      </c>
      <c r="C21" s="2" t="s">
        <v>8</v>
      </c>
      <c r="D21" s="2"/>
      <c r="E21" s="2"/>
      <c r="F21" s="2"/>
      <c r="G21" s="2"/>
      <c r="H21" s="2"/>
      <c r="I21" s="2"/>
    </row>
    <row r="22" spans="1:9" x14ac:dyDescent="0.3">
      <c r="A22" s="2" t="s">
        <v>63</v>
      </c>
      <c r="B22" s="2">
        <f>P*(1-SIN(RADIANS(CEtheta)))-RB*COS(RADIANS(BDtheta))</f>
        <v>1.9914401332995286</v>
      </c>
      <c r="C22" s="2" t="s">
        <v>10</v>
      </c>
      <c r="D22" s="2"/>
      <c r="E22" s="2"/>
      <c r="F22" s="2"/>
      <c r="G22" s="2"/>
      <c r="H22" s="2"/>
      <c r="I22" s="2"/>
    </row>
    <row r="23" spans="1:9" x14ac:dyDescent="0.3">
      <c r="A23" s="2" t="s">
        <v>64</v>
      </c>
      <c r="B23" s="2">
        <f>RB*SIN(RADIANS(BDtheta))+P*COS(RADIANS(CEtheta))</f>
        <v>2.3771265015763787</v>
      </c>
      <c r="C23" s="2" t="s">
        <v>10</v>
      </c>
      <c r="D23" s="2"/>
      <c r="E23" s="2"/>
      <c r="F23" s="2"/>
      <c r="G23" s="2"/>
      <c r="H23" s="2"/>
      <c r="I23" s="2"/>
    </row>
    <row r="24" spans="1:9" x14ac:dyDescent="0.3">
      <c r="A24" s="2" t="s">
        <v>65</v>
      </c>
      <c r="B24" s="2">
        <f>(RDy^2+RDx^2)^0.5</f>
        <v>3.1010585626545009</v>
      </c>
      <c r="C24" s="2" t="s">
        <v>10</v>
      </c>
      <c r="D24" s="2"/>
      <c r="E24" s="2"/>
      <c r="F24" s="2"/>
      <c r="G24" s="2"/>
      <c r="H24" s="2"/>
      <c r="I24" s="2"/>
    </row>
    <row r="25" spans="1:9" x14ac:dyDescent="0.3">
      <c r="A25" s="2" t="s">
        <v>66</v>
      </c>
      <c r="B25" s="2">
        <f>DEGREES(ATAN(RDy/RDx))</f>
        <v>39.954625884478787</v>
      </c>
      <c r="C25" s="2" t="s">
        <v>8</v>
      </c>
      <c r="D25" s="2"/>
      <c r="E25" s="2"/>
      <c r="F25" s="2"/>
      <c r="G25" s="2"/>
      <c r="H25" s="2"/>
      <c r="I25" s="2"/>
    </row>
    <row r="26" spans="1:9" x14ac:dyDescent="0.3">
      <c r="A26" s="2" t="s">
        <v>80</v>
      </c>
      <c r="B26" s="2">
        <f>P*SIN(RADIANS(CEtheta))-RB*COS(RADIANS(BDtheta))</f>
        <v>1.7859187302952622</v>
      </c>
      <c r="C26" s="2" t="s">
        <v>10</v>
      </c>
      <c r="D26" s="2"/>
      <c r="E26" s="2"/>
      <c r="F26" s="2"/>
      <c r="G26" s="2"/>
      <c r="H26" s="2"/>
      <c r="I26" s="2"/>
    </row>
    <row r="27" spans="1:9" x14ac:dyDescent="0.3">
      <c r="A27" s="2" t="s">
        <v>81</v>
      </c>
      <c r="B27" s="2">
        <f>RB*SIN(RADIANS(BDtheta))+P*COS(RADIANS(CEtheta))</f>
        <v>2.3771265015763787</v>
      </c>
      <c r="C27" s="2" t="s">
        <v>10</v>
      </c>
      <c r="D27" s="2"/>
      <c r="E27" s="2"/>
      <c r="F27" s="2"/>
      <c r="G27" s="2"/>
      <c r="H27" s="2"/>
      <c r="I27" s="2"/>
    </row>
    <row r="28" spans="1:9" x14ac:dyDescent="0.3">
      <c r="A28" s="2" t="s">
        <v>17</v>
      </c>
      <c r="B28" s="2">
        <f>(RAy^2+RAx^2)^0.5</f>
        <v>2.9732534563531905</v>
      </c>
      <c r="C28" s="2" t="s">
        <v>10</v>
      </c>
      <c r="D28" s="2"/>
      <c r="E28" s="2"/>
      <c r="F28" s="2"/>
      <c r="G28" s="2"/>
      <c r="H28" s="2"/>
      <c r="I28" s="2"/>
    </row>
    <row r="29" spans="1:9" x14ac:dyDescent="0.3">
      <c r="A29" s="2" t="s">
        <v>42</v>
      </c>
      <c r="B29" s="2">
        <f>DEGREES(ATAN(RAy/RAx))</f>
        <v>36.917285166666382</v>
      </c>
      <c r="C29" s="2" t="s">
        <v>10</v>
      </c>
      <c r="D29" s="2"/>
      <c r="E29" s="2"/>
      <c r="F29" s="2"/>
      <c r="G29" s="2"/>
      <c r="H29" s="2"/>
      <c r="I29" s="2"/>
    </row>
    <row r="30" spans="1:9" x14ac:dyDescent="0.3">
      <c r="A30" s="2" t="s">
        <v>82</v>
      </c>
      <c r="B30" s="2">
        <f>(P*COS(RADIANS(CEtheta))*(ADy+BDy+BEy+CEy)-RB*SIN(RADIANS(BDtheta))*(ADy+BDy))/1000</f>
        <v>4.6093884373857064</v>
      </c>
      <c r="C30" s="2" t="s">
        <v>83</v>
      </c>
      <c r="D30" s="2"/>
      <c r="E30" s="2"/>
      <c r="F30" s="2"/>
      <c r="G30" s="2"/>
      <c r="H30" s="2"/>
      <c r="I30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"/>
  <sheetViews>
    <sheetView topLeftCell="A9" zoomScaleNormal="100" workbookViewId="0">
      <selection activeCell="B27" sqref="B27"/>
    </sheetView>
  </sheetViews>
  <sheetFormatPr defaultColWidth="10.5" defaultRowHeight="14" x14ac:dyDescent="0.3"/>
  <cols>
    <col min="1" max="1" width="10.5" style="2"/>
    <col min="2" max="2" width="12.33203125" bestFit="1" customWidth="1"/>
    <col min="5" max="5" width="12.33203125" bestFit="1" customWidth="1"/>
    <col min="8" max="8" width="12.33203125" bestFit="1" customWidth="1"/>
  </cols>
  <sheetData>
    <row r="1" spans="1:10" x14ac:dyDescent="0.3"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4" t="s">
        <v>34</v>
      </c>
      <c r="B3" s="2">
        <v>370</v>
      </c>
      <c r="C3" s="2" t="s">
        <v>50</v>
      </c>
      <c r="D3" s="2"/>
      <c r="E3" s="2"/>
      <c r="F3" s="2"/>
      <c r="G3" s="2"/>
      <c r="H3" s="2"/>
      <c r="I3" s="2"/>
      <c r="J3" s="2"/>
    </row>
    <row r="4" spans="1:10" x14ac:dyDescent="0.3">
      <c r="A4" s="4" t="s">
        <v>35</v>
      </c>
      <c r="B4" s="2">
        <v>560</v>
      </c>
      <c r="C4" s="2" t="s">
        <v>50</v>
      </c>
      <c r="D4" s="2"/>
      <c r="E4" s="2"/>
      <c r="F4" s="2"/>
      <c r="G4" s="2"/>
      <c r="H4" s="2"/>
      <c r="I4" s="2"/>
      <c r="J4" s="2"/>
    </row>
    <row r="5" spans="1:10" x14ac:dyDescent="0.3">
      <c r="A5" s="2" t="s">
        <v>119</v>
      </c>
      <c r="B5" s="2">
        <v>1090</v>
      </c>
      <c r="C5" s="2" t="s">
        <v>50</v>
      </c>
      <c r="D5" s="2"/>
      <c r="E5" s="2"/>
      <c r="F5" s="2"/>
      <c r="G5" s="2"/>
      <c r="H5" s="2"/>
      <c r="I5" s="2"/>
      <c r="J5" s="2"/>
    </row>
    <row r="6" spans="1:10" x14ac:dyDescent="0.3">
      <c r="A6" s="2" t="s">
        <v>120</v>
      </c>
      <c r="B6" s="2">
        <v>425</v>
      </c>
      <c r="C6" s="2" t="s">
        <v>50</v>
      </c>
      <c r="D6" s="2"/>
      <c r="E6" s="2"/>
      <c r="F6" s="2"/>
      <c r="G6" s="2"/>
      <c r="H6" s="2"/>
      <c r="I6" s="2"/>
      <c r="J6" s="2"/>
    </row>
    <row r="7" spans="1:10" x14ac:dyDescent="0.3">
      <c r="A7" s="2" t="s">
        <v>121</v>
      </c>
      <c r="B7" s="2">
        <v>196</v>
      </c>
      <c r="C7" s="2" t="s">
        <v>48</v>
      </c>
      <c r="D7" s="2"/>
      <c r="E7" s="2"/>
      <c r="F7" s="2"/>
      <c r="G7" s="2"/>
      <c r="H7" s="2"/>
      <c r="I7" s="2"/>
      <c r="J7" s="2"/>
    </row>
    <row r="8" spans="1:10" x14ac:dyDescent="0.3"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3" t="s">
        <v>61</v>
      </c>
      <c r="B9" s="2">
        <f>mass*9.81/1000</f>
        <v>1.92276</v>
      </c>
      <c r="C9" s="2" t="s">
        <v>10</v>
      </c>
      <c r="D9" s="2"/>
      <c r="E9" s="2"/>
      <c r="F9" s="2"/>
      <c r="G9" s="2"/>
      <c r="H9" s="2"/>
      <c r="I9" s="2"/>
      <c r="J9" s="2"/>
    </row>
    <row r="10" spans="1:10" x14ac:dyDescent="0.3">
      <c r="A10" s="4" t="s">
        <v>96</v>
      </c>
      <c r="B10" s="2">
        <f>DEGREES(ATAN(ABy/ABx))</f>
        <v>56.546690545927326</v>
      </c>
      <c r="C10" s="2" t="s">
        <v>8</v>
      </c>
      <c r="D10" s="2"/>
      <c r="E10" s="2"/>
      <c r="F10" s="2"/>
      <c r="G10" s="2"/>
      <c r="H10" s="2"/>
      <c r="I10" s="2"/>
      <c r="J10" s="2"/>
    </row>
    <row r="11" spans="1:10" x14ac:dyDescent="0.3">
      <c r="A11" s="4" t="s">
        <v>60</v>
      </c>
      <c r="B11" s="2">
        <f>DEGREES(ATAN(ABy/BDx))</f>
        <v>27.192352164303578</v>
      </c>
      <c r="C11" s="2" t="s">
        <v>8</v>
      </c>
      <c r="D11" s="2"/>
      <c r="E11" s="2"/>
      <c r="F11" s="2"/>
      <c r="G11" s="2"/>
      <c r="H11" s="2"/>
      <c r="I11" s="2"/>
      <c r="J11" s="2"/>
    </row>
    <row r="12" spans="1:10" x14ac:dyDescent="0.3"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3" t="s">
        <v>18</v>
      </c>
      <c r="B13" s="2">
        <f>-SIN(RADIANS(ABtheta))</f>
        <v>-0.83433532066130145</v>
      </c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3" t="s">
        <v>19</v>
      </c>
      <c r="B14" s="2">
        <f>SIN(RADIANS(BDtheta))</f>
        <v>0.456979203766395</v>
      </c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21</v>
      </c>
      <c r="B15" s="2">
        <f>COS(RADIANS(ABtheta))</f>
        <v>0.55125726543693121</v>
      </c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3" t="s">
        <v>23</v>
      </c>
      <c r="B16" s="2">
        <f>COS(RADIANS(BDtheta))</f>
        <v>0.88947737875959032</v>
      </c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3" t="s">
        <v>25</v>
      </c>
      <c r="B17" s="2">
        <f>0</f>
        <v>0</v>
      </c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26</v>
      </c>
      <c r="B18" s="2">
        <f>W</f>
        <v>1.92276</v>
      </c>
      <c r="C18" s="2"/>
      <c r="D18" s="2"/>
      <c r="E18" s="2"/>
      <c r="F18" s="2"/>
      <c r="G18" s="2"/>
      <c r="H18" s="2"/>
      <c r="I18" s="2"/>
      <c r="J18" s="2"/>
    </row>
    <row r="19" spans="1:10" x14ac:dyDescent="0.3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3" t="s">
        <v>107</v>
      </c>
      <c r="B20" s="2">
        <f>a11_*a22_-a12_*a21_</f>
        <v>-0.99403550025816578</v>
      </c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3" t="s">
        <v>108</v>
      </c>
      <c r="B21" s="2">
        <f>b1_*a22_-b2_*a12_</f>
        <v>-0.87866133383387368</v>
      </c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3" t="s">
        <v>109</v>
      </c>
      <c r="B22" s="2">
        <f>a11_*b2_-a21_*b1_</f>
        <v>-1.6042265811547241</v>
      </c>
      <c r="C22" s="2"/>
      <c r="D22" s="2"/>
      <c r="E22" s="2"/>
      <c r="F22" s="2"/>
      <c r="G22" s="2"/>
      <c r="H22" s="2"/>
      <c r="I22" s="2"/>
      <c r="J22" s="2"/>
    </row>
    <row r="23" spans="1:10" x14ac:dyDescent="0.3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3" t="s">
        <v>67</v>
      </c>
      <c r="B24" s="2">
        <f>detX/det</f>
        <v>0.88393355529623674</v>
      </c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3" t="s">
        <v>68</v>
      </c>
      <c r="B25" s="2">
        <f>detY/det</f>
        <v>1.6138524033981509</v>
      </c>
      <c r="C25" s="2"/>
      <c r="D25" s="2"/>
      <c r="E25" s="2"/>
      <c r="F25" s="2"/>
      <c r="G25" s="2"/>
      <c r="H25" s="2"/>
      <c r="I25" s="2"/>
      <c r="J25" s="2"/>
    </row>
    <row r="26" spans="1:10" s="2" customFormat="1" x14ac:dyDescent="0.3">
      <c r="A26" s="4" t="s">
        <v>125</v>
      </c>
      <c r="B26" s="2">
        <f>90+ABtheta</f>
        <v>146.54669054592733</v>
      </c>
    </row>
    <row r="27" spans="1:10" s="2" customFormat="1" x14ac:dyDescent="0.3">
      <c r="A27" s="4" t="s">
        <v>124</v>
      </c>
      <c r="B27" s="2">
        <f>90-BDtheta</f>
        <v>62.807647835696422</v>
      </c>
    </row>
    <row r="28" spans="1:10" x14ac:dyDescent="0.3"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3" t="s">
        <v>122</v>
      </c>
      <c r="B29" s="2">
        <f>(BDtheta+ABtheta)/2</f>
        <v>41.869521355115452</v>
      </c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3" t="s">
        <v>123</v>
      </c>
      <c r="B30" s="2">
        <f>diam/2*TAN(RADIANS(alpha))</f>
        <v>190.46139936054439</v>
      </c>
      <c r="C30" s="2"/>
      <c r="D30" s="2"/>
      <c r="E30" s="2"/>
      <c r="F30" s="2"/>
      <c r="G30" s="2"/>
      <c r="H30" s="2"/>
      <c r="I30" s="2"/>
      <c r="J30" s="2"/>
    </row>
    <row r="31" spans="1:10" x14ac:dyDescent="0.3"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3" t="s">
        <v>85</v>
      </c>
      <c r="B32" s="2">
        <f>(ABx^2+ABy^2)^0.5</f>
        <v>671.19296778199339</v>
      </c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3" t="s">
        <v>59</v>
      </c>
      <c r="B33" s="2">
        <f>(BDx^2+ABy^2)^0.5</f>
        <v>1225.4386969571347</v>
      </c>
      <c r="C33" s="2"/>
      <c r="D33" s="2"/>
      <c r="E33" s="2"/>
      <c r="F33" s="2"/>
      <c r="G33" s="2"/>
      <c r="H33" s="2"/>
      <c r="I33" s="2"/>
      <c r="J33" s="2"/>
    </row>
    <row r="34" spans="1:10" x14ac:dyDescent="0.3"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4" t="s">
        <v>126</v>
      </c>
      <c r="B35" s="2">
        <f>-ABy</f>
        <v>-560</v>
      </c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4" t="s">
        <v>127</v>
      </c>
      <c r="B36" s="2">
        <f>ABx</f>
        <v>370</v>
      </c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4" t="s">
        <v>128</v>
      </c>
      <c r="B37" s="2">
        <f>ABy</f>
        <v>560</v>
      </c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4" t="s">
        <v>129</v>
      </c>
      <c r="B38" s="2">
        <f>BDx</f>
        <v>1090</v>
      </c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4" t="s">
        <v>130</v>
      </c>
      <c r="B39" s="2">
        <f>-(AB+BF)*RF</f>
        <v>-761.64520818483231</v>
      </c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4" t="s">
        <v>131</v>
      </c>
      <c r="B40" s="2">
        <f>(BD+BF)*RG</f>
        <v>2285.0537734139598</v>
      </c>
      <c r="C40" s="2"/>
      <c r="D40" s="2"/>
      <c r="E40" s="2"/>
      <c r="F40" s="2"/>
      <c r="G40" s="2"/>
      <c r="H40" s="2"/>
      <c r="I40" s="2"/>
      <c r="J40" s="2"/>
    </row>
    <row r="41" spans="1:10" x14ac:dyDescent="0.3"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3" t="s">
        <v>132</v>
      </c>
      <c r="B42">
        <f>a2_11*a2_22-a2_12*a2_21</f>
        <v>-817600</v>
      </c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3" t="s">
        <v>133</v>
      </c>
      <c r="B43" s="2">
        <f>b2_1*a2_22-b2_2*a2_12</f>
        <v>-1675663.1730846325</v>
      </c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3" t="s">
        <v>134</v>
      </c>
      <c r="B44" s="2">
        <f>a2_11*B40-a2_21*b2_1</f>
        <v>-853108.79652831145</v>
      </c>
      <c r="C44" s="2"/>
      <c r="D44" s="2"/>
      <c r="E44" s="2"/>
      <c r="F44" s="2"/>
      <c r="G44" s="2"/>
      <c r="H44" s="2"/>
      <c r="I44" s="2"/>
      <c r="J44" s="2"/>
    </row>
    <row r="45" spans="1:10" x14ac:dyDescent="0.3"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3" t="s">
        <v>20</v>
      </c>
      <c r="B46" s="2">
        <f>detBx/detB</f>
        <v>2.049490182344218</v>
      </c>
      <c r="C46" s="2"/>
      <c r="D46" s="4" t="s">
        <v>13</v>
      </c>
      <c r="E46" s="2">
        <f>RF*SIN(RADIANS(ABtheta))-Bx</f>
        <v>-1.3119931960428479</v>
      </c>
      <c r="F46" s="2"/>
      <c r="G46" s="4" t="s">
        <v>28</v>
      </c>
      <c r="H46" s="2">
        <f>Bx-RG*SIN(RADIANS(BDtheta))</f>
        <v>1.3119931960428479</v>
      </c>
      <c r="I46" s="2"/>
      <c r="J46" s="2"/>
    </row>
    <row r="47" spans="1:10" x14ac:dyDescent="0.3">
      <c r="A47" s="3" t="s">
        <v>22</v>
      </c>
      <c r="B47">
        <f>detBy/detB</f>
        <v>1.0434305241295394</v>
      </c>
      <c r="D47" s="4" t="s">
        <v>15</v>
      </c>
      <c r="E47">
        <f>-By-RF*COS(RADIANS(ABtheta))</f>
        <v>-1.5307053186500874</v>
      </c>
      <c r="G47" s="4" t="s">
        <v>29</v>
      </c>
      <c r="H47">
        <f>By-RG*COS(RADIANS(BDtheta))</f>
        <v>-0.39205468134991284</v>
      </c>
    </row>
    <row r="48" spans="1:10" x14ac:dyDescent="0.3">
      <c r="A48" s="3" t="s">
        <v>24</v>
      </c>
      <c r="B48">
        <f>(Bx^2+By^2)^0.5</f>
        <v>2.299816789705341</v>
      </c>
      <c r="D48" s="4" t="s">
        <v>17</v>
      </c>
      <c r="E48">
        <f>(Ax^2+Ay^2)^0.5</f>
        <v>2.0160319737063674</v>
      </c>
      <c r="G48" s="4" t="s">
        <v>65</v>
      </c>
      <c r="H48">
        <f>(Dx^2+Dy^2)^0.5</f>
        <v>1.3693184507743654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&amp;C&amp;10&amp;A</oddHeader>
    <oddFooter>&amp;C&amp;10Page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0"/>
  <sheetViews>
    <sheetView zoomScaleNormal="100" workbookViewId="0">
      <selection activeCell="B19" sqref="B19"/>
    </sheetView>
  </sheetViews>
  <sheetFormatPr defaultColWidth="10.5" defaultRowHeight="14" x14ac:dyDescent="0.3"/>
  <cols>
    <col min="2" max="2" width="12.33203125" bestFit="1" customWidth="1"/>
  </cols>
  <sheetData>
    <row r="2" spans="1:10" x14ac:dyDescent="0.3">
      <c r="A2" s="3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1" t="s">
        <v>56</v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3" t="s">
        <v>57</v>
      </c>
      <c r="B5" s="2">
        <v>2.6</v>
      </c>
      <c r="C5" s="2" t="s">
        <v>2</v>
      </c>
      <c r="D5" s="2"/>
      <c r="E5" s="2"/>
      <c r="F5" s="2"/>
      <c r="G5" s="2"/>
      <c r="H5" s="2"/>
      <c r="I5" s="2"/>
      <c r="J5" s="2"/>
    </row>
    <row r="6" spans="1:10" x14ac:dyDescent="0.3">
      <c r="A6" s="3" t="s">
        <v>34</v>
      </c>
      <c r="B6" s="2">
        <v>1.6</v>
      </c>
      <c r="C6" s="2" t="s">
        <v>2</v>
      </c>
      <c r="D6" s="2"/>
      <c r="E6" s="2"/>
      <c r="F6" s="2"/>
      <c r="G6" s="2"/>
      <c r="H6" s="2"/>
      <c r="I6" s="2"/>
      <c r="J6" s="2"/>
    </row>
    <row r="7" spans="1:10" x14ac:dyDescent="0.3">
      <c r="A7" s="3" t="s">
        <v>14</v>
      </c>
      <c r="B7" s="2">
        <v>1.8</v>
      </c>
      <c r="C7" s="2" t="s">
        <v>2</v>
      </c>
      <c r="D7" s="2"/>
      <c r="E7" s="2"/>
      <c r="F7" s="2"/>
      <c r="G7" s="2"/>
      <c r="H7" s="2"/>
      <c r="I7" s="2"/>
      <c r="J7" s="2"/>
    </row>
    <row r="8" spans="1:10" x14ac:dyDescent="0.3">
      <c r="A8" s="3" t="s">
        <v>58</v>
      </c>
      <c r="B8" s="2">
        <v>1.05</v>
      </c>
      <c r="C8" s="2" t="s">
        <v>37</v>
      </c>
      <c r="D8" s="2"/>
      <c r="E8" s="2"/>
      <c r="F8" s="2"/>
      <c r="G8" s="2"/>
      <c r="H8" s="2"/>
      <c r="I8" s="2"/>
      <c r="J8" s="2"/>
    </row>
    <row r="9" spans="1:10" x14ac:dyDescent="0.3">
      <c r="A9" s="3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3" t="s">
        <v>59</v>
      </c>
      <c r="B10" s="2">
        <f>(ADy^2+ABx^2)^0.5</f>
        <v>3.0528675044947495</v>
      </c>
      <c r="C10" s="2" t="s">
        <v>2</v>
      </c>
      <c r="D10" s="2"/>
      <c r="E10" s="2"/>
      <c r="F10" s="2"/>
      <c r="G10" s="2"/>
      <c r="H10" s="2"/>
      <c r="I10" s="2"/>
      <c r="J10" s="2"/>
    </row>
    <row r="11" spans="1:10" x14ac:dyDescent="0.3">
      <c r="A11" s="3" t="s">
        <v>60</v>
      </c>
      <c r="B11" s="2">
        <f>DEGREES(ATAN(ADy/ABx))</f>
        <v>58.392497753751101</v>
      </c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3" t="s">
        <v>61</v>
      </c>
      <c r="B12" s="2">
        <f>BD*UDL</f>
        <v>3.2055108797194873</v>
      </c>
      <c r="C12" s="2" t="s">
        <v>10</v>
      </c>
      <c r="D12" s="2"/>
      <c r="E12" s="2"/>
      <c r="F12" s="2"/>
      <c r="G12" s="2"/>
      <c r="H12" s="2"/>
      <c r="I12" s="2"/>
      <c r="J12" s="2"/>
    </row>
    <row r="13" spans="1:10" x14ac:dyDescent="0.3">
      <c r="A13" s="3" t="s">
        <v>45</v>
      </c>
      <c r="B13" s="2">
        <f>(ABx/2*W*COS(RADIANS(BDtheta))+ADy/2*W*SIN(RADIANS(BDtheta)))/ABx</f>
        <v>3.0581250000000004</v>
      </c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3" t="s">
        <v>32</v>
      </c>
      <c r="B14" s="2">
        <f>RB*ABx/(ABx+BCx)</f>
        <v>1.4391176470588236</v>
      </c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3" t="s">
        <v>62</v>
      </c>
      <c r="B15" s="2">
        <f>RB-RC_</f>
        <v>1.6190073529411768</v>
      </c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3" t="s">
        <v>63</v>
      </c>
      <c r="B16" s="2">
        <f>W*COS(RADIANS(BDtheta))-RB</f>
        <v>-1.3781250000000003</v>
      </c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3" t="s">
        <v>64</v>
      </c>
      <c r="B17" s="2">
        <f>W*SIN(RADIANS(BDtheta))</f>
        <v>2.73</v>
      </c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3" t="s">
        <v>65</v>
      </c>
      <c r="B18" s="2">
        <f>(RDy^2+RDx^2)^0.5</f>
        <v>3.058125</v>
      </c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3" t="s">
        <v>66</v>
      </c>
      <c r="B19" s="2">
        <f>DEGREES(ATAN(RDy/RDx))</f>
        <v>-26.784995507502202</v>
      </c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3"/>
      <c r="B20" s="2"/>
      <c r="C20" s="2"/>
      <c r="D20" s="2"/>
      <c r="E20" s="2"/>
      <c r="F20" s="2"/>
      <c r="G20" s="2"/>
      <c r="H20" s="2"/>
      <c r="I20" s="2"/>
      <c r="J20" s="2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321</vt:i4>
      </vt:variant>
    </vt:vector>
  </HeadingPairs>
  <TitlesOfParts>
    <vt:vector size="337" baseType="lpstr">
      <vt:lpstr>Q12a</vt:lpstr>
      <vt:lpstr>Q11a</vt:lpstr>
      <vt:lpstr>Q10a</vt:lpstr>
      <vt:lpstr>Q09a</vt:lpstr>
      <vt:lpstr>Q08a</vt:lpstr>
      <vt:lpstr>Q07a</vt:lpstr>
      <vt:lpstr>Q06a</vt:lpstr>
      <vt:lpstr>Q05a</vt:lpstr>
      <vt:lpstr>Q04a</vt:lpstr>
      <vt:lpstr>Q03a</vt:lpstr>
      <vt:lpstr>Q02a</vt:lpstr>
      <vt:lpstr>Q01b</vt:lpstr>
      <vt:lpstr>Q13a</vt:lpstr>
      <vt:lpstr>Q14a</vt:lpstr>
      <vt:lpstr>Q15a</vt:lpstr>
      <vt:lpstr>Q16a</vt:lpstr>
      <vt:lpstr>Q01b!a11_</vt:lpstr>
      <vt:lpstr>Q02a!a11_</vt:lpstr>
      <vt:lpstr>Q03a!a11_</vt:lpstr>
      <vt:lpstr>Q05a!a11_</vt:lpstr>
      <vt:lpstr>Q10a!a11_</vt:lpstr>
      <vt:lpstr>Q12a!a11_</vt:lpstr>
      <vt:lpstr>Q01b!a12_</vt:lpstr>
      <vt:lpstr>Q02a!a12_</vt:lpstr>
      <vt:lpstr>Q03a!a12_</vt:lpstr>
      <vt:lpstr>Q05a!a12_</vt:lpstr>
      <vt:lpstr>Q10a!a12_</vt:lpstr>
      <vt:lpstr>Q12a!a12_</vt:lpstr>
      <vt:lpstr>Q05a!a2_11</vt:lpstr>
      <vt:lpstr>Q05a!a2_12</vt:lpstr>
      <vt:lpstr>Q05a!a2_21</vt:lpstr>
      <vt:lpstr>Q05a!a2_22</vt:lpstr>
      <vt:lpstr>Q01b!a21_</vt:lpstr>
      <vt:lpstr>Q02a!a21_</vt:lpstr>
      <vt:lpstr>Q03a!a21_</vt:lpstr>
      <vt:lpstr>Q05a!a21_</vt:lpstr>
      <vt:lpstr>Q10a!a21_</vt:lpstr>
      <vt:lpstr>Q12a!a21_</vt:lpstr>
      <vt:lpstr>Q01b!a22_</vt:lpstr>
      <vt:lpstr>Q02a!a22_</vt:lpstr>
      <vt:lpstr>Q03a!a22_</vt:lpstr>
      <vt:lpstr>Q05a!a22_</vt:lpstr>
      <vt:lpstr>Q10a!a22_</vt:lpstr>
      <vt:lpstr>Q12a!a22_</vt:lpstr>
      <vt:lpstr>Q03a!a23_</vt:lpstr>
      <vt:lpstr>Q05a!AB</vt:lpstr>
      <vt:lpstr>Q07a!AB</vt:lpstr>
      <vt:lpstr>Q11a!AB</vt:lpstr>
      <vt:lpstr>Q05a!ABtheta</vt:lpstr>
      <vt:lpstr>Q08a!ABtheta</vt:lpstr>
      <vt:lpstr>Q11a!ABtheta</vt:lpstr>
      <vt:lpstr>Q02a!ABx</vt:lpstr>
      <vt:lpstr>Q04a!ABx</vt:lpstr>
      <vt:lpstr>Q05a!ABx</vt:lpstr>
      <vt:lpstr>Q08a!ABx</vt:lpstr>
      <vt:lpstr>Q09a!ABx</vt:lpstr>
      <vt:lpstr>Q10a!ABx</vt:lpstr>
      <vt:lpstr>Q11a!ABx</vt:lpstr>
      <vt:lpstr>Q12a!ABx</vt:lpstr>
      <vt:lpstr>Q02a!ABy</vt:lpstr>
      <vt:lpstr>Q05a!ABy</vt:lpstr>
      <vt:lpstr>Q08a!ABy</vt:lpstr>
      <vt:lpstr>Q09a!ABy</vt:lpstr>
      <vt:lpstr>Q10a!ABy</vt:lpstr>
      <vt:lpstr>Q11a!ABy</vt:lpstr>
      <vt:lpstr>Q08a!AC</vt:lpstr>
      <vt:lpstr>Q01b!ACx</vt:lpstr>
      <vt:lpstr>Q10a!ACx</vt:lpstr>
      <vt:lpstr>Q12a!ACx</vt:lpstr>
      <vt:lpstr>Q01b!ACy</vt:lpstr>
      <vt:lpstr>Q03a!ACy</vt:lpstr>
      <vt:lpstr>Q06a!ADx</vt:lpstr>
      <vt:lpstr>Q04a!ADy</vt:lpstr>
      <vt:lpstr>Q06a!ADy</vt:lpstr>
      <vt:lpstr>Q11a!AE</vt:lpstr>
      <vt:lpstr>Q06a!AEx</vt:lpstr>
      <vt:lpstr>Q11a!AEx</vt:lpstr>
      <vt:lpstr>Q03a!AFx</vt:lpstr>
      <vt:lpstr>Q05a!alpha</vt:lpstr>
      <vt:lpstr>Q01b!APy</vt:lpstr>
      <vt:lpstr>Q01b!Ax</vt:lpstr>
      <vt:lpstr>Q02a!Ax</vt:lpstr>
      <vt:lpstr>Q03a!Ax</vt:lpstr>
      <vt:lpstr>Q05a!Ax</vt:lpstr>
      <vt:lpstr>Q08a!Ax</vt:lpstr>
      <vt:lpstr>Q09a!Ax</vt:lpstr>
      <vt:lpstr>Q11a!Ax</vt:lpstr>
      <vt:lpstr>Q12a!Ax</vt:lpstr>
      <vt:lpstr>Q01b!Ay</vt:lpstr>
      <vt:lpstr>Q02a!Ay</vt:lpstr>
      <vt:lpstr>Q03a!Ay</vt:lpstr>
      <vt:lpstr>Q05a!Ay</vt:lpstr>
      <vt:lpstr>Q08a!Ay</vt:lpstr>
      <vt:lpstr>Q09a!Ay</vt:lpstr>
      <vt:lpstr>Q11a!Ay</vt:lpstr>
      <vt:lpstr>Q12a!Ay</vt:lpstr>
      <vt:lpstr>Q01b!b1_</vt:lpstr>
      <vt:lpstr>Q02a!b1_</vt:lpstr>
      <vt:lpstr>Q03a!b1_</vt:lpstr>
      <vt:lpstr>Q05a!b1_</vt:lpstr>
      <vt:lpstr>Q10a!b1_</vt:lpstr>
      <vt:lpstr>Q12a!b1_</vt:lpstr>
      <vt:lpstr>Q01b!b2_</vt:lpstr>
      <vt:lpstr>Q02a!b2_</vt:lpstr>
      <vt:lpstr>Q03a!b2_</vt:lpstr>
      <vt:lpstr>Q05a!b2_</vt:lpstr>
      <vt:lpstr>Q10a!b2_</vt:lpstr>
      <vt:lpstr>Q12a!b2_</vt:lpstr>
      <vt:lpstr>Q05a!b2_1</vt:lpstr>
      <vt:lpstr>Q05a!b2_2</vt:lpstr>
      <vt:lpstr>Q02a!BC</vt:lpstr>
      <vt:lpstr>Q07a!BC</vt:lpstr>
      <vt:lpstr>Q02a!BCtheta</vt:lpstr>
      <vt:lpstr>Q11a!BCtheta</vt:lpstr>
      <vt:lpstr>Q01b!BCx</vt:lpstr>
      <vt:lpstr>Q02a!BCx</vt:lpstr>
      <vt:lpstr>Q04a!BCx</vt:lpstr>
      <vt:lpstr>Q08a!BCx</vt:lpstr>
      <vt:lpstr>Q09a!BCx</vt:lpstr>
      <vt:lpstr>Q10a!BCx</vt:lpstr>
      <vt:lpstr>Q11a!BCx</vt:lpstr>
      <vt:lpstr>Q12a!BCx</vt:lpstr>
      <vt:lpstr>Q03a!BCy</vt:lpstr>
      <vt:lpstr>Q08a!BCy</vt:lpstr>
      <vt:lpstr>Q09a!BCy</vt:lpstr>
      <vt:lpstr>Q10a!BCy</vt:lpstr>
      <vt:lpstr>Q11a!BCy</vt:lpstr>
      <vt:lpstr>Q04a!BD</vt:lpstr>
      <vt:lpstr>Q05a!BD</vt:lpstr>
      <vt:lpstr>Q04a!BDtheta</vt:lpstr>
      <vt:lpstr>Q05a!BDtheta</vt:lpstr>
      <vt:lpstr>Q06a!BDtheta</vt:lpstr>
      <vt:lpstr>Q05a!BDx</vt:lpstr>
      <vt:lpstr>Q06a!BDy</vt:lpstr>
      <vt:lpstr>Q11a!BDy</vt:lpstr>
      <vt:lpstr>Q09a!BEx</vt:lpstr>
      <vt:lpstr>Q06a!BEy</vt:lpstr>
      <vt:lpstr>Q08a!BEy</vt:lpstr>
      <vt:lpstr>Q09a!BEy</vt:lpstr>
      <vt:lpstr>Q05a!BF</vt:lpstr>
      <vt:lpstr>Q12a!BF</vt:lpstr>
      <vt:lpstr>Q12a!BFtheta</vt:lpstr>
      <vt:lpstr>Q03a!BGx</vt:lpstr>
      <vt:lpstr>Q01b!BQx</vt:lpstr>
      <vt:lpstr>Q01b!BQy</vt:lpstr>
      <vt:lpstr>Q03a!BRx</vt:lpstr>
      <vt:lpstr>Q01b!Bx</vt:lpstr>
      <vt:lpstr>Q02a!Bx</vt:lpstr>
      <vt:lpstr>Q03a!Bx</vt:lpstr>
      <vt:lpstr>Q05a!Bx</vt:lpstr>
      <vt:lpstr>Q08a!Bx</vt:lpstr>
      <vt:lpstr>Q09a!Bx</vt:lpstr>
      <vt:lpstr>Q10a!Bx</vt:lpstr>
      <vt:lpstr>Q01b!By</vt:lpstr>
      <vt:lpstr>Q02a!By</vt:lpstr>
      <vt:lpstr>Q03a!By</vt:lpstr>
      <vt:lpstr>Q05a!By</vt:lpstr>
      <vt:lpstr>Q08a!By</vt:lpstr>
      <vt:lpstr>Q09a!By</vt:lpstr>
      <vt:lpstr>Q10a!By</vt:lpstr>
      <vt:lpstr>Q12a!CD</vt:lpstr>
      <vt:lpstr>Q12a!CDtheta</vt:lpstr>
      <vt:lpstr>Q08a!CDx</vt:lpstr>
      <vt:lpstr>Q09a!CDx</vt:lpstr>
      <vt:lpstr>Q10a!CDx</vt:lpstr>
      <vt:lpstr>Q12a!CDx</vt:lpstr>
      <vt:lpstr>Q08a!CDy</vt:lpstr>
      <vt:lpstr>Q09a!CDy</vt:lpstr>
      <vt:lpstr>Q10a!CDy</vt:lpstr>
      <vt:lpstr>Q11a!CDy</vt:lpstr>
      <vt:lpstr>Q06a!CEtheta</vt:lpstr>
      <vt:lpstr>Q06a!CEx</vt:lpstr>
      <vt:lpstr>Q10a!CEx</vt:lpstr>
      <vt:lpstr>Q06a!CEy</vt:lpstr>
      <vt:lpstr>Q11a!CFy</vt:lpstr>
      <vt:lpstr>Q01b!CPy</vt:lpstr>
      <vt:lpstr>Q01b!CQx</vt:lpstr>
      <vt:lpstr>Q03a!CRx</vt:lpstr>
      <vt:lpstr>Q01b!Cx</vt:lpstr>
      <vt:lpstr>Q02a!Cx</vt:lpstr>
      <vt:lpstr>Q03a!Cx</vt:lpstr>
      <vt:lpstr>Q09a!Cx</vt:lpstr>
      <vt:lpstr>Q01b!Cy</vt:lpstr>
      <vt:lpstr>Q02a!Cy</vt:lpstr>
      <vt:lpstr>Q03a!Cy</vt:lpstr>
      <vt:lpstr>Q09a!Cy</vt:lpstr>
      <vt:lpstr>Q01b!D</vt:lpstr>
      <vt:lpstr>Q02a!D</vt:lpstr>
      <vt:lpstr>Q06a!DBlen</vt:lpstr>
      <vt:lpstr>Q03a!det</vt:lpstr>
      <vt:lpstr>Q05a!det</vt:lpstr>
      <vt:lpstr>Q10a!det</vt:lpstr>
      <vt:lpstr>Q12a!det</vt:lpstr>
      <vt:lpstr>Q05a!detB</vt:lpstr>
      <vt:lpstr>Q05a!detBx</vt:lpstr>
      <vt:lpstr>Q05a!detBy</vt:lpstr>
      <vt:lpstr>Q08a!DEtheta</vt:lpstr>
      <vt:lpstr>Q03a!detX</vt:lpstr>
      <vt:lpstr>Q05a!detX</vt:lpstr>
      <vt:lpstr>Q10a!detX</vt:lpstr>
      <vt:lpstr>Q12a!detX</vt:lpstr>
      <vt:lpstr>Q03a!detY</vt:lpstr>
      <vt:lpstr>Q05a!detY</vt:lpstr>
      <vt:lpstr>Q10a!detY</vt:lpstr>
      <vt:lpstr>Q12a!detY</vt:lpstr>
      <vt:lpstr>Q10a!DEx</vt:lpstr>
      <vt:lpstr>Q08a!DEy</vt:lpstr>
      <vt:lpstr>Q10a!DEy</vt:lpstr>
      <vt:lpstr>Q09a!DFy</vt:lpstr>
      <vt:lpstr>Q11a!DFy</vt:lpstr>
      <vt:lpstr>Q05a!diam</vt:lpstr>
      <vt:lpstr>Q07a!DL</vt:lpstr>
      <vt:lpstr>Q07a!DL2_</vt:lpstr>
      <vt:lpstr>Q02a!DLrect</vt:lpstr>
      <vt:lpstr>Q02a!DLtri</vt:lpstr>
      <vt:lpstr>Q01b!Dx</vt:lpstr>
      <vt:lpstr>Q02a!Dx</vt:lpstr>
      <vt:lpstr>Q05a!Dx</vt:lpstr>
      <vt:lpstr>Q10a!Dx</vt:lpstr>
      <vt:lpstr>Q11a!Dx</vt:lpstr>
      <vt:lpstr>Q01b!Dy</vt:lpstr>
      <vt:lpstr>Q02a!Dy</vt:lpstr>
      <vt:lpstr>Q05a!Dy</vt:lpstr>
      <vt:lpstr>Q10a!Dy</vt:lpstr>
      <vt:lpstr>Q11a!Dy</vt:lpstr>
      <vt:lpstr>Q10a!Ex</vt:lpstr>
      <vt:lpstr>Q10a!Ey</vt:lpstr>
      <vt:lpstr>Q10a!F</vt:lpstr>
      <vt:lpstr>Q11a!FBC</vt:lpstr>
      <vt:lpstr>Q08a!FDE</vt:lpstr>
      <vt:lpstr>Q12a!FEx</vt:lpstr>
      <vt:lpstr>Q03a!FF</vt:lpstr>
      <vt:lpstr>Q03a!FGx</vt:lpstr>
      <vt:lpstr>Q03a!FR</vt:lpstr>
      <vt:lpstr>Q09a!Fx</vt:lpstr>
      <vt:lpstr>Q09a!Fy</vt:lpstr>
      <vt:lpstr>Q03a!G</vt:lpstr>
      <vt:lpstr>Q12a!GDx</vt:lpstr>
      <vt:lpstr>Q12a!GEx</vt:lpstr>
      <vt:lpstr>Q12a!GFx</vt:lpstr>
      <vt:lpstr>Q12a!Gx</vt:lpstr>
      <vt:lpstr>Q12a!Gy</vt:lpstr>
      <vt:lpstr>Q12a!M</vt:lpstr>
      <vt:lpstr>Q06a!MA</vt:lpstr>
      <vt:lpstr>Q07a!MA</vt:lpstr>
      <vt:lpstr>Q05a!mass</vt:lpstr>
      <vt:lpstr>Q01b!P</vt:lpstr>
      <vt:lpstr>Q06a!P</vt:lpstr>
      <vt:lpstr>Q09a!P</vt:lpstr>
      <vt:lpstr>Q11a!P</vt:lpstr>
      <vt:lpstr>Q01b!Q</vt:lpstr>
      <vt:lpstr>Q01b!RA</vt:lpstr>
      <vt:lpstr>Q02a!RA</vt:lpstr>
      <vt:lpstr>Q03a!RA</vt:lpstr>
      <vt:lpstr>Q04a!RA</vt:lpstr>
      <vt:lpstr>Q05a!RA</vt:lpstr>
      <vt:lpstr>Q06a!RA</vt:lpstr>
      <vt:lpstr>Q07a!RA</vt:lpstr>
      <vt:lpstr>Q08a!RA</vt:lpstr>
      <vt:lpstr>Q09a!RA</vt:lpstr>
      <vt:lpstr>Q10a!RA</vt:lpstr>
      <vt:lpstr>Q11a!RA</vt:lpstr>
      <vt:lpstr>Q12a!RA</vt:lpstr>
      <vt:lpstr>Q02a!RAtheta</vt:lpstr>
      <vt:lpstr>Q03a!RAtheta</vt:lpstr>
      <vt:lpstr>Q06a!RAtheta</vt:lpstr>
      <vt:lpstr>Q11a!RAtheta</vt:lpstr>
      <vt:lpstr>Q12a!RAtheta</vt:lpstr>
      <vt:lpstr>Q06a!RAx</vt:lpstr>
      <vt:lpstr>Q06a!RAy</vt:lpstr>
      <vt:lpstr>Q01b!RB</vt:lpstr>
      <vt:lpstr>Q02a!RB</vt:lpstr>
      <vt:lpstr>Q03a!RB</vt:lpstr>
      <vt:lpstr>Q04a!RB</vt:lpstr>
      <vt:lpstr>Q05a!RB</vt:lpstr>
      <vt:lpstr>Q06a!RB</vt:lpstr>
      <vt:lpstr>Q07a!RB</vt:lpstr>
      <vt:lpstr>Q08a!RB</vt:lpstr>
      <vt:lpstr>Q09a!RB</vt:lpstr>
      <vt:lpstr>Q10a!RB</vt:lpstr>
      <vt:lpstr>Q02a!RBtheta</vt:lpstr>
      <vt:lpstr>Q03a!Rbtheta</vt:lpstr>
      <vt:lpstr>Q06a!RBtheta</vt:lpstr>
      <vt:lpstr>Q01b!RC_</vt:lpstr>
      <vt:lpstr>Q02a!RC_</vt:lpstr>
      <vt:lpstr>Q03a!RC_</vt:lpstr>
      <vt:lpstr>Q04a!RC_</vt:lpstr>
      <vt:lpstr>Q06a!RC_</vt:lpstr>
      <vt:lpstr>Q07a!RC_</vt:lpstr>
      <vt:lpstr>Q08a!RC_</vt:lpstr>
      <vt:lpstr>Q09a!RC_</vt:lpstr>
      <vt:lpstr>Q10a!RC_</vt:lpstr>
      <vt:lpstr>Q02a!RCtheta</vt:lpstr>
      <vt:lpstr>Q03a!RCtheta</vt:lpstr>
      <vt:lpstr>Q06a!RCtheta</vt:lpstr>
      <vt:lpstr>Q04a!RD</vt:lpstr>
      <vt:lpstr>Q05a!RD</vt:lpstr>
      <vt:lpstr>Q06a!RD</vt:lpstr>
      <vt:lpstr>Q10a!RD</vt:lpstr>
      <vt:lpstr>Q11a!RD</vt:lpstr>
      <vt:lpstr>Q04a!RDtheta</vt:lpstr>
      <vt:lpstr>Q06a!RDtheta</vt:lpstr>
      <vt:lpstr>Q11a!RDtheta</vt:lpstr>
      <vt:lpstr>Q04a!RDx</vt:lpstr>
      <vt:lpstr>Q06a!RDx</vt:lpstr>
      <vt:lpstr>Q04a!RDy</vt:lpstr>
      <vt:lpstr>Q06a!RDy</vt:lpstr>
      <vt:lpstr>Q06a!RE</vt:lpstr>
      <vt:lpstr>Q09a!RE</vt:lpstr>
      <vt:lpstr>Q10a!RE</vt:lpstr>
      <vt:lpstr>Q11a!RE</vt:lpstr>
      <vt:lpstr>Q06a!REtheta</vt:lpstr>
      <vt:lpstr>Q11a!REtheta</vt:lpstr>
      <vt:lpstr>Q05a!RF</vt:lpstr>
      <vt:lpstr>Q09a!RF</vt:lpstr>
      <vt:lpstr>Q05a!RFtheta</vt:lpstr>
      <vt:lpstr>Q05a!RG</vt:lpstr>
      <vt:lpstr>Q12a!RG</vt:lpstr>
      <vt:lpstr>Q05a!RGtheta</vt:lpstr>
      <vt:lpstr>Q12a!RGtheta</vt:lpstr>
      <vt:lpstr>Q01b!theta</vt:lpstr>
      <vt:lpstr>Q09a!theta</vt:lpstr>
      <vt:lpstr>Q08a!UDF</vt:lpstr>
      <vt:lpstr>Q04a!UDL</vt:lpstr>
      <vt:lpstr>Q03a!W</vt:lpstr>
      <vt:lpstr>Q04a!W</vt:lpstr>
      <vt:lpstr>Q05a!W</vt:lpstr>
      <vt:lpstr>Q08a!W</vt:lpstr>
      <vt:lpstr>Q12a!W</vt:lpstr>
      <vt:lpstr>Q07a!W1rect</vt:lpstr>
      <vt:lpstr>Q07a!W1tri</vt:lpstr>
      <vt:lpstr>Q07a!W2_</vt:lpstr>
      <vt:lpstr>Q02a!Wrect</vt:lpstr>
      <vt:lpstr>Q02a!Wtri</vt:lpstr>
      <vt:lpstr>Q10a!x</vt:lpstr>
      <vt:lpstr>Q10a!y</vt:lpstr>
      <vt:lpstr>Q12a!y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dmorg</cp:lastModifiedBy>
  <cp:revision>18</cp:revision>
  <dcterms:created xsi:type="dcterms:W3CDTF">2020-03-04T15:11:43Z</dcterms:created>
  <dcterms:modified xsi:type="dcterms:W3CDTF">2020-08-02T00:36:17Z</dcterms:modified>
  <dc:language>en-CA</dc:language>
</cp:coreProperties>
</file>