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adfe432cfa0ad805/_Freedom66/nuQwizm/fluids/questions/excel/"/>
    </mc:Choice>
  </mc:AlternateContent>
  <xr:revisionPtr revIDLastSave="256" documentId="8_{48F03E68-7FFE-4182-87FE-9C76F90F4920}" xr6:coauthVersionLast="45" xr6:coauthVersionMax="45" xr10:uidLastSave="{696C8309-FF6F-4113-96FE-92A635DB36DC}"/>
  <bookViews>
    <workbookView xWindow="480" yWindow="2440" windowWidth="17490" windowHeight="13590" activeTab="4" xr2:uid="{00000000-000D-0000-FFFF-FFFF00000000}"/>
  </bookViews>
  <sheets>
    <sheet name="Q1" sheetId="1" r:id="rId1"/>
    <sheet name="Q2" sheetId="2" r:id="rId2"/>
    <sheet name="Sheet3" sheetId="3" r:id="rId3"/>
    <sheet name="Q4" sheetId="4" r:id="rId4"/>
    <sheet name="Q5" sheetId="5" r:id="rId5"/>
  </sheets>
  <definedNames>
    <definedName name="_C1" localSheetId="1">'Q2'!$B$3</definedName>
    <definedName name="_C2" localSheetId="1">'Q2'!$B$7</definedName>
    <definedName name="_C3" localSheetId="1">'Q2'!$B$11</definedName>
    <definedName name="c_1" localSheetId="3">'Q4'!$B$7</definedName>
    <definedName name="C_1">'Q5'!$D$3</definedName>
    <definedName name="c_2" localSheetId="3">'Q4'!$B$11</definedName>
    <definedName name="C_2">'Q5'!$D$4</definedName>
    <definedName name="C_3">'Q5'!$D$5</definedName>
    <definedName name="cAB" localSheetId="0">'Q1'!$D$5</definedName>
    <definedName name="cAB" localSheetId="3">'Q4'!$B$3</definedName>
    <definedName name="cAB" localSheetId="4">'Q5'!$D$6</definedName>
    <definedName name="cBC" localSheetId="0">'Q1'!$D$6</definedName>
    <definedName name="cCD" localSheetId="0">'Q1'!$D$7</definedName>
    <definedName name="cCD" localSheetId="3">'Q4'!$B$15</definedName>
    <definedName name="cCD" localSheetId="4">'Q5'!$D$7</definedName>
    <definedName name="D1_" localSheetId="1">'Q2'!$B$2</definedName>
    <definedName name="D2_" localSheetId="1">'Q2'!$B$6</definedName>
    <definedName name="D3_" localSheetId="1">'Q2'!$B$10</definedName>
    <definedName name="dAB" localSheetId="0">'Q1'!$C$5</definedName>
    <definedName name="dAB" localSheetId="3">'Q4'!$B$2</definedName>
    <definedName name="dBC" localSheetId="0">'Q1'!$C$6</definedName>
    <definedName name="dCD" localSheetId="0">'Q1'!$C$7</definedName>
    <definedName name="deltaP" localSheetId="3">'Q4'!$F$1</definedName>
    <definedName name="diam1" localSheetId="3">'Q4'!$B$6</definedName>
    <definedName name="diam1">'Q5'!$C$3</definedName>
    <definedName name="diam2" localSheetId="3">'Q4'!$B$10</definedName>
    <definedName name="diam2">'Q5'!$C$4</definedName>
    <definedName name="diam3">'Q5'!$C$5</definedName>
    <definedName name="diamAB">'Q5'!$C$6</definedName>
    <definedName name="diamCD" localSheetId="3">'Q4'!$B$14</definedName>
    <definedName name="diamCD">'Q5'!$C$7</definedName>
    <definedName name="equivAD" localSheetId="3">'Q4'!$N$18</definedName>
    <definedName name="equivDiam" localSheetId="0">'Q1'!$B$14</definedName>
    <definedName name="equivDiamBC">'Q5'!$B$20</definedName>
    <definedName name="equivPipe1C">'Q5'!$K$3</definedName>
    <definedName name="equivPipe1Length">'Q5'!$J$3</definedName>
    <definedName name="hL" localSheetId="1">'Q2'!$G$13</definedName>
    <definedName name="HL_AB" localSheetId="3">'Q4'!$K$18</definedName>
    <definedName name="HL_AD" localSheetId="3">'Q4'!$K$21</definedName>
    <definedName name="HL_BC" localSheetId="3">'Q4'!$K$19</definedName>
    <definedName name="hL_BC1" localSheetId="3">'Q4'!$E$18</definedName>
    <definedName name="hL_BC2" localSheetId="3">'Q4'!$E$19</definedName>
    <definedName name="HL_CD" localSheetId="3">'Q4'!$K$20</definedName>
    <definedName name="hlAB" localSheetId="0">'Q1'!$B$9</definedName>
    <definedName name="hLAB100" localSheetId="4">'Q5'!$B$22</definedName>
    <definedName name="hLAD100" localSheetId="4">'Q5'!$B$25</definedName>
    <definedName name="hlBC" localSheetId="0">'Q1'!$B$10</definedName>
    <definedName name="hLBC100" localSheetId="4">'Q5'!$B$23</definedName>
    <definedName name="hlCD" localSheetId="0">'Q1'!$B$11</definedName>
    <definedName name="hLCD100" localSheetId="4">'Q5'!$B$24</definedName>
    <definedName name="hLequiv" localSheetId="0">'Q1'!$B$16</definedName>
    <definedName name="hLQ1temp">'Q5'!$D$16</definedName>
    <definedName name="hlTotal" localSheetId="0">'Q1'!$B$12</definedName>
    <definedName name="L1_" localSheetId="1">'Q2'!$B$1</definedName>
    <definedName name="L2_" localSheetId="1">'Q2'!$B$5</definedName>
    <definedName name="L3_" localSheetId="1">'Q2'!$B$9</definedName>
    <definedName name="lAB" localSheetId="0">'Q1'!$B$5</definedName>
    <definedName name="lBC" localSheetId="0">'Q1'!$B$6</definedName>
    <definedName name="lCD" localSheetId="0">'Q1'!$B$7</definedName>
    <definedName name="LeD_1">'Q5'!$E$3</definedName>
    <definedName name="LeD_2">'Q5'!$E$4</definedName>
    <definedName name="LeD_3">'Q5'!$E$5</definedName>
    <definedName name="LeD_AB">'Q5'!$E$6</definedName>
    <definedName name="LeD_CD">'Q5'!$E$7</definedName>
    <definedName name="Leff1">'Q5'!$G$3</definedName>
    <definedName name="Leff2">'Q5'!$G$4</definedName>
    <definedName name="Leff3">'Q5'!$G$5</definedName>
    <definedName name="LeffAB" localSheetId="4">'Q5'!$G$6</definedName>
    <definedName name="LeffCD" localSheetId="4">'Q5'!$G$7</definedName>
    <definedName name="lenAB" localSheetId="3">'Q4'!$B$1</definedName>
    <definedName name="lenCD" localSheetId="3">'Q4'!$B$13</definedName>
    <definedName name="length1" localSheetId="3">'Q4'!$B$5</definedName>
    <definedName name="length1">'Q5'!$B$3</definedName>
    <definedName name="length2" localSheetId="3">'Q4'!$B$9</definedName>
    <definedName name="length2">'Q5'!$B$4</definedName>
    <definedName name="length3">'Q5'!$B$5</definedName>
    <definedName name="lengthAB">'Q5'!$B$6</definedName>
    <definedName name="lengthCD">'Q5'!$B$7</definedName>
    <definedName name="nearest5" localSheetId="0">'Q1'!$B$15</definedName>
    <definedName name="percent" localSheetId="3">'Q4'!$B$20</definedName>
    <definedName name="Q" localSheetId="0">'Q1'!$B$1</definedName>
    <definedName name="Q" localSheetId="1">'Q2'!$F$1</definedName>
    <definedName name="Q1_" localSheetId="1">'Q2'!$F$14</definedName>
    <definedName name="Q1_" localSheetId="3">'Q4'!$B$18</definedName>
    <definedName name="Q1_">'Q5'!$B$9</definedName>
    <definedName name="Q1_10" localSheetId="1">'Q2'!$B$14</definedName>
    <definedName name="Q1temp">'Q5'!$B$16</definedName>
    <definedName name="Q2_" localSheetId="0">'Q1'!$B$2</definedName>
    <definedName name="Q2_" localSheetId="1">'Q2'!$F$15</definedName>
    <definedName name="Q2_" localSheetId="3">'Q4'!$B$19</definedName>
    <definedName name="Q2_10" localSheetId="1">'Q2'!$B$15</definedName>
    <definedName name="Q2multiplier">'Q5'!$B$10</definedName>
    <definedName name="Q2temp">'Q5'!$B$17</definedName>
    <definedName name="Q3_" localSheetId="1">'Q2'!$F$16</definedName>
    <definedName name="Q3_10" localSheetId="1">'Q2'!$B$16</definedName>
    <definedName name="Q3multiplier">'Q5'!$B$11</definedName>
    <definedName name="Q3temp">'Q5'!$B$18</definedName>
    <definedName name="tempFlow">'Q5'!$B$14</definedName>
    <definedName name="total_10" localSheetId="1">'Q2'!$B$17</definedName>
    <definedName name="v1_" localSheetId="1">'Q2'!$H$14</definedName>
    <definedName name="v2_" localSheetId="1">'Q2'!$H$15</definedName>
    <definedName name="v3_" localSheetId="1">'Q2'!$H$16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B23" i="5"/>
  <c r="B22" i="5"/>
  <c r="B12" i="5"/>
  <c r="G7" i="5"/>
  <c r="G6" i="5"/>
  <c r="G5" i="5"/>
  <c r="G4" i="5"/>
  <c r="G3" i="5"/>
  <c r="B11" i="5" s="1"/>
  <c r="B10" i="5" l="1"/>
  <c r="B16" i="5" s="1"/>
  <c r="D16" i="5" s="1"/>
  <c r="B20" i="5" s="1"/>
  <c r="D20" i="5" s="1"/>
  <c r="B17" i="5" l="1"/>
  <c r="D17" i="5" s="1"/>
  <c r="B18" i="5"/>
  <c r="D18" i="5" s="1"/>
  <c r="K20" i="4" l="1"/>
  <c r="K18" i="4"/>
  <c r="B19" i="4"/>
  <c r="B18" i="4"/>
  <c r="B20" i="4" l="1"/>
  <c r="E18" i="4" s="1"/>
  <c r="E19" i="4"/>
  <c r="H19" i="4" s="1"/>
  <c r="B15" i="2"/>
  <c r="B16" i="2"/>
  <c r="B14" i="2"/>
  <c r="B11" i="1"/>
  <c r="B10" i="1"/>
  <c r="B9" i="1"/>
  <c r="B17" i="2" l="1"/>
  <c r="F15" i="2" s="1"/>
  <c r="H18" i="4"/>
  <c r="K19" i="4"/>
  <c r="K21" i="4" s="1"/>
  <c r="N18" i="4" s="1"/>
  <c r="P18" i="4" s="1"/>
  <c r="B12" i="1"/>
  <c r="B14" i="1" s="1"/>
  <c r="B15" i="1" s="1"/>
  <c r="B16" i="1" s="1"/>
  <c r="K15" i="2" l="1"/>
  <c r="H15" i="2"/>
  <c r="F16" i="2"/>
  <c r="F14" i="2"/>
  <c r="H14" i="2" l="1"/>
  <c r="F17" i="2"/>
  <c r="K14" i="2"/>
  <c r="K16" i="2"/>
  <c r="H16" i="2"/>
</calcChain>
</file>

<file path=xl/sharedStrings.xml><?xml version="1.0" encoding="utf-8"?>
<sst xmlns="http://schemas.openxmlformats.org/spreadsheetml/2006/main" count="128" uniqueCount="95">
  <si>
    <t>Q</t>
  </si>
  <si>
    <t>L/s</t>
  </si>
  <si>
    <t>Q2</t>
  </si>
  <si>
    <t>len(m)</t>
  </si>
  <si>
    <t>diam(mm)</t>
  </si>
  <si>
    <t>C</t>
  </si>
  <si>
    <t>AB</t>
  </si>
  <si>
    <t>BC</t>
  </si>
  <si>
    <t>CD</t>
  </si>
  <si>
    <t>hLAB</t>
  </si>
  <si>
    <t>m</t>
  </si>
  <si>
    <t>hLBC</t>
  </si>
  <si>
    <t>hLCD</t>
  </si>
  <si>
    <t>hLtotal</t>
  </si>
  <si>
    <t>equivDiam</t>
  </si>
  <si>
    <t>nearest5</t>
  </si>
  <si>
    <t>hLequiv</t>
  </si>
  <si>
    <t>L1</t>
  </si>
  <si>
    <t>D1</t>
  </si>
  <si>
    <t>mm</t>
  </si>
  <si>
    <t>C1</t>
  </si>
  <si>
    <t>L2</t>
  </si>
  <si>
    <t>D2</t>
  </si>
  <si>
    <t>C2</t>
  </si>
  <si>
    <t>L3</t>
  </si>
  <si>
    <t>D3</t>
  </si>
  <si>
    <t>C3</t>
  </si>
  <si>
    <t>Assuming hL=10, find flows for each of the three pipes</t>
  </si>
  <si>
    <t>Q1</t>
  </si>
  <si>
    <t>Q1_10</t>
  </si>
  <si>
    <t>Q2_10</t>
  </si>
  <si>
    <t>Q3_10</t>
  </si>
  <si>
    <t>total_10</t>
  </si>
  <si>
    <t>Q3</t>
  </si>
  <si>
    <t>total</t>
  </si>
  <si>
    <t>v1</t>
  </si>
  <si>
    <t>v2</t>
  </si>
  <si>
    <t>v3</t>
  </si>
  <si>
    <t>hlBC1</t>
  </si>
  <si>
    <t>hlBC2</t>
  </si>
  <si>
    <t>hlBC3</t>
  </si>
  <si>
    <t>lAB</t>
  </si>
  <si>
    <t>dAB</t>
  </si>
  <si>
    <t>cAB</t>
  </si>
  <si>
    <t>l1</t>
  </si>
  <si>
    <t>d1</t>
  </si>
  <si>
    <t>c1</t>
  </si>
  <si>
    <t>l2</t>
  </si>
  <si>
    <t>d2</t>
  </si>
  <si>
    <t>c2</t>
  </si>
  <si>
    <t>lCD</t>
  </si>
  <si>
    <t>dCD</t>
  </si>
  <si>
    <t>cCD</t>
  </si>
  <si>
    <t>Flows for headloss of 10m</t>
  </si>
  <si>
    <t xml:space="preserve">Q2 </t>
  </si>
  <si>
    <t>Q1/(Q1+Q2)</t>
  </si>
  <si>
    <t>Hl_BC for 100 L/s system flow</t>
  </si>
  <si>
    <t>hL_BC1</t>
  </si>
  <si>
    <t>hL_BC2</t>
  </si>
  <si>
    <t>Diam_equivBC</t>
  </si>
  <si>
    <t>D</t>
  </si>
  <si>
    <t>D_equivAD</t>
  </si>
  <si>
    <t>hL_AD:Q=100</t>
  </si>
  <si>
    <t>HL_AB</t>
  </si>
  <si>
    <t>HL_BC</t>
  </si>
  <si>
    <t>HL_CD</t>
  </si>
  <si>
    <t>HL_AD</t>
  </si>
  <si>
    <t>deltaP</t>
  </si>
  <si>
    <t>kPa</t>
  </si>
  <si>
    <t>finalQ</t>
  </si>
  <si>
    <t>length</t>
  </si>
  <si>
    <t>diam</t>
  </si>
  <si>
    <t>valveLeD</t>
  </si>
  <si>
    <t>Leff</t>
  </si>
  <si>
    <t>pipe1</t>
  </si>
  <si>
    <t>equivPipe1</t>
  </si>
  <si>
    <t>pipe2</t>
  </si>
  <si>
    <t>equivPipe2</t>
  </si>
  <si>
    <t>pipe3</t>
  </si>
  <si>
    <t>pipeAB</t>
  </si>
  <si>
    <t>pipeCD</t>
  </si>
  <si>
    <t>Q2multiplier</t>
  </si>
  <si>
    <t>Q3multiplier</t>
  </si>
  <si>
    <t>tempFlow</t>
  </si>
  <si>
    <t>hL</t>
  </si>
  <si>
    <t>Q1temp</t>
  </si>
  <si>
    <t>Q2temp</t>
  </si>
  <si>
    <t>Q3temp</t>
  </si>
  <si>
    <t>equivDiamBC</t>
  </si>
  <si>
    <t>this is a rounding error, corrected with 0.3802 and 1.852</t>
  </si>
  <si>
    <t>percent</t>
  </si>
  <si>
    <t>hLAB100</t>
  </si>
  <si>
    <t>hLBC100</t>
  </si>
  <si>
    <t>hLCD100</t>
  </si>
  <si>
    <t>hLAD100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</si>
</sst>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593725</xdr:colOff>
      <xdr:row>3</xdr:row>
      <xdr:rowOff>28575</xdr:rowOff>
    </xdr:from>
    <xdr:to>
      <xdr:col>13</xdr:col>
      <xdr:colOff>260350</xdr:colOff>
      <xdr:row>11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5825" y="581025"/>
          <a:ext cx="5889625" cy="162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330200</xdr:colOff>
      <xdr:row>0</xdr:row>
      <xdr:rowOff>0</xdr:rowOff>
    </xdr:from>
    <xdr:to>
      <xdr:col>16</xdr:col>
      <xdr:colOff>130175</xdr:colOff>
      <xdr:row>11</xdr:row>
      <xdr:rowOff>32811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20A811-2AC6-4DEE-8E79-3326642D0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0"/>
          <a:ext cx="5502275" cy="2058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158750</xdr:rowOff>
    </xdr:from>
    <xdr:to>
      <xdr:col>15</xdr:col>
      <xdr:colOff>257175</xdr:colOff>
      <xdr:row>10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533261-9F11-487A-B21B-D7C6CBC45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150" y="342900"/>
          <a:ext cx="5743575" cy="1609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247303</xdr:colOff>
      <xdr:row>8</xdr:row>
      <xdr:rowOff>176876</xdr:rowOff>
    </xdr:from>
    <xdr:to>
      <xdr:col>16</xdr:col>
      <xdr:colOff>348095</xdr:colOff>
      <xdr:row>17</xdr:row>
      <xdr:rowOff>142067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68FBB-5E2A-4ACE-8C97-5BC01A0DB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953" y="1650076"/>
          <a:ext cx="5637992" cy="1622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B17" sqref="B17"/>
    </sheetView>
  </sheetViews>
  <sheetFormatPr defaultRowHeight="14.5" x14ac:dyDescent="0.35"/>
  <cols>
    <col min="1" max="1" width="10.54296875" bestFit="1" customWidth="1"/>
    <col min="2" max="2" width="11" customWidth="1"/>
    <col min="3" max="3" width="10.26953125" bestFit="1" customWidth="1"/>
    <col min="6" max="6" width="12" bestFit="1" customWidth="1"/>
    <col min="7" max="7" width="12" customWidth="1"/>
    <col min="9" max="9" width="12.7265625" bestFit="1" customWidth="1"/>
  </cols>
  <sheetData>
    <row r="1" spans="1:4" x14ac:dyDescent="0.35">
      <c r="A1" t="s">
        <v>0</v>
      </c>
      <c r="B1">
        <v>101.6</v>
      </c>
      <c r="C1" t="s">
        <v>1</v>
      </c>
    </row>
    <row r="2" spans="1:4" x14ac:dyDescent="0.35">
      <c r="A2" t="s">
        <v>2</v>
      </c>
      <c r="B2">
        <v>110</v>
      </c>
      <c r="C2" t="s">
        <v>1</v>
      </c>
    </row>
    <row r="4" spans="1:4" x14ac:dyDescent="0.35">
      <c r="B4" t="s">
        <v>3</v>
      </c>
      <c r="C4" t="s">
        <v>4</v>
      </c>
      <c r="D4" t="s">
        <v>5</v>
      </c>
    </row>
    <row r="5" spans="1:4" x14ac:dyDescent="0.35">
      <c r="A5" t="s">
        <v>6</v>
      </c>
      <c r="B5">
        <v>1075</v>
      </c>
      <c r="C5">
        <v>265</v>
      </c>
      <c r="D5">
        <v>140</v>
      </c>
    </row>
    <row r="6" spans="1:4" x14ac:dyDescent="0.35">
      <c r="A6" t="s">
        <v>7</v>
      </c>
      <c r="B6">
        <v>935</v>
      </c>
      <c r="C6">
        <v>670</v>
      </c>
      <c r="D6">
        <v>100</v>
      </c>
    </row>
    <row r="7" spans="1:4" x14ac:dyDescent="0.35">
      <c r="A7" t="s">
        <v>8</v>
      </c>
      <c r="B7">
        <v>910</v>
      </c>
      <c r="C7">
        <v>255</v>
      </c>
      <c r="D7">
        <v>150</v>
      </c>
    </row>
    <row r="9" spans="1:4" x14ac:dyDescent="0.35">
      <c r="A9" t="s">
        <v>9</v>
      </c>
      <c r="B9">
        <f>lAB*(279000*Q/cAB/dAB^2.63)^1.852</f>
        <v>11.369893606879305</v>
      </c>
      <c r="C9" t="s">
        <v>10</v>
      </c>
    </row>
    <row r="10" spans="1:4" x14ac:dyDescent="0.35">
      <c r="A10" t="s">
        <v>11</v>
      </c>
      <c r="B10">
        <f>lBC*(279000*Q/cBC/dBC^2.63)^1.852</f>
        <v>0.20123598158256717</v>
      </c>
      <c r="C10" t="s">
        <v>10</v>
      </c>
    </row>
    <row r="11" spans="1:4" x14ac:dyDescent="0.35">
      <c r="A11" t="s">
        <v>12</v>
      </c>
      <c r="B11">
        <f>lCD*(279000*Q/cCD/dCD^2.63)^1.852</f>
        <v>10.21567017761677</v>
      </c>
      <c r="C11" t="s">
        <v>10</v>
      </c>
    </row>
    <row r="12" spans="1:4" x14ac:dyDescent="0.35">
      <c r="A12" t="s">
        <v>13</v>
      </c>
      <c r="B12">
        <f>hlAB+hlBC+hlCD</f>
        <v>21.786799766078644</v>
      </c>
      <c r="C12" t="s">
        <v>10</v>
      </c>
    </row>
    <row r="14" spans="1:4" x14ac:dyDescent="0.35">
      <c r="A14" t="s">
        <v>14</v>
      </c>
      <c r="B14">
        <f>(279000*Q/100/(hlTotal/1000)^0.54)^0.3802</f>
        <v>259.5505100484429</v>
      </c>
    </row>
    <row r="15" spans="1:4" x14ac:dyDescent="0.35">
      <c r="A15" t="s">
        <v>15</v>
      </c>
      <c r="B15">
        <f>ROUND(equivDiam/5, 0)*5</f>
        <v>260</v>
      </c>
    </row>
    <row r="16" spans="1:4" x14ac:dyDescent="0.35">
      <c r="A16" t="s">
        <v>16</v>
      </c>
      <c r="B16">
        <f>1000*(279000*Q2_/100/nearest5^2.63)^1.852</f>
        <v>25.070480228783733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724A-C088-49DA-AE84-A676DE320AFE}">
  <dimension ref="A1:L17"/>
  <sheetViews>
    <sheetView workbookViewId="0">
      <selection activeCell="J27" sqref="J27"/>
    </sheetView>
  </sheetViews>
  <sheetFormatPr defaultRowHeight="14.5" x14ac:dyDescent="0.35"/>
  <cols>
    <col min="8" max="8" width="11.81640625" bestFit="1" customWidth="1"/>
  </cols>
  <sheetData>
    <row r="1" spans="1:12" x14ac:dyDescent="0.35">
      <c r="A1" t="s">
        <v>17</v>
      </c>
      <c r="B1">
        <v>2700</v>
      </c>
      <c r="C1" t="s">
        <v>10</v>
      </c>
      <c r="E1" t="s">
        <v>0</v>
      </c>
      <c r="F1">
        <v>879</v>
      </c>
      <c r="G1" t="s">
        <v>1</v>
      </c>
    </row>
    <row r="2" spans="1:12" x14ac:dyDescent="0.35">
      <c r="A2" t="s">
        <v>18</v>
      </c>
      <c r="B2">
        <v>330</v>
      </c>
      <c r="C2" t="s">
        <v>19</v>
      </c>
    </row>
    <row r="3" spans="1:12" x14ac:dyDescent="0.35">
      <c r="A3" t="s">
        <v>20</v>
      </c>
      <c r="B3">
        <v>150</v>
      </c>
    </row>
    <row r="5" spans="1:12" x14ac:dyDescent="0.35">
      <c r="A5" t="s">
        <v>21</v>
      </c>
      <c r="B5">
        <v>2000</v>
      </c>
      <c r="C5" t="s">
        <v>10</v>
      </c>
    </row>
    <row r="6" spans="1:12" x14ac:dyDescent="0.35">
      <c r="A6" t="s">
        <v>22</v>
      </c>
      <c r="B6">
        <v>240</v>
      </c>
      <c r="C6" t="s">
        <v>19</v>
      </c>
    </row>
    <row r="7" spans="1:12" x14ac:dyDescent="0.35">
      <c r="A7" t="s">
        <v>23</v>
      </c>
      <c r="B7">
        <v>150</v>
      </c>
    </row>
    <row r="9" spans="1:12" x14ac:dyDescent="0.35">
      <c r="A9" t="s">
        <v>24</v>
      </c>
      <c r="B9">
        <v>2900</v>
      </c>
      <c r="C9" t="s">
        <v>10</v>
      </c>
    </row>
    <row r="10" spans="1:12" x14ac:dyDescent="0.35">
      <c r="A10" t="s">
        <v>25</v>
      </c>
      <c r="B10">
        <v>590</v>
      </c>
      <c r="C10" t="s">
        <v>19</v>
      </c>
    </row>
    <row r="11" spans="1:12" x14ac:dyDescent="0.35">
      <c r="A11" t="s">
        <v>26</v>
      </c>
      <c r="B11">
        <v>150</v>
      </c>
    </row>
    <row r="13" spans="1:12" x14ac:dyDescent="0.35">
      <c r="A13" s="1" t="s">
        <v>27</v>
      </c>
      <c r="B13" s="1"/>
      <c r="C13" s="1"/>
      <c r="D13" s="1"/>
      <c r="E13" s="1"/>
      <c r="F13" s="1"/>
      <c r="G13">
        <v>10</v>
      </c>
      <c r="H13" t="s">
        <v>10</v>
      </c>
    </row>
    <row r="14" spans="1:12" x14ac:dyDescent="0.35">
      <c r="A14" t="s">
        <v>29</v>
      </c>
      <c r="B14">
        <f>_C1*D1_^2.63*(hL/L1_)^0.54/279000</f>
        <v>109.96191259135293</v>
      </c>
      <c r="C14" t="s">
        <v>1</v>
      </c>
      <c r="E14" t="s">
        <v>28</v>
      </c>
      <c r="F14">
        <f>Q1_10/total_10*Q</f>
        <v>147.88312007304344</v>
      </c>
      <c r="G14" t="s">
        <v>35</v>
      </c>
      <c r="H14">
        <f>Q1_/1000*4/PI()/(D1_/1000)^2</f>
        <v>1.7290232917889552</v>
      </c>
      <c r="J14" t="s">
        <v>38</v>
      </c>
      <c r="K14">
        <f>L1_*(279000*Q1_/_C1/D1_^2.63)^1.852</f>
        <v>17.302706267812663</v>
      </c>
      <c r="L14" t="s">
        <v>10</v>
      </c>
    </row>
    <row r="15" spans="1:12" x14ac:dyDescent="0.35">
      <c r="A15" t="s">
        <v>30</v>
      </c>
      <c r="B15">
        <f>_C2*D2_^2.63*(hL/L2_)^0.54/279000</f>
        <v>55.961123349459314</v>
      </c>
      <c r="C15" t="s">
        <v>1</v>
      </c>
      <c r="E15" t="s">
        <v>2</v>
      </c>
      <c r="F15">
        <f>Q2_10/total_10*Q</f>
        <v>75.259745203461136</v>
      </c>
      <c r="G15" t="s">
        <v>36</v>
      </c>
      <c r="H15">
        <f>Q2_/1000*4/PI()/(D2_/1000)^2</f>
        <v>1.6636056201343612</v>
      </c>
      <c r="J15" t="s">
        <v>39</v>
      </c>
      <c r="K15">
        <f>L2_*(279000*Q2_/_C2/D2_^2.63)^1.852</f>
        <v>17.303121682528381</v>
      </c>
      <c r="L15" t="s">
        <v>10</v>
      </c>
    </row>
    <row r="16" spans="1:12" x14ac:dyDescent="0.35">
      <c r="A16" t="s">
        <v>31</v>
      </c>
      <c r="B16">
        <f>_C3*D3_^2.63*(hL/L3_)^0.54/279000</f>
        <v>487.67773418128127</v>
      </c>
      <c r="C16" t="s">
        <v>1</v>
      </c>
      <c r="E16" t="s">
        <v>33</v>
      </c>
      <c r="F16">
        <f>Q3_10/total_10*Q</f>
        <v>655.85713472349539</v>
      </c>
      <c r="G16" t="s">
        <v>37</v>
      </c>
      <c r="H16">
        <f>Q3_/1000*4/PI()/(D3_/1000)^2</f>
        <v>2.39891766626444</v>
      </c>
      <c r="J16" t="s">
        <v>40</v>
      </c>
      <c r="K16">
        <f>L3_*(279000*Q3_/_C3/D3_^2.63)^1.852</f>
        <v>17.302607353418285</v>
      </c>
      <c r="L16" t="s">
        <v>10</v>
      </c>
    </row>
    <row r="17" spans="1:6" x14ac:dyDescent="0.35">
      <c r="A17" t="s">
        <v>32</v>
      </c>
      <c r="B17">
        <f>Q1_10+Q2_10+Q3_10</f>
        <v>653.60077012209354</v>
      </c>
      <c r="C17" t="s">
        <v>1</v>
      </c>
      <c r="E17" t="s">
        <v>34</v>
      </c>
      <c r="F17">
        <f>Q1_+Q2_+Q3_</f>
        <v>879</v>
      </c>
    </row>
  </sheetData>
  <mergeCells count="1">
    <mergeCell ref="A13:F1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6252-3E94-430C-AEB9-2F0B3FE7534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18F8-ED9E-4568-B198-A0CFA5CECD3D}">
  <dimension ref="A1:P21"/>
  <sheetViews>
    <sheetView workbookViewId="0">
      <selection activeCell="P19" sqref="P19"/>
    </sheetView>
  </sheetViews>
  <sheetFormatPr defaultRowHeight="14.5" x14ac:dyDescent="0.35"/>
  <cols>
    <col min="1" max="1" width="11" bestFit="1" customWidth="1"/>
  </cols>
  <sheetData>
    <row r="1" spans="1:7" x14ac:dyDescent="0.35">
      <c r="A1" t="s">
        <v>41</v>
      </c>
      <c r="B1">
        <v>695</v>
      </c>
      <c r="C1" t="s">
        <v>10</v>
      </c>
      <c r="E1" t="s">
        <v>67</v>
      </c>
      <c r="F1">
        <v>237</v>
      </c>
      <c r="G1" t="s">
        <v>68</v>
      </c>
    </row>
    <row r="2" spans="1:7" x14ac:dyDescent="0.35">
      <c r="A2" t="s">
        <v>42</v>
      </c>
      <c r="B2">
        <v>254.5</v>
      </c>
      <c r="C2" t="s">
        <v>19</v>
      </c>
    </row>
    <row r="3" spans="1:7" x14ac:dyDescent="0.35">
      <c r="A3" t="s">
        <v>43</v>
      </c>
      <c r="B3">
        <v>110</v>
      </c>
    </row>
    <row r="5" spans="1:7" x14ac:dyDescent="0.35">
      <c r="A5" t="s">
        <v>44</v>
      </c>
      <c r="B5">
        <v>800</v>
      </c>
      <c r="C5" t="s">
        <v>10</v>
      </c>
    </row>
    <row r="6" spans="1:7" x14ac:dyDescent="0.35">
      <c r="A6" t="s">
        <v>45</v>
      </c>
      <c r="B6">
        <v>128.19999999999999</v>
      </c>
      <c r="C6" t="s">
        <v>19</v>
      </c>
    </row>
    <row r="7" spans="1:7" x14ac:dyDescent="0.35">
      <c r="A7" t="s">
        <v>46</v>
      </c>
      <c r="B7">
        <v>130</v>
      </c>
    </row>
    <row r="9" spans="1:7" x14ac:dyDescent="0.35">
      <c r="A9" t="s">
        <v>47</v>
      </c>
      <c r="B9">
        <v>1105</v>
      </c>
      <c r="C9" t="s">
        <v>10</v>
      </c>
    </row>
    <row r="10" spans="1:7" x14ac:dyDescent="0.35">
      <c r="A10" t="s">
        <v>48</v>
      </c>
      <c r="B10">
        <v>202.7</v>
      </c>
      <c r="C10" t="s">
        <v>19</v>
      </c>
    </row>
    <row r="11" spans="1:7" x14ac:dyDescent="0.35">
      <c r="A11" t="s">
        <v>49</v>
      </c>
      <c r="B11">
        <v>140</v>
      </c>
    </row>
    <row r="13" spans="1:7" x14ac:dyDescent="0.35">
      <c r="A13" t="s">
        <v>50</v>
      </c>
      <c r="B13">
        <v>655</v>
      </c>
      <c r="C13" t="s">
        <v>10</v>
      </c>
    </row>
    <row r="14" spans="1:7" x14ac:dyDescent="0.35">
      <c r="A14" t="s">
        <v>51</v>
      </c>
      <c r="B14">
        <v>254.5</v>
      </c>
      <c r="C14" t="s">
        <v>19</v>
      </c>
    </row>
    <row r="15" spans="1:7" x14ac:dyDescent="0.35">
      <c r="A15" t="s">
        <v>52</v>
      </c>
      <c r="B15">
        <v>110</v>
      </c>
    </row>
    <row r="17" spans="1:16" x14ac:dyDescent="0.35">
      <c r="A17" s="1" t="s">
        <v>53</v>
      </c>
      <c r="B17" s="1"/>
      <c r="C17" s="1"/>
      <c r="D17" s="1" t="s">
        <v>56</v>
      </c>
      <c r="E17" s="1"/>
      <c r="F17" s="1"/>
      <c r="G17" s="1" t="s">
        <v>59</v>
      </c>
      <c r="H17" s="1"/>
      <c r="I17" s="1"/>
      <c r="J17" s="1" t="s">
        <v>62</v>
      </c>
      <c r="K17" s="1"/>
      <c r="L17" s="1"/>
      <c r="M17" t="s">
        <v>61</v>
      </c>
      <c r="P17" t="s">
        <v>69</v>
      </c>
    </row>
    <row r="18" spans="1:16" x14ac:dyDescent="0.35">
      <c r="A18" t="s">
        <v>28</v>
      </c>
      <c r="B18">
        <f>c_1*diam1^2.63*(10/length1)^0.54/279000</f>
        <v>15.290301964991283</v>
      </c>
      <c r="D18" t="s">
        <v>57</v>
      </c>
      <c r="E18">
        <f>length1*(279000*100*percent/c_1/diam1^2.63)^1.852</f>
        <v>24.642526148633184</v>
      </c>
      <c r="G18" t="s">
        <v>60</v>
      </c>
      <c r="H18">
        <f>(279000*100/100/(hL_BC1/1000)^0.54)^0.3802</f>
        <v>251.54669040303722</v>
      </c>
      <c r="J18" t="s">
        <v>63</v>
      </c>
      <c r="K18">
        <f>lenAB*(279000*100/cAB/dAB^2.63)^1.852</f>
        <v>13.584907709087608</v>
      </c>
      <c r="N18">
        <f>(279000*100/100/(HL_AD/1000)^0.54)^0.3802</f>
        <v>216.62652543733429</v>
      </c>
      <c r="P18">
        <f>100*equivAD^2.63*(deltaP/9.81/1000)^0.54/279000</f>
        <v>66.708355858041742</v>
      </c>
    </row>
    <row r="19" spans="1:16" x14ac:dyDescent="0.35">
      <c r="A19" t="s">
        <v>54</v>
      </c>
      <c r="B19">
        <f>c_2*diam2^2.63*(10/length2)^0.54/279000</f>
        <v>46.145946829688008</v>
      </c>
      <c r="D19" t="s">
        <v>58</v>
      </c>
      <c r="E19">
        <f>length2*(279000*100*(1-percent)/c_2/diam2^2.63)^1.852</f>
        <v>24.641889415893431</v>
      </c>
      <c r="H19">
        <f>(279000*100/100/(hL_BC2/1000)^0.54)^0.3802</f>
        <v>251.54802485577781</v>
      </c>
      <c r="J19" t="s">
        <v>64</v>
      </c>
      <c r="K19">
        <f>hL_BC1</f>
        <v>24.642526148633184</v>
      </c>
    </row>
    <row r="20" spans="1:16" x14ac:dyDescent="0.35">
      <c r="A20" t="s">
        <v>55</v>
      </c>
      <c r="B20">
        <f>Q1_/(Q1_+Q2_)</f>
        <v>0.24888078723835602</v>
      </c>
      <c r="J20" t="s">
        <v>65</v>
      </c>
      <c r="K20">
        <f>lenCD*(279000*100/cCD/diamCD^2.63)^1.852</f>
        <v>12.803042517197674</v>
      </c>
    </row>
    <row r="21" spans="1:16" x14ac:dyDescent="0.35">
      <c r="J21" t="s">
        <v>66</v>
      </c>
      <c r="K21">
        <f>HL_AB+HL_BC+HL_CD</f>
        <v>51.030476374918464</v>
      </c>
    </row>
  </sheetData>
  <mergeCells count="4">
    <mergeCell ref="A17:C17"/>
    <mergeCell ref="D17:F17"/>
    <mergeCell ref="G17:I17"/>
    <mergeCell ref="J17:L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B346-FC24-4471-8E17-C293774D14B9}">
  <dimension ref="A2:K25"/>
  <sheetViews>
    <sheetView tabSelected="1" workbookViewId="0">
      <selection activeCell="B26" sqref="B26"/>
    </sheetView>
  </sheetViews>
  <sheetFormatPr defaultRowHeight="14.5" x14ac:dyDescent="0.35"/>
  <cols>
    <col min="1" max="1" width="13" bestFit="1" customWidth="1"/>
    <col min="9" max="9" width="9.453125" bestFit="1" customWidth="1"/>
  </cols>
  <sheetData>
    <row r="2" spans="1:11" x14ac:dyDescent="0.35">
      <c r="B2" t="s">
        <v>70</v>
      </c>
      <c r="C2" t="s">
        <v>71</v>
      </c>
      <c r="D2" t="s">
        <v>5</v>
      </c>
      <c r="E2" t="s">
        <v>72</v>
      </c>
      <c r="G2" t="s">
        <v>73</v>
      </c>
      <c r="J2" t="s">
        <v>70</v>
      </c>
      <c r="K2" t="s">
        <v>5</v>
      </c>
    </row>
    <row r="3" spans="1:11" x14ac:dyDescent="0.35">
      <c r="A3" t="s">
        <v>74</v>
      </c>
      <c r="B3">
        <v>885</v>
      </c>
      <c r="C3">
        <v>202.7</v>
      </c>
      <c r="D3">
        <v>150</v>
      </c>
      <c r="E3">
        <v>400</v>
      </c>
      <c r="G3">
        <f>length1+diam1/1000*LeD_1</f>
        <v>966.08</v>
      </c>
      <c r="I3" t="s">
        <v>75</v>
      </c>
      <c r="J3">
        <v>1000</v>
      </c>
      <c r="K3">
        <v>100</v>
      </c>
    </row>
    <row r="4" spans="1:11" x14ac:dyDescent="0.35">
      <c r="A4" t="s">
        <v>76</v>
      </c>
      <c r="B4">
        <v>755</v>
      </c>
      <c r="C4">
        <v>154.1</v>
      </c>
      <c r="D4">
        <v>120</v>
      </c>
      <c r="E4">
        <v>340</v>
      </c>
      <c r="G4">
        <f>length2+diam2/1000*LeD_2</f>
        <v>807.39400000000001</v>
      </c>
      <c r="I4" t="s">
        <v>77</v>
      </c>
      <c r="J4">
        <v>1000</v>
      </c>
      <c r="K4">
        <v>100</v>
      </c>
    </row>
    <row r="5" spans="1:11" x14ac:dyDescent="0.35">
      <c r="A5" t="s">
        <v>78</v>
      </c>
      <c r="B5">
        <v>1140</v>
      </c>
      <c r="C5">
        <v>254.5</v>
      </c>
      <c r="D5">
        <v>105</v>
      </c>
      <c r="E5">
        <v>180</v>
      </c>
      <c r="G5">
        <f>length3+diam3/1000*LeD_3</f>
        <v>1185.81</v>
      </c>
    </row>
    <row r="6" spans="1:11" x14ac:dyDescent="0.35">
      <c r="A6" t="s">
        <v>79</v>
      </c>
      <c r="B6">
        <v>225</v>
      </c>
      <c r="C6">
        <v>333.4</v>
      </c>
      <c r="D6">
        <v>110</v>
      </c>
      <c r="E6">
        <v>100</v>
      </c>
      <c r="G6">
        <f>lengthAB+diamAB/1000*LeD_AB</f>
        <v>258.33999999999997</v>
      </c>
    </row>
    <row r="7" spans="1:11" x14ac:dyDescent="0.35">
      <c r="A7" t="s">
        <v>80</v>
      </c>
      <c r="B7">
        <v>180</v>
      </c>
      <c r="C7">
        <v>381</v>
      </c>
      <c r="D7">
        <v>110</v>
      </c>
      <c r="E7">
        <v>35</v>
      </c>
      <c r="G7">
        <f>lengthCD+diamCD/1000*LeD_CD</f>
        <v>193.33500000000001</v>
      </c>
    </row>
    <row r="9" spans="1:11" x14ac:dyDescent="0.35">
      <c r="A9" t="s">
        <v>28</v>
      </c>
      <c r="B9">
        <v>1</v>
      </c>
    </row>
    <row r="10" spans="1:11" x14ac:dyDescent="0.35">
      <c r="A10" t="s">
        <v>81</v>
      </c>
      <c r="B10">
        <f>(Leff1/Leff2)^(1/1.852)*(C_2/C_1)*(diam2/diam1)^2.63</f>
        <v>0.42861078150640441</v>
      </c>
    </row>
    <row r="11" spans="1:11" x14ac:dyDescent="0.35">
      <c r="A11" t="s">
        <v>82</v>
      </c>
      <c r="B11">
        <f>(Leff1/Leff3)^(1/1.852)*(C_3/C_1)*(diam3/diam1)^2.63</f>
        <v>1.1401823536514188</v>
      </c>
    </row>
    <row r="12" spans="1:11" x14ac:dyDescent="0.35">
      <c r="A12" t="s">
        <v>90</v>
      </c>
      <c r="B12">
        <f>Q2multiplier/(Q1_+Q2multiplier+Q3multiplier)</f>
        <v>0.16685297684746078</v>
      </c>
    </row>
    <row r="14" spans="1:11" x14ac:dyDescent="0.35">
      <c r="A14" t="s">
        <v>83</v>
      </c>
      <c r="B14">
        <v>100</v>
      </c>
    </row>
    <row r="15" spans="1:11" x14ac:dyDescent="0.35">
      <c r="D15" t="s">
        <v>84</v>
      </c>
    </row>
    <row r="16" spans="1:11" x14ac:dyDescent="0.35">
      <c r="A16" t="s">
        <v>85</v>
      </c>
      <c r="B16">
        <f>tempFlow/(Q1_+Q2multiplier+Q3multiplier)</f>
        <v>38.928786686381478</v>
      </c>
      <c r="D16">
        <f>Leff1*(279000*Q1temp/C_1/diam1^(2.63))^1.852</f>
        <v>5.6130866518173157</v>
      </c>
    </row>
    <row r="17" spans="1:5" x14ac:dyDescent="0.35">
      <c r="A17" t="s">
        <v>86</v>
      </c>
      <c r="B17">
        <f>Q1temp*Q2multiplier</f>
        <v>16.685297684746075</v>
      </c>
      <c r="D17">
        <f>Leff2*(279000*Q2temp/C_2/diam2^(2.63))^1.852</f>
        <v>5.6130866518173015</v>
      </c>
    </row>
    <row r="18" spans="1:5" x14ac:dyDescent="0.35">
      <c r="A18" t="s">
        <v>87</v>
      </c>
      <c r="B18">
        <f>Q1temp*Q3multiplier</f>
        <v>44.385915628872453</v>
      </c>
      <c r="D18">
        <f>Leff3*(279000*Q3temp/C_3/diam3^(2.63))^1.852</f>
        <v>5.6130866518173077</v>
      </c>
    </row>
    <row r="20" spans="1:5" x14ac:dyDescent="0.35">
      <c r="A20" t="s">
        <v>88</v>
      </c>
      <c r="B20">
        <f>(279000*tempFlow/equivPipe1C/(hLQ1temp/equivPipe1Length)^(0.54))^0.3802</f>
        <v>340.82041888204844</v>
      </c>
      <c r="D20">
        <f>equivPipe1Length*(279000*tempFlow/equivPipe1C/equivDiamBC^(2.63))^1.852</f>
        <v>5.6225660299194571</v>
      </c>
      <c r="E20" t="s">
        <v>89</v>
      </c>
    </row>
    <row r="22" spans="1:5" x14ac:dyDescent="0.35">
      <c r="A22" t="s">
        <v>91</v>
      </c>
      <c r="B22">
        <f>LeffAB*(279000*tempFlow/cAB/diamAB^2.63)^1.852</f>
        <v>1.3552876563562166</v>
      </c>
    </row>
    <row r="23" spans="1:5" x14ac:dyDescent="0.35">
      <c r="A23" t="s">
        <v>92</v>
      </c>
      <c r="B23">
        <f>Leff2*(279000*Q2temp/C_2/diam2^2.63)^1.852</f>
        <v>5.6130866518173015</v>
      </c>
    </row>
    <row r="24" spans="1:5" x14ac:dyDescent="0.35">
      <c r="A24" t="s">
        <v>93</v>
      </c>
      <c r="B24">
        <f>LeffCD*(279000*tempFlow/cCD/diamCD^2.63)^1.852</f>
        <v>0.52947331847037671</v>
      </c>
    </row>
    <row r="25" spans="1:5" x14ac:dyDescent="0.35">
      <c r="A25" t="s">
        <v>94</v>
      </c>
      <c r="B25">
        <f>hLAB100+hLBC100+hLCD100</f>
        <v>7.4978476266438943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102</vt:i4>
      </vt:variant>
    </vt:vector>
  </HeadingPairs>
  <TitlesOfParts>
    <vt:vector size="107" baseType="lpstr">
      <vt:lpstr>Q1</vt:lpstr>
      <vt:lpstr>Q2</vt:lpstr>
      <vt:lpstr>Sheet3</vt:lpstr>
      <vt:lpstr>Q4</vt:lpstr>
      <vt:lpstr>Q5</vt:lpstr>
      <vt:lpstr>'Q2'!_C1</vt:lpstr>
      <vt:lpstr>'Q2'!_C2</vt:lpstr>
      <vt:lpstr>'Q2'!_C3</vt:lpstr>
      <vt:lpstr>'Q4'!c_1</vt:lpstr>
      <vt:lpstr>C_1</vt:lpstr>
      <vt:lpstr>'Q4'!c_2</vt:lpstr>
      <vt:lpstr>C_2</vt:lpstr>
      <vt:lpstr>C_3</vt:lpstr>
      <vt:lpstr>'Q1'!cAB</vt:lpstr>
      <vt:lpstr>'Q4'!cAB</vt:lpstr>
      <vt:lpstr>'Q5'!cAB</vt:lpstr>
      <vt:lpstr>'Q1'!cBC</vt:lpstr>
      <vt:lpstr>'Q1'!cCD</vt:lpstr>
      <vt:lpstr>'Q4'!cCD</vt:lpstr>
      <vt:lpstr>'Q5'!cCD</vt:lpstr>
      <vt:lpstr>'Q2'!D1_</vt:lpstr>
      <vt:lpstr>'Q2'!D2_</vt:lpstr>
      <vt:lpstr>'Q2'!D3_</vt:lpstr>
      <vt:lpstr>'Q1'!dAB</vt:lpstr>
      <vt:lpstr>'Q4'!dAB</vt:lpstr>
      <vt:lpstr>'Q1'!dBC</vt:lpstr>
      <vt:lpstr>'Q1'!dCD</vt:lpstr>
      <vt:lpstr>'Q4'!deltaP</vt:lpstr>
      <vt:lpstr>'Q4'!diam1</vt:lpstr>
      <vt:lpstr>diam1</vt:lpstr>
      <vt:lpstr>'Q4'!diam2</vt:lpstr>
      <vt:lpstr>diam2</vt:lpstr>
      <vt:lpstr>diam3</vt:lpstr>
      <vt:lpstr>diamAB</vt:lpstr>
      <vt:lpstr>'Q4'!diamCD</vt:lpstr>
      <vt:lpstr>diamCD</vt:lpstr>
      <vt:lpstr>'Q4'!equivAD</vt:lpstr>
      <vt:lpstr>'Q1'!equivDiam</vt:lpstr>
      <vt:lpstr>equivDiamBC</vt:lpstr>
      <vt:lpstr>equivPipe1C</vt:lpstr>
      <vt:lpstr>equivPipe1Length</vt:lpstr>
      <vt:lpstr>'Q2'!hL</vt:lpstr>
      <vt:lpstr>'Q4'!HL_AB</vt:lpstr>
      <vt:lpstr>'Q4'!HL_AD</vt:lpstr>
      <vt:lpstr>'Q4'!HL_BC</vt:lpstr>
      <vt:lpstr>'Q4'!hL_BC1</vt:lpstr>
      <vt:lpstr>'Q4'!hL_BC2</vt:lpstr>
      <vt:lpstr>'Q4'!HL_CD</vt:lpstr>
      <vt:lpstr>'Q1'!hlAB</vt:lpstr>
      <vt:lpstr>'Q5'!hLAB100</vt:lpstr>
      <vt:lpstr>'Q5'!hLAD100</vt:lpstr>
      <vt:lpstr>'Q1'!hlBC</vt:lpstr>
      <vt:lpstr>'Q5'!hLBC100</vt:lpstr>
      <vt:lpstr>'Q1'!hlCD</vt:lpstr>
      <vt:lpstr>'Q5'!hLCD100</vt:lpstr>
      <vt:lpstr>'Q1'!hLequiv</vt:lpstr>
      <vt:lpstr>hLQ1temp</vt:lpstr>
      <vt:lpstr>'Q1'!hlTotal</vt:lpstr>
      <vt:lpstr>'Q2'!L1_</vt:lpstr>
      <vt:lpstr>'Q2'!L2_</vt:lpstr>
      <vt:lpstr>'Q2'!L3_</vt:lpstr>
      <vt:lpstr>'Q1'!lAB</vt:lpstr>
      <vt:lpstr>'Q1'!lBC</vt:lpstr>
      <vt:lpstr>'Q1'!lCD</vt:lpstr>
      <vt:lpstr>LeD_1</vt:lpstr>
      <vt:lpstr>LeD_2</vt:lpstr>
      <vt:lpstr>LeD_3</vt:lpstr>
      <vt:lpstr>LeD_AB</vt:lpstr>
      <vt:lpstr>LeD_CD</vt:lpstr>
      <vt:lpstr>Leff1</vt:lpstr>
      <vt:lpstr>Leff2</vt:lpstr>
      <vt:lpstr>Leff3</vt:lpstr>
      <vt:lpstr>'Q5'!LeffAB</vt:lpstr>
      <vt:lpstr>'Q5'!LeffCD</vt:lpstr>
      <vt:lpstr>'Q4'!lenAB</vt:lpstr>
      <vt:lpstr>'Q4'!lenCD</vt:lpstr>
      <vt:lpstr>'Q4'!length1</vt:lpstr>
      <vt:lpstr>length1</vt:lpstr>
      <vt:lpstr>'Q4'!length2</vt:lpstr>
      <vt:lpstr>length2</vt:lpstr>
      <vt:lpstr>length3</vt:lpstr>
      <vt:lpstr>lengthAB</vt:lpstr>
      <vt:lpstr>lengthCD</vt:lpstr>
      <vt:lpstr>'Q1'!nearest5</vt:lpstr>
      <vt:lpstr>'Q4'!percent</vt:lpstr>
      <vt:lpstr>'Q1'!Q</vt:lpstr>
      <vt:lpstr>'Q2'!Q</vt:lpstr>
      <vt:lpstr>'Q2'!Q1_</vt:lpstr>
      <vt:lpstr>'Q4'!Q1_</vt:lpstr>
      <vt:lpstr>Q1_</vt:lpstr>
      <vt:lpstr>'Q2'!Q1_10</vt:lpstr>
      <vt:lpstr>Q1temp</vt:lpstr>
      <vt:lpstr>'Q1'!Q2_</vt:lpstr>
      <vt:lpstr>'Q2'!Q2_</vt:lpstr>
      <vt:lpstr>'Q4'!Q2_</vt:lpstr>
      <vt:lpstr>'Q2'!Q2_10</vt:lpstr>
      <vt:lpstr>Q2multiplier</vt:lpstr>
      <vt:lpstr>Q2temp</vt:lpstr>
      <vt:lpstr>'Q2'!Q3_</vt:lpstr>
      <vt:lpstr>'Q2'!Q3_10</vt:lpstr>
      <vt:lpstr>Q3multiplier</vt:lpstr>
      <vt:lpstr>Q3temp</vt:lpstr>
      <vt:lpstr>tempFlow</vt:lpstr>
      <vt:lpstr>'Q2'!total_10</vt:lpstr>
      <vt:lpstr>'Q2'!v1_</vt:lpstr>
      <vt:lpstr>'Q2'!v2_</vt:lpstr>
      <vt:lpstr>'Q2'!v3_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Dave Morgan</cp:lastModifiedBy>
  <cp:revision/>
  <dcterms:created xsi:type="dcterms:W3CDTF">2014-10-17T16:03:32Z</dcterms:created>
  <dcterms:modified xsi:type="dcterms:W3CDTF">2020-11-30T04:26:08Z</dcterms:modified>
  <cp:category/>
  <cp:contentStatus/>
</cp:coreProperties>
</file>