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drawings/drawing9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drawings/drawing10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11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1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drawings/drawing1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drawings/drawing16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drawings/drawing17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drawings/drawing18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drawings/drawing1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drawings/drawing2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drawings/drawing2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drawings/drawing22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drawings/drawing23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Derek\OneDrive\Shared Files\"/>
    </mc:Choice>
  </mc:AlternateContent>
  <xr:revisionPtr revIDLastSave="1" documentId="13_ncr:11_{34ADAC35-FD77-46CE-A729-A854ACE58603}" xr6:coauthVersionLast="45" xr6:coauthVersionMax="45" xr10:uidLastSave="{5C570DD5-85B6-44C3-91A4-B89046084C2E}"/>
  <bookViews>
    <workbookView xWindow="-120" yWindow="-120" windowWidth="29040" windowHeight="15840" tabRatio="0" firstSheet="1" activeTab="1" xr2:uid="{00000000-000D-0000-FFFF-FFFF00000000}"/>
  </bookViews>
  <sheets>
    <sheet name="Main Menu" sheetId="14" r:id="rId1"/>
    <sheet name="Job &amp; Motor Data" sheetId="4" r:id="rId2"/>
    <sheet name="As Found Equip" sheetId="46" r:id="rId3"/>
    <sheet name="Accessories" sheetId="44" r:id="rId4"/>
    <sheet name="Stator Leads" sheetId="43" r:id="rId5"/>
    <sheet name="As Found Tests" sheetId="9" r:id="rId6"/>
    <sheet name="Mechanical Inspections" sheetId="22" r:id="rId7"/>
    <sheet name="Mechanical Inspections 2" sheetId="45" r:id="rId8"/>
    <sheet name="Electrical Inspections" sheetId="21" r:id="rId9"/>
    <sheet name="Required" sheetId="20" r:id="rId10"/>
    <sheet name="Generic Report" sheetId="41" r:id="rId11"/>
    <sheet name="REWIND WORK" sheetId="29" r:id="rId12"/>
    <sheet name="Summary of Issues" sheetId="30" r:id="rId13"/>
    <sheet name="Released Electrical" sheetId="27" r:id="rId14"/>
    <sheet name="Released Acc" sheetId="49" r:id="rId15"/>
    <sheet name="Released After Sizes" sheetId="26" r:id="rId16"/>
    <sheet name="Released Misc Fits" sheetId="51" r:id="rId17"/>
    <sheet name="Pre-Assembly Checklist" sheetId="33" r:id="rId18"/>
    <sheet name="Balancing and Bearing" sheetId="31" r:id="rId19"/>
    <sheet name="Assembly Checklist" sheetId="36" r:id="rId20"/>
    <sheet name="Acceptance Testing" sheetId="28" r:id="rId21"/>
    <sheet name="Quality Assurance" sheetId="35" r:id="rId22"/>
    <sheet name="Customer Report" sheetId="47" r:id="rId23"/>
    <sheet name="Unformatted" sheetId="8" r:id="rId24"/>
    <sheet name="Tolerances" sheetId="11" r:id="rId25"/>
    <sheet name="Data" sheetId="3" r:id="rId26"/>
  </sheets>
  <externalReferences>
    <externalReference r:id="rId27"/>
  </externalReferences>
  <definedNames>
    <definedName name="_ComboBox1_Range" localSheetId="1" hidden="1">{19.5,111,FALSE,2,131.25,136.5}</definedName>
    <definedName name="_ComboBox2_Range" localSheetId="1" hidden="1">{19.5,528,FALSE,2,99,128.25}</definedName>
    <definedName name="_ComboBox3_Range" localSheetId="1" hidden="1">{17.25,111,FALSE,2,98.25,139.5}</definedName>
    <definedName name="_ComboBox4_Range" localSheetId="1" hidden="1">{19.5,717.75,FALSE,2,97.5,115.5}</definedName>
    <definedName name="_ComboBox5_Range" localSheetId="1" hidden="1">{19.5,529.5,FALSE,2,131.25,116.25}</definedName>
    <definedName name="_Label1_Range" localSheetId="22" hidden="1">{40.5,10.5,TRUE,2,1519.5,70.5}</definedName>
    <definedName name="_Label1_Range" localSheetId="10" hidden="1">{40.5,10.5,TRUE,2,1519.5,70.5}</definedName>
    <definedName name="_Label10_Range" localSheetId="22" hidden="1">{51,1.5,TRUE,2,2069.25,79.5}</definedName>
    <definedName name="_Label10_Range" localSheetId="10" hidden="1">{51,1.5,TRUE,2,2069.25,79.5}</definedName>
    <definedName name="_Label2_Range" localSheetId="22" hidden="1">{27.75,11.25,TRUE,2,1574.25,69.75}</definedName>
    <definedName name="_Label2_Range" localSheetId="10" hidden="1">{27.75,11.25,TRUE,2,1574.25,69.75}</definedName>
    <definedName name="_Label3_Range" localSheetId="22" hidden="1">{40.5,11.25,TRUE,2,1637.25,70.5}</definedName>
    <definedName name="_Label3_Range" localSheetId="10" hidden="1">{40.5,11.25,TRUE,2,1637.25,70.5}</definedName>
    <definedName name="_Label4_Range" localSheetId="22" hidden="1">{41.25,11.25,TRUE,2,1695.75,67.5}</definedName>
    <definedName name="_Label4_Range" localSheetId="10" hidden="1">{41.25,11.25,TRUE,2,1695.75,67.5}</definedName>
    <definedName name="_Label5_Range" localSheetId="22" hidden="1">{40.5,11.25,TRUE,2,1745.25,68.25}</definedName>
    <definedName name="_Label5_Range" localSheetId="10" hidden="1">{40.5,11.25,TRUE,2,1745.25,68.25}</definedName>
    <definedName name="_Label6_Range" localSheetId="22" hidden="1">{27,11.25,TRUE,2,1794,69}</definedName>
    <definedName name="_Label6_Range" localSheetId="10" hidden="1">{27,11.25,TRUE,2,1794,69}</definedName>
    <definedName name="_Label7_Range" localSheetId="22" hidden="1">{40.5,11.25,TRUE,2,1867.5,68.25}</definedName>
    <definedName name="_Label7_Range" localSheetId="10" hidden="1">{40.5,11.25,TRUE,2,1867.5,68.25}</definedName>
    <definedName name="_Label8_Range" localSheetId="22" hidden="1">{40.5,11.25,TRUE,2,1923,69}</definedName>
    <definedName name="_Label8_Range" localSheetId="10" hidden="1">{40.5,11.25,TRUE,2,1923,69}</definedName>
    <definedName name="_Label9_Range" localSheetId="22" hidden="1">{51,0.75,TRUE,2,2001.75,78.75}</definedName>
    <definedName name="_Label9_Range" localSheetId="10" hidden="1">{51,0.75,TRUE,2,2001.75,78.75}</definedName>
    <definedName name="_OptionButton1_Range" localSheetId="1" hidden="1">{20.25,724.5,FALSE,2,155.25,80.25}</definedName>
    <definedName name="_OptionButton2_Range" localSheetId="1" hidden="1">{19.5,724.5,FALSE,2,172.5,91.5}</definedName>
    <definedName name="_OptionButton3_Range" localSheetId="1" hidden="1">{19.5,724.5,FALSE,2,123,68.25}</definedName>
    <definedName name="_OptionButton4_Range" localSheetId="1" hidden="1">{20.25,724.5,FALSE,2,137.25,65.25}</definedName>
    <definedName name="_TextBox1_Range" localSheetId="22" hidden="1">{51,81.75,FALSE,2,1506,452.25}</definedName>
    <definedName name="_TextBox1_Range" localSheetId="10" hidden="1">{51,81.75,FALSE,2,1506,452.25}</definedName>
    <definedName name="_TextBox1_Range" localSheetId="1" hidden="1">{36,105,FALSE,2,249.75,306}</definedName>
    <definedName name="_TextBox10_Range" localSheetId="22" hidden="1">{66,81.75,FALSE,2,1989,453}</definedName>
    <definedName name="_TextBox10_Range" localSheetId="10" hidden="1">{66,81.75,FALSE,2,1989,453}</definedName>
    <definedName name="_TextBox11_Range" localSheetId="22" hidden="1">{50.25,81.75,FALSE,2,1852.5,452.25}</definedName>
    <definedName name="_TextBox11_Range" localSheetId="10" hidden="1">{50.25,81.75,FALSE,2,1852.5,452.25}</definedName>
    <definedName name="_TextBox2_Range" localSheetId="22" hidden="1">{41.25,81.75,FALSE,2,1560.75,451.5}</definedName>
    <definedName name="_TextBox2_Range" localSheetId="10" hidden="1">{41.25,81.75,FALSE,2,1560.75,451.5}</definedName>
    <definedName name="_TextBox2_Range" localSheetId="1" hidden="1">{58.5,104.25,FALSE,2,294.75,306}</definedName>
    <definedName name="_TextBox3_Range" localSheetId="22" hidden="1">{45,81.75,FALSE,2,1736.25,452.25}</definedName>
    <definedName name="_TextBox3_Range" localSheetId="10" hidden="1">{45,81.75,FALSE,2,1736.25,452.25}</definedName>
    <definedName name="_TextBox4_Range" localSheetId="22" hidden="1">{43.5,81.75,FALSE,2,1784.25,452.25}</definedName>
    <definedName name="_TextBox4_Range" localSheetId="10" hidden="1">{43.5,81.75,FALSE,2,1784.25,452.25}</definedName>
    <definedName name="_TextBox5_Range" localSheetId="22" hidden="1">{50.25,81.75,FALSE,2,1626,450}</definedName>
    <definedName name="_TextBox5_Range" localSheetId="10" hidden="1">{50.25,81.75,FALSE,2,1626,450}</definedName>
    <definedName name="_TextBox6_Range" localSheetId="22" hidden="1">{54,81.75,FALSE,2,1679.25,451.5}</definedName>
    <definedName name="_TextBox6_Range" localSheetId="10" hidden="1">{54,81.75,FALSE,2,1679.25,451.5}</definedName>
    <definedName name="_TextBox7_Range" localSheetId="22" hidden="1">{56.25,81.75,FALSE,2,1907.25,452.25}</definedName>
    <definedName name="_TextBox7_Range" localSheetId="10" hidden="1">{56.25,81.75,FALSE,2,1907.25,452.25}</definedName>
    <definedName name="_TextBox9_Range" localSheetId="22" hidden="1">{78.75,81.75,FALSE,2,2058.75,453}</definedName>
    <definedName name="_TextBox9_Range" localSheetId="10" hidden="1">{78.75,81.75,FALSE,2,2058.75,453}</definedName>
    <definedName name="Motorlist">[1]qryReportExcel!$B$1:$HY$5000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8" i="8" l="1"/>
  <c r="F442" i="8" l="1"/>
  <c r="C452" i="8"/>
  <c r="E337" i="8"/>
  <c r="C142" i="8" l="1"/>
  <c r="C141" i="8"/>
  <c r="C106" i="8"/>
  <c r="C99" i="8"/>
  <c r="C58" i="8"/>
  <c r="C48" i="8"/>
  <c r="C64" i="8" l="1"/>
  <c r="P529" i="8" l="1"/>
  <c r="P528" i="8"/>
  <c r="P527" i="8"/>
  <c r="P526" i="8"/>
  <c r="P525" i="8"/>
  <c r="P524" i="8"/>
  <c r="G504" i="8"/>
  <c r="G503" i="8"/>
  <c r="I504" i="8"/>
  <c r="I503" i="8"/>
  <c r="E347" i="8"/>
  <c r="G184" i="47"/>
  <c r="G181" i="47"/>
  <c r="G177" i="47"/>
  <c r="G174" i="47"/>
  <c r="G184" i="41"/>
  <c r="G181" i="41"/>
  <c r="G177" i="41"/>
  <c r="G174" i="41"/>
  <c r="F170" i="8"/>
  <c r="C170" i="8" s="1"/>
  <c r="F169" i="8"/>
  <c r="C169" i="8" s="1"/>
  <c r="E129" i="8"/>
  <c r="E245" i="8" l="1"/>
  <c r="D37" i="44"/>
  <c r="V3" i="44"/>
  <c r="E18" i="44"/>
  <c r="C113" i="8"/>
  <c r="C96" i="8"/>
  <c r="E638" i="8" l="1"/>
  <c r="E645" i="8"/>
  <c r="F625" i="47" s="1"/>
  <c r="F648" i="8"/>
  <c r="F647" i="8"/>
  <c r="E648" i="8"/>
  <c r="E647" i="8"/>
  <c r="F641" i="8"/>
  <c r="F640" i="8"/>
  <c r="E641" i="8"/>
  <c r="E640" i="8"/>
  <c r="E633" i="8"/>
  <c r="E632" i="8"/>
  <c r="F631" i="8"/>
  <c r="F630" i="8"/>
  <c r="F629" i="8"/>
  <c r="F628" i="8"/>
  <c r="E631" i="8"/>
  <c r="E630" i="8"/>
  <c r="E629" i="8"/>
  <c r="E628" i="8"/>
  <c r="G712" i="8"/>
  <c r="C718" i="47" s="1"/>
  <c r="G711" i="8"/>
  <c r="C717" i="47" s="1"/>
  <c r="F712" i="8"/>
  <c r="B718" i="47" s="1"/>
  <c r="F711" i="8"/>
  <c r="B717" i="47" s="1"/>
  <c r="E729" i="8"/>
  <c r="E728" i="8"/>
  <c r="E725" i="8"/>
  <c r="E727" i="8"/>
  <c r="E723" i="8"/>
  <c r="E722" i="8"/>
  <c r="E721" i="8"/>
  <c r="E720" i="8"/>
  <c r="E719" i="8"/>
  <c r="E718" i="8"/>
  <c r="G715" i="8"/>
  <c r="G714" i="8"/>
  <c r="F716" i="8"/>
  <c r="F715" i="8"/>
  <c r="F714" i="8"/>
  <c r="H712" i="8"/>
  <c r="H711" i="8"/>
  <c r="G709" i="8"/>
  <c r="F709" i="8"/>
  <c r="E709" i="8"/>
  <c r="C705" i="47" s="1"/>
  <c r="H653" i="8"/>
  <c r="H652" i="8"/>
  <c r="F653" i="8"/>
  <c r="F652" i="8"/>
  <c r="E657" i="8"/>
  <c r="E656" i="8"/>
  <c r="E655" i="8"/>
  <c r="F668" i="8"/>
  <c r="F667" i="8"/>
  <c r="E637" i="8"/>
  <c r="E644" i="8"/>
  <c r="E598" i="8"/>
  <c r="F560" i="47" s="1"/>
  <c r="E594" i="8"/>
  <c r="E590" i="8"/>
  <c r="E586" i="8"/>
  <c r="E776" i="8"/>
  <c r="E775" i="8"/>
  <c r="E774" i="8"/>
  <c r="E773" i="8"/>
  <c r="E772" i="8"/>
  <c r="E771" i="8"/>
  <c r="E770" i="8"/>
  <c r="E769" i="8"/>
  <c r="E534" i="8"/>
  <c r="E533" i="8"/>
  <c r="E532" i="8"/>
  <c r="E531" i="8"/>
  <c r="H529" i="8"/>
  <c r="L529" i="8"/>
  <c r="G229" i="8"/>
  <c r="F229" i="8"/>
  <c r="E229" i="8"/>
  <c r="G228" i="8"/>
  <c r="F228" i="8"/>
  <c r="E228" i="8"/>
  <c r="H528" i="8"/>
  <c r="G529" i="8"/>
  <c r="G528" i="8"/>
  <c r="G526" i="8"/>
  <c r="G525" i="8"/>
  <c r="G524" i="8"/>
  <c r="F529" i="8"/>
  <c r="F528" i="8"/>
  <c r="F527" i="8"/>
  <c r="F526" i="8"/>
  <c r="F525" i="8"/>
  <c r="F524" i="8"/>
  <c r="E478" i="8"/>
  <c r="C478" i="8" s="1"/>
  <c r="E468" i="8"/>
  <c r="C468" i="8" s="1"/>
  <c r="E461" i="8"/>
  <c r="C461" i="8" s="1"/>
  <c r="E452" i="8"/>
  <c r="H483" i="8"/>
  <c r="H482" i="8"/>
  <c r="H481" i="8"/>
  <c r="I617" i="8"/>
  <c r="I616" i="8"/>
  <c r="I615" i="8"/>
  <c r="I614" i="8"/>
  <c r="I613" i="8"/>
  <c r="I612" i="8"/>
  <c r="I611" i="8"/>
  <c r="I610" i="8"/>
  <c r="I609" i="8"/>
  <c r="I608" i="8"/>
  <c r="I607" i="8"/>
  <c r="I606" i="8"/>
  <c r="I605" i="8"/>
  <c r="I604" i="8"/>
  <c r="I521" i="8"/>
  <c r="I520" i="8"/>
  <c r="I519" i="8"/>
  <c r="I518" i="8"/>
  <c r="I517" i="8"/>
  <c r="I516" i="8"/>
  <c r="I515" i="8"/>
  <c r="I514" i="8"/>
  <c r="I513" i="8"/>
  <c r="I512" i="8"/>
  <c r="I511" i="8"/>
  <c r="K499" i="8"/>
  <c r="E491" i="8"/>
  <c r="H491" i="8" s="1"/>
  <c r="E490" i="8"/>
  <c r="H490" i="8" s="1"/>
  <c r="E489" i="8"/>
  <c r="E381" i="47" s="1"/>
  <c r="E492" i="8"/>
  <c r="A384" i="47" s="1"/>
  <c r="E486" i="8"/>
  <c r="A382" i="47" s="1"/>
  <c r="A261" i="47"/>
  <c r="E383" i="47" l="1"/>
  <c r="H229" i="8"/>
  <c r="K229" i="8"/>
  <c r="J229" i="8"/>
  <c r="H228" i="8"/>
  <c r="B188" i="41" s="1"/>
  <c r="K228" i="8"/>
  <c r="J228" i="8"/>
  <c r="B625" i="47"/>
  <c r="E382" i="47"/>
  <c r="H489" i="8"/>
  <c r="A116" i="47"/>
  <c r="E322" i="8"/>
  <c r="E321" i="8"/>
  <c r="E320" i="8"/>
  <c r="E319" i="8"/>
  <c r="E318" i="8"/>
  <c r="E317" i="8"/>
  <c r="E316" i="8"/>
  <c r="E315" i="8"/>
  <c r="E278" i="8"/>
  <c r="E277" i="8"/>
  <c r="E274" i="8"/>
  <c r="E273" i="8"/>
  <c r="E270" i="8"/>
  <c r="E269" i="8"/>
  <c r="E266" i="8"/>
  <c r="E265" i="8"/>
  <c r="E262" i="8"/>
  <c r="E261" i="8"/>
  <c r="E258" i="8"/>
  <c r="E257" i="8"/>
  <c r="E254" i="8"/>
  <c r="E253" i="8"/>
  <c r="E250" i="8"/>
  <c r="E249" i="8"/>
  <c r="E246" i="8"/>
  <c r="E242" i="8"/>
  <c r="E241" i="8"/>
  <c r="E220" i="8"/>
  <c r="E219" i="8"/>
  <c r="J209" i="8"/>
  <c r="G527" i="8" s="1"/>
  <c r="I209" i="8"/>
  <c r="H209" i="8"/>
  <c r="G209" i="8"/>
  <c r="J206" i="8"/>
  <c r="I206" i="8"/>
  <c r="H206" i="8"/>
  <c r="G206" i="8"/>
  <c r="E226" i="8"/>
  <c r="E225" i="8"/>
  <c r="I217" i="8"/>
  <c r="I216" i="8"/>
  <c r="F217" i="8"/>
  <c r="F216" i="8"/>
  <c r="E202" i="8"/>
  <c r="A175" i="41" s="1"/>
  <c r="F185" i="8"/>
  <c r="G125" i="47" s="1"/>
  <c r="F184" i="8"/>
  <c r="E186" i="8"/>
  <c r="H124" i="47" s="1"/>
  <c r="E185" i="8"/>
  <c r="E184" i="8"/>
  <c r="E171" i="8"/>
  <c r="E168" i="8"/>
  <c r="E167" i="8"/>
  <c r="E166" i="8"/>
  <c r="E165" i="8"/>
  <c r="C165" i="8" s="1"/>
  <c r="E164" i="8"/>
  <c r="E143" i="8"/>
  <c r="E142" i="8"/>
  <c r="E141" i="8"/>
  <c r="E140" i="8"/>
  <c r="E139" i="8"/>
  <c r="C139" i="8" s="1"/>
  <c r="E138" i="8"/>
  <c r="E122" i="8"/>
  <c r="C122" i="8" s="1"/>
  <c r="E121" i="8"/>
  <c r="C121" i="8" s="1"/>
  <c r="E120" i="8"/>
  <c r="C120" i="8" s="1"/>
  <c r="E119" i="8"/>
  <c r="C119" i="8" s="1"/>
  <c r="E118" i="8"/>
  <c r="C118" i="8" s="1"/>
  <c r="E117" i="8"/>
  <c r="C117" i="8" s="1"/>
  <c r="E116" i="8"/>
  <c r="C116" i="8" s="1"/>
  <c r="E112" i="8"/>
  <c r="C112" i="8" s="1"/>
  <c r="E111" i="8"/>
  <c r="C111" i="8" s="1"/>
  <c r="E110" i="8"/>
  <c r="C110" i="8" s="1"/>
  <c r="E109" i="8"/>
  <c r="C109" i="8" s="1"/>
  <c r="E108" i="8"/>
  <c r="C108" i="8" s="1"/>
  <c r="E107" i="8"/>
  <c r="C107" i="8" s="1"/>
  <c r="E105" i="8"/>
  <c r="C105" i="8" s="1"/>
  <c r="E104" i="8"/>
  <c r="C104" i="8" s="1"/>
  <c r="E103" i="8"/>
  <c r="C103" i="8" s="1"/>
  <c r="E102" i="8"/>
  <c r="C102" i="8" s="1"/>
  <c r="E101" i="8"/>
  <c r="C101" i="8" s="1"/>
  <c r="E100" i="8"/>
  <c r="C100" i="8" s="1"/>
  <c r="E96" i="8"/>
  <c r="E95" i="8"/>
  <c r="C95" i="8" s="1"/>
  <c r="E94" i="8"/>
  <c r="C94" i="8" s="1"/>
  <c r="E93" i="8"/>
  <c r="C93" i="8" s="1"/>
  <c r="E92" i="8"/>
  <c r="C92" i="8" s="1"/>
  <c r="E91" i="8"/>
  <c r="E90" i="8"/>
  <c r="C90" i="8" s="1"/>
  <c r="E89" i="8"/>
  <c r="E88" i="8"/>
  <c r="C88" i="8" s="1"/>
  <c r="E87" i="8"/>
  <c r="E86" i="8"/>
  <c r="C86" i="8" s="1"/>
  <c r="E80" i="8"/>
  <c r="E79" i="8"/>
  <c r="C79" i="8" s="1"/>
  <c r="E78" i="8"/>
  <c r="E77" i="8"/>
  <c r="C77" i="8" s="1"/>
  <c r="E57" i="8"/>
  <c r="F20" i="41" s="1"/>
  <c r="E54" i="8"/>
  <c r="E59" i="8"/>
  <c r="E64" i="8"/>
  <c r="E62" i="8"/>
  <c r="C62" i="8" s="1"/>
  <c r="E58" i="8"/>
  <c r="E56" i="8"/>
  <c r="E48" i="8"/>
  <c r="E67" i="8"/>
  <c r="C67" i="8" s="1"/>
  <c r="E66" i="8"/>
  <c r="C66" i="8" s="1"/>
  <c r="I228" i="8" l="1"/>
  <c r="I229" i="8" s="1"/>
  <c r="AH20" i="22" s="1"/>
  <c r="F310" i="8"/>
  <c r="C138" i="8"/>
  <c r="E353" i="8"/>
  <c r="E352" i="8"/>
  <c r="L228" i="8"/>
  <c r="B191" i="47" s="1"/>
  <c r="E11" i="22"/>
  <c r="B188" i="47"/>
  <c r="N11" i="22"/>
  <c r="B189" i="47"/>
  <c r="B189" i="41"/>
  <c r="F125" i="47"/>
  <c r="H124" i="41"/>
  <c r="G124" i="41"/>
  <c r="G125" i="41"/>
  <c r="G124" i="47"/>
  <c r="F125" i="41"/>
  <c r="F124" i="41"/>
  <c r="F124" i="47"/>
  <c r="G186" i="47"/>
  <c r="N18" i="22"/>
  <c r="G179" i="47"/>
  <c r="G183" i="47"/>
  <c r="L209" i="8"/>
  <c r="C20" i="22"/>
  <c r="G176" i="41"/>
  <c r="G176" i="47"/>
  <c r="L206" i="8"/>
  <c r="L229" i="8"/>
  <c r="G183" i="41"/>
  <c r="E310" i="8"/>
  <c r="G186" i="41"/>
  <c r="G179" i="41"/>
  <c r="AF20" i="22" l="1"/>
  <c r="B190" i="47"/>
  <c r="B190" i="41"/>
  <c r="I529" i="8"/>
  <c r="F126" i="41"/>
  <c r="F126" i="47"/>
  <c r="E338" i="8"/>
  <c r="F476" i="8" l="1"/>
  <c r="E476" i="8" s="1"/>
  <c r="F477" i="8"/>
  <c r="E477" i="8" s="1"/>
  <c r="F475" i="8"/>
  <c r="D38" i="49" s="1"/>
  <c r="E475" i="8" s="1"/>
  <c r="F474" i="8"/>
  <c r="H34" i="49" s="1"/>
  <c r="E474" i="8" s="1"/>
  <c r="F467" i="8"/>
  <c r="E467" i="8" s="1"/>
  <c r="F465" i="8"/>
  <c r="T23" i="49" s="1"/>
  <c r="E465" i="8" s="1"/>
  <c r="F464" i="8"/>
  <c r="O23" i="49" s="1"/>
  <c r="E464" i="8" s="1"/>
  <c r="F463" i="8"/>
  <c r="R21" i="49" s="1"/>
  <c r="E463" i="8" s="1"/>
  <c r="F460" i="8"/>
  <c r="E460" i="8" s="1"/>
  <c r="F459" i="8"/>
  <c r="F458" i="8"/>
  <c r="F457" i="8"/>
  <c r="O12" i="49" s="1"/>
  <c r="E457" i="8" s="1"/>
  <c r="F456" i="8"/>
  <c r="R10" i="49" s="1"/>
  <c r="E456" i="8" s="1"/>
  <c r="F450" i="8"/>
  <c r="E450" i="8" s="1"/>
  <c r="F448" i="8"/>
  <c r="E448" i="8" s="1"/>
  <c r="F449" i="8"/>
  <c r="D17" i="49" s="1"/>
  <c r="E449" i="8" s="1"/>
  <c r="F447" i="8"/>
  <c r="D14" i="49" s="1"/>
  <c r="E447" i="8" s="1"/>
  <c r="F445" i="8"/>
  <c r="D12" i="49" s="1"/>
  <c r="E445" i="8" s="1"/>
  <c r="F446" i="8"/>
  <c r="E446" i="8" s="1"/>
  <c r="F451" i="8"/>
  <c r="H12" i="49" s="1"/>
  <c r="E451" i="8" s="1"/>
  <c r="F444" i="8"/>
  <c r="H10" i="49" s="1"/>
  <c r="E444" i="8" s="1"/>
  <c r="F443" i="8"/>
  <c r="D10" i="49" s="1"/>
  <c r="E443" i="8" s="1"/>
  <c r="B704" i="47"/>
  <c r="E654" i="8"/>
  <c r="F643" i="47" s="1"/>
  <c r="E658" i="8"/>
  <c r="B643" i="47" s="1"/>
  <c r="E659" i="8"/>
  <c r="B645" i="47" s="1"/>
  <c r="F602" i="47"/>
  <c r="F601" i="47"/>
  <c r="F599" i="47"/>
  <c r="F600" i="47"/>
  <c r="F595" i="47"/>
  <c r="F596" i="47"/>
  <c r="F597" i="47"/>
  <c r="F598" i="47"/>
  <c r="F589" i="47"/>
  <c r="F590" i="47"/>
  <c r="F591" i="47"/>
  <c r="F593" i="47"/>
  <c r="F594" i="47"/>
  <c r="F588" i="47"/>
  <c r="G605" i="8"/>
  <c r="E589" i="47" s="1"/>
  <c r="G606" i="8"/>
  <c r="E590" i="47" s="1"/>
  <c r="G607" i="8"/>
  <c r="E591" i="47" s="1"/>
  <c r="G608" i="8"/>
  <c r="E593" i="47" s="1"/>
  <c r="G609" i="8"/>
  <c r="E594" i="47" s="1"/>
  <c r="G610" i="8"/>
  <c r="E595" i="47" s="1"/>
  <c r="G611" i="8"/>
  <c r="E596" i="47" s="1"/>
  <c r="G612" i="8"/>
  <c r="E597" i="47" s="1"/>
  <c r="G613" i="8"/>
  <c r="E598" i="47" s="1"/>
  <c r="G614" i="8"/>
  <c r="E599" i="47" s="1"/>
  <c r="G615" i="8"/>
  <c r="E600" i="47" s="1"/>
  <c r="G616" i="8"/>
  <c r="E601" i="47" s="1"/>
  <c r="G617" i="8"/>
  <c r="E602" i="47" s="1"/>
  <c r="G604" i="8"/>
  <c r="E588" i="47" s="1"/>
  <c r="A663" i="47"/>
  <c r="A656" i="47"/>
  <c r="F631" i="47"/>
  <c r="A604" i="47" l="1"/>
  <c r="A525" i="47" l="1"/>
  <c r="A521" i="47"/>
  <c r="F518" i="47"/>
  <c r="C518" i="47"/>
  <c r="F516" i="47"/>
  <c r="C516" i="47"/>
  <c r="X10" i="26"/>
  <c r="A574" i="47"/>
  <c r="A564" i="47"/>
  <c r="F555" i="47"/>
  <c r="F482" i="8" l="1"/>
  <c r="E441" i="47" s="1"/>
  <c r="F483" i="8"/>
  <c r="E442" i="47" s="1"/>
  <c r="F481" i="8"/>
  <c r="E440" i="47" s="1"/>
  <c r="F442" i="47"/>
  <c r="F441" i="47"/>
  <c r="F440" i="47"/>
  <c r="A466" i="47"/>
  <c r="A454" i="47"/>
  <c r="A445" i="47"/>
  <c r="F400" i="47"/>
  <c r="F402" i="47"/>
  <c r="F401" i="47"/>
  <c r="F399" i="47"/>
  <c r="F397" i="47"/>
  <c r="F396" i="47"/>
  <c r="F395" i="47"/>
  <c r="F394" i="47"/>
  <c r="F393" i="47"/>
  <c r="F392" i="47"/>
  <c r="F391" i="47"/>
  <c r="G516" i="8"/>
  <c r="E392" i="47" s="1"/>
  <c r="C502" i="8"/>
  <c r="C503" i="8"/>
  <c r="C504" i="8"/>
  <c r="C505" i="8"/>
  <c r="C506" i="8"/>
  <c r="C507" i="8"/>
  <c r="C508" i="8"/>
  <c r="C501" i="8"/>
  <c r="C510" i="8"/>
  <c r="E509" i="8" l="1"/>
  <c r="H631" i="47"/>
  <c r="H630" i="47"/>
  <c r="F630" i="47"/>
  <c r="F623" i="47"/>
  <c r="C631" i="47"/>
  <c r="C630" i="47"/>
  <c r="B631" i="47"/>
  <c r="B630" i="47"/>
  <c r="B560" i="47"/>
  <c r="B555" i="47"/>
  <c r="E581" i="8" l="1"/>
  <c r="H548" i="47" s="1"/>
  <c r="E577" i="8"/>
  <c r="D548" i="47" s="1"/>
  <c r="E573" i="8"/>
  <c r="H544" i="47" s="1"/>
  <c r="E569" i="8"/>
  <c r="D544" i="47" s="1"/>
  <c r="E565" i="8"/>
  <c r="H540" i="47" s="1"/>
  <c r="E561" i="8"/>
  <c r="D540" i="47" s="1"/>
  <c r="E557" i="8"/>
  <c r="H536" i="47" s="1"/>
  <c r="E553" i="8"/>
  <c r="D536" i="47" s="1"/>
  <c r="E549" i="8"/>
  <c r="H532" i="47" s="1"/>
  <c r="E545" i="8"/>
  <c r="D532" i="47" s="1"/>
  <c r="E600" i="8"/>
  <c r="H561" i="47" s="1"/>
  <c r="E596" i="8"/>
  <c r="D561" i="47" s="1"/>
  <c r="E592" i="8"/>
  <c r="H556" i="47" s="1"/>
  <c r="E588" i="8"/>
  <c r="D556" i="47" s="1"/>
  <c r="B435" i="47"/>
  <c r="H432" i="47" l="1"/>
  <c r="H429" i="47"/>
  <c r="C479" i="8"/>
  <c r="G471" i="8"/>
  <c r="C469" i="8"/>
  <c r="G455" i="8"/>
  <c r="D455" i="8"/>
  <c r="C453" i="8"/>
  <c r="G441" i="8"/>
  <c r="C441" i="8"/>
  <c r="E343" i="8"/>
  <c r="E346" i="8"/>
  <c r="F313" i="8"/>
  <c r="H277" i="47" s="1"/>
  <c r="E313" i="8"/>
  <c r="H276" i="47" s="1"/>
  <c r="A259" i="47"/>
  <c r="A251" i="47"/>
  <c r="E198" i="8"/>
  <c r="B164" i="47" s="1"/>
  <c r="E199" i="8"/>
  <c r="E165" i="47" s="1"/>
  <c r="B123" i="47"/>
  <c r="E110" i="47"/>
  <c r="E109" i="47"/>
  <c r="E108" i="47"/>
  <c r="E110" i="41"/>
  <c r="E109" i="41"/>
  <c r="E108" i="41"/>
  <c r="E118" i="47"/>
  <c r="G115" i="8"/>
  <c r="G99" i="8"/>
  <c r="G85" i="8"/>
  <c r="G56" i="8"/>
  <c r="E12" i="8"/>
  <c r="C12" i="8" s="1"/>
  <c r="E432" i="47" l="1"/>
  <c r="C460" i="8"/>
  <c r="E429" i="47"/>
  <c r="C476" i="8"/>
  <c r="H435" i="47"/>
  <c r="C477" i="8"/>
  <c r="E435" i="47"/>
  <c r="H436" i="47"/>
  <c r="C467" i="8"/>
  <c r="C446" i="8"/>
  <c r="B431" i="47"/>
  <c r="C448" i="8"/>
  <c r="B432" i="47"/>
  <c r="C450" i="8"/>
  <c r="B433" i="47"/>
  <c r="C451" i="8"/>
  <c r="B429" i="47"/>
  <c r="F20" i="47"/>
  <c r="B341" i="47"/>
  <c r="B340" i="47"/>
  <c r="B339" i="47"/>
  <c r="B338" i="47"/>
  <c r="B337" i="47"/>
  <c r="B336" i="47"/>
  <c r="B335" i="47"/>
  <c r="B334" i="47"/>
  <c r="B333" i="47"/>
  <c r="B332" i="47"/>
  <c r="B331" i="47"/>
  <c r="B330" i="47"/>
  <c r="B318" i="47"/>
  <c r="A201" i="47"/>
  <c r="A146" i="47"/>
  <c r="A132" i="47"/>
  <c r="B318" i="41" l="1"/>
  <c r="E303" i="8" l="1"/>
  <c r="E302" i="8"/>
  <c r="H248" i="47" s="1"/>
  <c r="E301" i="8"/>
  <c r="F599" i="8" s="1"/>
  <c r="E299" i="8"/>
  <c r="F558" i="47" s="1"/>
  <c r="E298" i="8"/>
  <c r="E296" i="8"/>
  <c r="F595" i="8" s="1"/>
  <c r="B561" i="47" s="1"/>
  <c r="E295" i="8"/>
  <c r="B247" i="47" s="1"/>
  <c r="E294" i="8"/>
  <c r="B558" i="47" s="1"/>
  <c r="E293" i="8"/>
  <c r="E291" i="8"/>
  <c r="E289" i="8"/>
  <c r="F553" i="47" s="1"/>
  <c r="E288" i="8"/>
  <c r="F585" i="8" s="1"/>
  <c r="E286" i="8"/>
  <c r="E285" i="8"/>
  <c r="B242" i="47" s="1"/>
  <c r="E284" i="8"/>
  <c r="B553" i="47" s="1"/>
  <c r="E300" i="8"/>
  <c r="F247" i="47" s="1"/>
  <c r="E297" i="8"/>
  <c r="D248" i="47" s="1"/>
  <c r="E292" i="8"/>
  <c r="H243" i="47" s="1"/>
  <c r="E290" i="8"/>
  <c r="F242" i="47" s="1"/>
  <c r="E287" i="8"/>
  <c r="D243" i="47" s="1"/>
  <c r="E279" i="8"/>
  <c r="H235" i="47" s="1"/>
  <c r="E275" i="8"/>
  <c r="D235" i="47" s="1"/>
  <c r="E271" i="8"/>
  <c r="H231" i="47" s="1"/>
  <c r="E267" i="8"/>
  <c r="D231" i="47" s="1"/>
  <c r="E263" i="8"/>
  <c r="H227" i="47" s="1"/>
  <c r="E259" i="8"/>
  <c r="D227" i="47" s="1"/>
  <c r="E255" i="8"/>
  <c r="H223" i="47" s="1"/>
  <c r="E251" i="8"/>
  <c r="D223" i="47" s="1"/>
  <c r="E247" i="8"/>
  <c r="H219" i="47" s="1"/>
  <c r="E243" i="8"/>
  <c r="D219" i="47" s="1"/>
  <c r="E276" i="8"/>
  <c r="F547" i="47" s="1"/>
  <c r="E272" i="8"/>
  <c r="B547" i="47" s="1"/>
  <c r="E268" i="8"/>
  <c r="F543" i="47" s="1"/>
  <c r="E264" i="8"/>
  <c r="B543" i="47" s="1"/>
  <c r="E260" i="8"/>
  <c r="F539" i="47" s="1"/>
  <c r="E256" i="8"/>
  <c r="B539" i="47" s="1"/>
  <c r="E252" i="8"/>
  <c r="F535" i="47" s="1"/>
  <c r="E248" i="8"/>
  <c r="B535" i="47" s="1"/>
  <c r="E244" i="8"/>
  <c r="F531" i="47" s="1"/>
  <c r="E240" i="8"/>
  <c r="B531" i="47" s="1"/>
  <c r="E580" i="8"/>
  <c r="E579" i="8"/>
  <c r="E576" i="8"/>
  <c r="E575" i="8"/>
  <c r="B548" i="47" s="1"/>
  <c r="E572" i="8"/>
  <c r="E571" i="8"/>
  <c r="F544" i="47" s="1"/>
  <c r="E568" i="8"/>
  <c r="E567" i="8"/>
  <c r="E564" i="8"/>
  <c r="E563" i="8"/>
  <c r="F540" i="47" s="1"/>
  <c r="E560" i="8"/>
  <c r="E559" i="8"/>
  <c r="B540" i="47" s="1"/>
  <c r="E556" i="8"/>
  <c r="E555" i="8"/>
  <c r="E552" i="8"/>
  <c r="E551" i="8"/>
  <c r="E548" i="8"/>
  <c r="E547" i="8"/>
  <c r="E544" i="8"/>
  <c r="E543" i="8"/>
  <c r="D12" i="51" s="1"/>
  <c r="A92" i="41"/>
  <c r="B35" i="47"/>
  <c r="E26" i="47"/>
  <c r="E27" i="47"/>
  <c r="B25" i="47"/>
  <c r="B24" i="47"/>
  <c r="C318" i="8"/>
  <c r="C314" i="8"/>
  <c r="C313" i="8"/>
  <c r="C312" i="8"/>
  <c r="C307" i="8"/>
  <c r="F11" i="43"/>
  <c r="E11" i="43"/>
  <c r="D11" i="43"/>
  <c r="C128" i="8"/>
  <c r="C123" i="8"/>
  <c r="F472" i="8"/>
  <c r="E32" i="49" s="1"/>
  <c r="E472" i="8" s="1"/>
  <c r="H428" i="47"/>
  <c r="H426" i="47"/>
  <c r="O14" i="49"/>
  <c r="T12" i="49"/>
  <c r="E426" i="47"/>
  <c r="C85" i="8"/>
  <c r="C80" i="8"/>
  <c r="E458" i="8" l="1"/>
  <c r="E428" i="47" s="1"/>
  <c r="E459" i="8"/>
  <c r="E427" i="47" s="1"/>
  <c r="F473" i="8"/>
  <c r="D36" i="49" s="1"/>
  <c r="E473" i="8" s="1"/>
  <c r="F466" i="8"/>
  <c r="O25" i="49" s="1"/>
  <c r="E466" i="8" s="1"/>
  <c r="B33" i="47"/>
  <c r="AB6" i="27"/>
  <c r="D36" i="51"/>
  <c r="B544" i="47"/>
  <c r="K36" i="51"/>
  <c r="F545" i="47"/>
  <c r="B532" i="47"/>
  <c r="F12" i="51"/>
  <c r="B533" i="47"/>
  <c r="F44" i="51"/>
  <c r="B549" i="47"/>
  <c r="I44" i="51"/>
  <c r="F548" i="47"/>
  <c r="K44" i="51"/>
  <c r="F549" i="47"/>
  <c r="F241" i="47"/>
  <c r="F589" i="8"/>
  <c r="I20" i="51"/>
  <c r="F536" i="47"/>
  <c r="K20" i="51"/>
  <c r="F537" i="47"/>
  <c r="B246" i="47"/>
  <c r="F593" i="8"/>
  <c r="O34" i="51" s="1"/>
  <c r="E593" i="8" s="1"/>
  <c r="B559" i="47" s="1"/>
  <c r="F28" i="51"/>
  <c r="B541" i="47"/>
  <c r="T38" i="51"/>
  <c r="E599" i="8" s="1"/>
  <c r="F561" i="47"/>
  <c r="F36" i="51"/>
  <c r="B545" i="47"/>
  <c r="K28" i="51"/>
  <c r="F541" i="47"/>
  <c r="F246" i="47"/>
  <c r="F597" i="8"/>
  <c r="D44" i="51"/>
  <c r="I36" i="51"/>
  <c r="D28" i="51"/>
  <c r="I28" i="51"/>
  <c r="F20" i="51"/>
  <c r="B537" i="47"/>
  <c r="D20" i="51"/>
  <c r="B536" i="47"/>
  <c r="K12" i="51"/>
  <c r="F533" i="47"/>
  <c r="I12" i="51"/>
  <c r="F532" i="47"/>
  <c r="F243" i="47"/>
  <c r="F591" i="8"/>
  <c r="B243" i="47"/>
  <c r="F587" i="8"/>
  <c r="O26" i="51" s="1"/>
  <c r="E587" i="8" s="1"/>
  <c r="B556" i="47" s="1"/>
  <c r="B245" i="47"/>
  <c r="O30" i="51"/>
  <c r="B248" i="47"/>
  <c r="F245" i="47"/>
  <c r="T30" i="51"/>
  <c r="F248" i="47"/>
  <c r="F240" i="47"/>
  <c r="T18" i="51"/>
  <c r="B240" i="47"/>
  <c r="O18" i="51"/>
  <c r="B241" i="47"/>
  <c r="B219" i="47"/>
  <c r="B235" i="47"/>
  <c r="B220" i="47"/>
  <c r="B236" i="47"/>
  <c r="F219" i="47"/>
  <c r="F235" i="47"/>
  <c r="F232" i="47"/>
  <c r="F220" i="47"/>
  <c r="F236" i="47"/>
  <c r="B223" i="47"/>
  <c r="B218" i="47"/>
  <c r="E542" i="8"/>
  <c r="D8" i="51" s="1"/>
  <c r="B224" i="47"/>
  <c r="F218" i="47"/>
  <c r="E546" i="8"/>
  <c r="I8" i="51" s="1"/>
  <c r="F223" i="47"/>
  <c r="B222" i="47"/>
  <c r="E550" i="8"/>
  <c r="D16" i="51" s="1"/>
  <c r="F224" i="47"/>
  <c r="F222" i="47"/>
  <c r="E554" i="8"/>
  <c r="I16" i="51" s="1"/>
  <c r="B227" i="47"/>
  <c r="B226" i="47"/>
  <c r="E558" i="8"/>
  <c r="D24" i="51" s="1"/>
  <c r="B228" i="47"/>
  <c r="F226" i="47"/>
  <c r="E562" i="8"/>
  <c r="I24" i="51" s="1"/>
  <c r="F227" i="47"/>
  <c r="B230" i="47"/>
  <c r="E566" i="8"/>
  <c r="D32" i="51" s="1"/>
  <c r="F228" i="47"/>
  <c r="F230" i="47"/>
  <c r="E570" i="8"/>
  <c r="I32" i="51" s="1"/>
  <c r="B231" i="47"/>
  <c r="B234" i="47"/>
  <c r="E574" i="8"/>
  <c r="D40" i="51" s="1"/>
  <c r="B232" i="47"/>
  <c r="F234" i="47"/>
  <c r="E578" i="8"/>
  <c r="I40" i="51" s="1"/>
  <c r="F231" i="47"/>
  <c r="C474" i="8"/>
  <c r="H434" i="47"/>
  <c r="C475" i="8"/>
  <c r="E437" i="47"/>
  <c r="C463" i="8"/>
  <c r="G431" i="47"/>
  <c r="C465" i="8"/>
  <c r="C457" i="8"/>
  <c r="C444" i="8"/>
  <c r="B430" i="47"/>
  <c r="C449" i="8"/>
  <c r="B428" i="47"/>
  <c r="C458" i="8"/>
  <c r="C459" i="8"/>
  <c r="C464" i="8"/>
  <c r="B42" i="47"/>
  <c r="B41" i="47"/>
  <c r="B43" i="47"/>
  <c r="B32" i="47"/>
  <c r="H52" i="47"/>
  <c r="H51" i="47"/>
  <c r="H50" i="47"/>
  <c r="E52" i="47"/>
  <c r="E51" i="47"/>
  <c r="E50" i="47"/>
  <c r="H48" i="47"/>
  <c r="H45" i="47"/>
  <c r="H43" i="47"/>
  <c r="H44" i="47"/>
  <c r="H42" i="47"/>
  <c r="G47" i="47"/>
  <c r="E48" i="47"/>
  <c r="E45" i="47"/>
  <c r="E44" i="47"/>
  <c r="E43" i="47"/>
  <c r="E42" i="47"/>
  <c r="D47" i="47"/>
  <c r="B51" i="47"/>
  <c r="B49" i="47"/>
  <c r="B48" i="47"/>
  <c r="B47" i="47"/>
  <c r="B46" i="47"/>
  <c r="B45" i="47"/>
  <c r="B44" i="47"/>
  <c r="B50" i="47"/>
  <c r="C76" i="8"/>
  <c r="E76" i="8"/>
  <c r="E25" i="47" s="1"/>
  <c r="C68" i="8"/>
  <c r="C57" i="8"/>
  <c r="C56" i="8"/>
  <c r="J3" i="46"/>
  <c r="T22" i="51" l="1"/>
  <c r="E589" i="8" s="1"/>
  <c r="F554" i="47" s="1"/>
  <c r="C473" i="8"/>
  <c r="E436" i="47"/>
  <c r="H427" i="47"/>
  <c r="C466" i="8"/>
  <c r="B426" i="47"/>
  <c r="B425" i="47"/>
  <c r="T26" i="51"/>
  <c r="E591" i="8" s="1"/>
  <c r="F556" i="47"/>
  <c r="B427" i="47"/>
  <c r="C114" i="8"/>
  <c r="C98" i="8"/>
  <c r="C75" i="8"/>
  <c r="E24" i="47"/>
  <c r="C55" i="8"/>
  <c r="G707" i="47" l="1"/>
  <c r="D381" i="47"/>
  <c r="D382" i="47"/>
  <c r="D383" i="47"/>
  <c r="F479" i="47"/>
  <c r="F485" i="47"/>
  <c r="F491" i="47"/>
  <c r="F497" i="47"/>
  <c r="F505" i="47"/>
  <c r="F511" i="47"/>
  <c r="A100" i="47"/>
  <c r="A92" i="47"/>
  <c r="A87" i="47"/>
  <c r="A76" i="47"/>
  <c r="A65" i="47"/>
  <c r="A58" i="47"/>
  <c r="A54" i="47"/>
  <c r="E354" i="8" l="1"/>
  <c r="B341" i="41"/>
  <c r="B340" i="41"/>
  <c r="E389" i="8"/>
  <c r="D355" i="47" s="1"/>
  <c r="D389" i="8"/>
  <c r="B355" i="47" s="1"/>
  <c r="C389" i="8"/>
  <c r="A355" i="47" s="1"/>
  <c r="F374" i="8"/>
  <c r="F341" i="47" s="1"/>
  <c r="E374" i="8"/>
  <c r="D341" i="47" s="1"/>
  <c r="D374" i="8"/>
  <c r="C374" i="8"/>
  <c r="A341" i="47" s="1"/>
  <c r="F373" i="8"/>
  <c r="F340" i="47" s="1"/>
  <c r="E373" i="8"/>
  <c r="D340" i="47" s="1"/>
  <c r="D373" i="8"/>
  <c r="C373" i="8"/>
  <c r="A340" i="47" s="1"/>
  <c r="E371" i="8"/>
  <c r="D338" i="47" s="1"/>
  <c r="E370" i="8"/>
  <c r="D337" i="47" s="1"/>
  <c r="E369" i="8"/>
  <c r="D336" i="47" s="1"/>
  <c r="E368" i="8"/>
  <c r="D335" i="47" s="1"/>
  <c r="H282" i="47"/>
  <c r="H281" i="47"/>
  <c r="H280" i="47"/>
  <c r="F282" i="47"/>
  <c r="F281" i="47"/>
  <c r="F280" i="47"/>
  <c r="H283" i="47"/>
  <c r="F283" i="47"/>
  <c r="H227" i="41"/>
  <c r="A261" i="41"/>
  <c r="A251" i="41"/>
  <c r="B123" i="41"/>
  <c r="A116" i="41"/>
  <c r="C315" i="8" l="1"/>
  <c r="H282" i="41"/>
  <c r="D340" i="41"/>
  <c r="A340" i="41"/>
  <c r="B355" i="41"/>
  <c r="F280" i="41"/>
  <c r="F281" i="41"/>
  <c r="D341" i="41"/>
  <c r="H281" i="41"/>
  <c r="F282" i="41"/>
  <c r="H219" i="41"/>
  <c r="H280" i="41"/>
  <c r="B247" i="41"/>
  <c r="B242" i="41"/>
  <c r="F242" i="41"/>
  <c r="F247" i="41"/>
  <c r="D219" i="41"/>
  <c r="D223" i="41"/>
  <c r="H223" i="41"/>
  <c r="D227" i="41"/>
  <c r="D231" i="41"/>
  <c r="D235" i="41"/>
  <c r="H243" i="41"/>
  <c r="D243" i="41"/>
  <c r="H248" i="41"/>
  <c r="D248" i="41"/>
  <c r="H235" i="41"/>
  <c r="H231" i="41"/>
  <c r="B240" i="41"/>
  <c r="F236" i="41"/>
  <c r="F235" i="41"/>
  <c r="B236" i="41"/>
  <c r="B235" i="41"/>
  <c r="F234" i="41"/>
  <c r="B234" i="41"/>
  <c r="F246" i="41"/>
  <c r="B246" i="41"/>
  <c r="F248" i="41"/>
  <c r="B248" i="41"/>
  <c r="F232" i="41"/>
  <c r="F231" i="41"/>
  <c r="B232" i="41"/>
  <c r="B231" i="41"/>
  <c r="F230" i="41"/>
  <c r="B230" i="41"/>
  <c r="F245" i="41"/>
  <c r="B245" i="41"/>
  <c r="B241" i="41"/>
  <c r="F228" i="41"/>
  <c r="F227" i="41"/>
  <c r="B228" i="41"/>
  <c r="B227" i="41"/>
  <c r="B243" i="41"/>
  <c r="F226" i="41"/>
  <c r="B226" i="41"/>
  <c r="F224" i="41"/>
  <c r="F223" i="41"/>
  <c r="B224" i="41"/>
  <c r="B223" i="41"/>
  <c r="F222" i="41"/>
  <c r="B222" i="41"/>
  <c r="F220" i="41"/>
  <c r="F219" i="41"/>
  <c r="B220" i="41"/>
  <c r="B219" i="41"/>
  <c r="F218" i="41"/>
  <c r="B218" i="41"/>
  <c r="F283" i="41"/>
  <c r="H283" i="41"/>
  <c r="A355" i="41"/>
  <c r="D355" i="41"/>
  <c r="F341" i="41"/>
  <c r="F340" i="41"/>
  <c r="A341" i="41"/>
  <c r="E223" i="8" l="1"/>
  <c r="C195" i="47" s="1"/>
  <c r="D650" i="47" l="1"/>
  <c r="A201" i="41"/>
  <c r="A146" i="41"/>
  <c r="A132" i="41"/>
  <c r="A100" i="41" l="1"/>
  <c r="A87" i="41"/>
  <c r="A76" i="41"/>
  <c r="A65" i="41"/>
  <c r="A58" i="41"/>
  <c r="A54" i="41"/>
  <c r="D165" i="8"/>
  <c r="B34" i="47"/>
  <c r="E25" i="41" l="1"/>
  <c r="B49" i="41"/>
  <c r="B33" i="41"/>
  <c r="B35" i="41"/>
  <c r="B34" i="41"/>
  <c r="E61" i="8"/>
  <c r="B21" i="47" l="1"/>
  <c r="B21" i="41"/>
  <c r="B24" i="41"/>
  <c r="B25" i="41"/>
  <c r="D99" i="8"/>
  <c r="B51" i="41" l="1"/>
  <c r="E50" i="41"/>
  <c r="H52" i="41"/>
  <c r="B48" i="41"/>
  <c r="E45" i="41"/>
  <c r="E48" i="41"/>
  <c r="H48" i="41"/>
  <c r="H45" i="41"/>
  <c r="E51" i="41"/>
  <c r="B45" i="41"/>
  <c r="H42" i="41"/>
  <c r="B44" i="41"/>
  <c r="H44" i="41"/>
  <c r="D47" i="41"/>
  <c r="E42" i="41"/>
  <c r="E52" i="41"/>
  <c r="B50" i="41"/>
  <c r="E44" i="41"/>
  <c r="E43" i="41"/>
  <c r="B41" i="41"/>
  <c r="H50" i="41"/>
  <c r="G47" i="41"/>
  <c r="B46" i="41"/>
  <c r="B43" i="41"/>
  <c r="H43" i="41"/>
  <c r="B42" i="41"/>
  <c r="B32" i="41"/>
  <c r="F240" i="41"/>
  <c r="F241" i="41"/>
  <c r="F243" i="41"/>
  <c r="B47" i="41"/>
  <c r="H51" i="41"/>
  <c r="F21" i="47"/>
  <c r="C19" i="47"/>
  <c r="E27" i="41" l="1"/>
  <c r="E26" i="41"/>
  <c r="C19" i="41"/>
  <c r="F21" i="41"/>
  <c r="AD20" i="9" l="1"/>
  <c r="A175" i="47" l="1"/>
  <c r="G202" i="8"/>
  <c r="F7" i="47"/>
  <c r="A182" i="41" l="1"/>
  <c r="G221" i="8"/>
  <c r="F219" i="8" s="1"/>
  <c r="A182" i="47"/>
  <c r="E218" i="8"/>
  <c r="H23" i="8"/>
  <c r="F23" i="8" s="1"/>
  <c r="G17" i="8"/>
  <c r="I3" i="4" s="1"/>
  <c r="A490" i="47"/>
  <c r="A478" i="47"/>
  <c r="F222" i="8"/>
  <c r="F221" i="8"/>
  <c r="G30" i="8"/>
  <c r="G29" i="8"/>
  <c r="G28" i="8"/>
  <c r="J14" i="4" s="1"/>
  <c r="G43" i="8"/>
  <c r="G27" i="8"/>
  <c r="G25" i="8"/>
  <c r="G41" i="8"/>
  <c r="G40" i="8"/>
  <c r="G38" i="8"/>
  <c r="G20" i="8"/>
  <c r="J6" i="4" s="1"/>
  <c r="G19" i="8"/>
  <c r="F19" i="8" s="1"/>
  <c r="G34" i="8"/>
  <c r="G32" i="8"/>
  <c r="G44" i="8"/>
  <c r="G24" i="8"/>
  <c r="G23" i="8"/>
  <c r="G39" i="8"/>
  <c r="G22" i="8"/>
  <c r="F22" i="8" s="1"/>
  <c r="E22" i="8" s="1"/>
  <c r="G16" i="47" s="1"/>
  <c r="G21" i="8"/>
  <c r="F21" i="8" s="1"/>
  <c r="G37" i="8"/>
  <c r="G36" i="8"/>
  <c r="G35" i="8"/>
  <c r="G31" i="8"/>
  <c r="J20" i="4" s="1"/>
  <c r="G42" i="8"/>
  <c r="G33" i="8"/>
  <c r="E13" i="8"/>
  <c r="F8" i="47" s="1"/>
  <c r="H31" i="8"/>
  <c r="F31" i="8" s="1"/>
  <c r="D31" i="8" s="1"/>
  <c r="A14" i="47" s="1"/>
  <c r="H29" i="8"/>
  <c r="F29" i="8" s="1"/>
  <c r="D29" i="8" s="1"/>
  <c r="A12" i="47" s="1"/>
  <c r="H30" i="8"/>
  <c r="F30" i="8" s="1"/>
  <c r="D30" i="8" s="1"/>
  <c r="A13" i="47" s="1"/>
  <c r="G26" i="8"/>
  <c r="E662" i="8" l="1"/>
  <c r="W22" i="31" s="1"/>
  <c r="E222" i="8"/>
  <c r="E221" i="8"/>
  <c r="F28" i="8"/>
  <c r="F625" i="8" s="1"/>
  <c r="I23" i="8"/>
  <c r="D11" i="47" s="1"/>
  <c r="J19" i="8"/>
  <c r="E19" i="8"/>
  <c r="B16" i="47" s="1"/>
  <c r="A14" i="41"/>
  <c r="A13" i="41"/>
  <c r="A12" i="41"/>
  <c r="J16" i="4"/>
  <c r="P22" i="4"/>
  <c r="E44" i="8" s="1"/>
  <c r="C44" i="8" s="1"/>
  <c r="E20" i="8"/>
  <c r="B11" i="47" s="1"/>
  <c r="J22" i="4"/>
  <c r="D11" i="41" l="1"/>
  <c r="C19" i="8"/>
  <c r="B11" i="41"/>
  <c r="C20" i="8"/>
  <c r="G626" i="8"/>
  <c r="C10" i="29" l="1"/>
  <c r="B9" i="29"/>
  <c r="B8" i="29"/>
  <c r="B7" i="29"/>
  <c r="F627" i="8" l="1"/>
  <c r="E233" i="8"/>
  <c r="E624" i="8" s="1"/>
  <c r="H169" i="47" l="1"/>
  <c r="G171" i="47" s="1"/>
  <c r="H169" i="41"/>
  <c r="G171" i="41" s="1"/>
  <c r="E625" i="8"/>
  <c r="C10" i="31"/>
  <c r="E627" i="8"/>
  <c r="E646" i="8" l="1"/>
  <c r="F627" i="47" s="1"/>
  <c r="E639" i="8"/>
  <c r="B627" i="47" s="1"/>
  <c r="H619" i="47"/>
  <c r="B610" i="47"/>
  <c r="D6" i="31"/>
  <c r="AH9" i="22"/>
  <c r="B112" i="47"/>
  <c r="I26" i="31" l="1"/>
  <c r="R26" i="31"/>
  <c r="E345" i="8"/>
  <c r="E344" i="8"/>
  <c r="E342" i="8"/>
  <c r="E402" i="8" l="1"/>
  <c r="H682" i="8"/>
  <c r="F682" i="47" s="1"/>
  <c r="E200" i="8" l="1"/>
  <c r="H164" i="47" s="1"/>
  <c r="E388" i="8"/>
  <c r="D354" i="47" s="1"/>
  <c r="D388" i="8"/>
  <c r="B354" i="47" s="1"/>
  <c r="C388" i="8"/>
  <c r="A354" i="47" s="1"/>
  <c r="H164" i="41" l="1"/>
  <c r="D354" i="41"/>
  <c r="B354" i="41"/>
  <c r="A354" i="41"/>
  <c r="B339" i="41"/>
  <c r="B338" i="41"/>
  <c r="B337" i="41"/>
  <c r="B336" i="41"/>
  <c r="B335" i="41"/>
  <c r="B334" i="41"/>
  <c r="B333" i="41"/>
  <c r="B332" i="41"/>
  <c r="B331" i="41"/>
  <c r="B330" i="41"/>
  <c r="G698" i="47" l="1"/>
  <c r="G697" i="47"/>
  <c r="C698" i="47"/>
  <c r="C696" i="47"/>
  <c r="C699" i="47"/>
  <c r="C694" i="47"/>
  <c r="C695" i="47"/>
  <c r="D711" i="47"/>
  <c r="B711" i="47"/>
  <c r="B712" i="47"/>
  <c r="C712" i="47"/>
  <c r="C711" i="47"/>
  <c r="D718" i="47"/>
  <c r="D717" i="47"/>
  <c r="F669" i="8"/>
  <c r="D651" i="47" s="1"/>
  <c r="D653" i="47"/>
  <c r="F641" i="47"/>
  <c r="F639" i="47"/>
  <c r="C641" i="47"/>
  <c r="C640" i="47"/>
  <c r="B641" i="47"/>
  <c r="B640" i="47"/>
  <c r="H621" i="47"/>
  <c r="H620" i="47"/>
  <c r="B621" i="47"/>
  <c r="D621" i="47"/>
  <c r="D617" i="47"/>
  <c r="B617" i="47"/>
  <c r="D620" i="47"/>
  <c r="B620" i="47"/>
  <c r="D616" i="47"/>
  <c r="B616" i="47"/>
  <c r="E496" i="8"/>
  <c r="H382" i="47" s="1"/>
  <c r="E495" i="8"/>
  <c r="H381" i="47" s="1"/>
  <c r="C706" i="47" l="1"/>
  <c r="C697" i="47"/>
  <c r="C195" i="41"/>
  <c r="F157" i="8"/>
  <c r="G157" i="8"/>
  <c r="H157" i="8"/>
  <c r="E130" i="8"/>
  <c r="H30" i="47" s="1"/>
  <c r="B29" i="47"/>
  <c r="E128" i="8"/>
  <c r="H31" i="47" s="1"/>
  <c r="E127" i="8"/>
  <c r="B31" i="47" s="1"/>
  <c r="C8" i="29"/>
  <c r="E14" i="8"/>
  <c r="H6" i="47" s="1"/>
  <c r="E15" i="8"/>
  <c r="H7" i="47" s="1"/>
  <c r="E5" i="8"/>
  <c r="B6" i="47" s="1"/>
  <c r="E11" i="8"/>
  <c r="F6" i="47" s="1"/>
  <c r="E4" i="8"/>
  <c r="F9" i="47" s="1"/>
  <c r="F490" i="8"/>
  <c r="C171" i="47"/>
  <c r="C170" i="47"/>
  <c r="E65" i="8"/>
  <c r="B23" i="47" s="1"/>
  <c r="C184" i="8" l="1"/>
  <c r="C185" i="8"/>
  <c r="C186" i="8"/>
  <c r="C170" i="41"/>
  <c r="C6" i="29"/>
  <c r="B23" i="41"/>
  <c r="H30" i="41"/>
  <c r="B31" i="41"/>
  <c r="H31" i="41"/>
  <c r="C171" i="41"/>
  <c r="F131" i="8"/>
  <c r="H6" i="41"/>
  <c r="C11" i="29"/>
  <c r="B6" i="41"/>
  <c r="E415" i="8"/>
  <c r="H7" i="41"/>
  <c r="F6" i="41"/>
  <c r="F9" i="41"/>
  <c r="B29" i="41"/>
  <c r="K18" i="43" l="1"/>
  <c r="I16" i="43"/>
  <c r="F14" i="43"/>
  <c r="I17" i="43"/>
  <c r="E17" i="43"/>
  <c r="J18" i="43"/>
  <c r="H16" i="43"/>
  <c r="E14" i="43"/>
  <c r="K15" i="43"/>
  <c r="I13" i="43"/>
  <c r="H13" i="43"/>
  <c r="I15" i="43"/>
  <c r="H17" i="43"/>
  <c r="D17" i="43"/>
  <c r="I18" i="43"/>
  <c r="F16" i="43"/>
  <c r="D14" i="43"/>
  <c r="J13" i="43"/>
  <c r="D18" i="43"/>
  <c r="J17" i="43"/>
  <c r="F15" i="43"/>
  <c r="D15" i="43"/>
  <c r="K14" i="43"/>
  <c r="H18" i="43"/>
  <c r="E16" i="43"/>
  <c r="K13" i="43"/>
  <c r="D16" i="43"/>
  <c r="J15" i="43"/>
  <c r="K17" i="43"/>
  <c r="F13" i="43"/>
  <c r="H15" i="43"/>
  <c r="D13" i="43"/>
  <c r="F17" i="43"/>
  <c r="J14" i="43"/>
  <c r="H14" i="43"/>
  <c r="F18" i="43"/>
  <c r="E13" i="43"/>
  <c r="E15" i="43"/>
  <c r="K16" i="43"/>
  <c r="E18" i="43"/>
  <c r="J16" i="43"/>
  <c r="I14" i="43"/>
  <c r="G702" i="8" l="1"/>
  <c r="F726" i="47" s="1"/>
  <c r="G701" i="8"/>
  <c r="F725" i="47" s="1"/>
  <c r="G700" i="8"/>
  <c r="F724" i="47" s="1"/>
  <c r="G699" i="8"/>
  <c r="F723" i="47" s="1"/>
  <c r="G698" i="8"/>
  <c r="F722" i="47" s="1"/>
  <c r="G697" i="8"/>
  <c r="F721" i="47" s="1"/>
  <c r="D652" i="47" l="1"/>
  <c r="F491" i="8" l="1"/>
  <c r="G765" i="8" l="1"/>
  <c r="F773" i="47" s="1"/>
  <c r="G764" i="8"/>
  <c r="F772" i="47" s="1"/>
  <c r="G763" i="8"/>
  <c r="F770" i="47" s="1"/>
  <c r="G762" i="8"/>
  <c r="F769" i="47" s="1"/>
  <c r="G761" i="8"/>
  <c r="F768" i="47" s="1"/>
  <c r="G760" i="8"/>
  <c r="F767" i="47" s="1"/>
  <c r="G759" i="8"/>
  <c r="F766" i="47" s="1"/>
  <c r="G758" i="8"/>
  <c r="F765" i="47" s="1"/>
  <c r="G757" i="8"/>
  <c r="F764" i="47" s="1"/>
  <c r="G756" i="8"/>
  <c r="F763" i="47" s="1"/>
  <c r="G755" i="8"/>
  <c r="F762" i="47" s="1"/>
  <c r="G754" i="8"/>
  <c r="F761" i="47" s="1"/>
  <c r="G753" i="8"/>
  <c r="F760" i="47" s="1"/>
  <c r="G752" i="8"/>
  <c r="F759" i="47" s="1"/>
  <c r="G751" i="8"/>
  <c r="G750" i="8"/>
  <c r="F758" i="47" s="1"/>
  <c r="G749" i="8"/>
  <c r="G748" i="8"/>
  <c r="G747" i="8"/>
  <c r="G746" i="8"/>
  <c r="G745" i="8"/>
  <c r="F747" i="47" s="1"/>
  <c r="G744" i="8"/>
  <c r="F746" i="47" s="1"/>
  <c r="G743" i="8"/>
  <c r="F745" i="47" s="1"/>
  <c r="G742" i="8"/>
  <c r="F744" i="47" s="1"/>
  <c r="G741" i="8"/>
  <c r="F757" i="47" s="1"/>
  <c r="G740" i="8"/>
  <c r="F756" i="47" s="1"/>
  <c r="G739" i="8"/>
  <c r="F755" i="47" s="1"/>
  <c r="G738" i="8"/>
  <c r="F754" i="47" s="1"/>
  <c r="G737" i="8"/>
  <c r="F753" i="47" s="1"/>
  <c r="G736" i="8"/>
  <c r="F752" i="47" s="1"/>
  <c r="G735" i="8"/>
  <c r="F751" i="47" s="1"/>
  <c r="G734" i="8"/>
  <c r="F750" i="47" s="1"/>
  <c r="G733" i="8"/>
  <c r="F749" i="47" s="1"/>
  <c r="H687" i="8"/>
  <c r="F687" i="47" s="1"/>
  <c r="H686" i="8"/>
  <c r="F686" i="47" s="1"/>
  <c r="H685" i="8"/>
  <c r="F685" i="47" s="1"/>
  <c r="H684" i="8"/>
  <c r="F684" i="47" s="1"/>
  <c r="H683" i="8"/>
  <c r="F683" i="47" s="1"/>
  <c r="H681" i="8"/>
  <c r="F681" i="47" s="1"/>
  <c r="H680" i="8"/>
  <c r="F680" i="47" s="1"/>
  <c r="H679" i="8"/>
  <c r="F678" i="47" s="1"/>
  <c r="H678" i="8"/>
  <c r="F677" i="47" s="1"/>
  <c r="H677" i="8"/>
  <c r="F676" i="47" s="1"/>
  <c r="H676" i="8"/>
  <c r="F675" i="47" s="1"/>
  <c r="H675" i="8"/>
  <c r="F674" i="47" s="1"/>
  <c r="H674" i="8"/>
  <c r="F673" i="47" s="1"/>
  <c r="H673" i="8"/>
  <c r="F672" i="47" s="1"/>
  <c r="G505" i="47"/>
  <c r="G511" i="47"/>
  <c r="G497" i="47"/>
  <c r="G479" i="47"/>
  <c r="G491" i="47"/>
  <c r="G485" i="47"/>
  <c r="F734" i="8" l="1"/>
  <c r="E750" i="47" s="1"/>
  <c r="F735" i="8"/>
  <c r="E751" i="47" s="1"/>
  <c r="F736" i="8"/>
  <c r="E752" i="47" s="1"/>
  <c r="F737" i="8"/>
  <c r="E753" i="47" s="1"/>
  <c r="F738" i="8"/>
  <c r="E754" i="47" s="1"/>
  <c r="F739" i="8"/>
  <c r="E755" i="47" s="1"/>
  <c r="F740" i="8"/>
  <c r="E756" i="47" s="1"/>
  <c r="F741" i="8"/>
  <c r="E757" i="47" s="1"/>
  <c r="F742" i="8"/>
  <c r="E744" i="47" s="1"/>
  <c r="F743" i="8"/>
  <c r="E745" i="47" s="1"/>
  <c r="F744" i="8"/>
  <c r="E746" i="47" s="1"/>
  <c r="F745" i="8"/>
  <c r="E747" i="47" s="1"/>
  <c r="F746" i="8"/>
  <c r="F747" i="8"/>
  <c r="F748" i="8"/>
  <c r="F749" i="8"/>
  <c r="F750" i="8"/>
  <c r="E758" i="47" s="1"/>
  <c r="F751" i="8"/>
  <c r="F752" i="8"/>
  <c r="E759" i="47" s="1"/>
  <c r="F753" i="8"/>
  <c r="E760" i="47" s="1"/>
  <c r="F754" i="8"/>
  <c r="E761" i="47" s="1"/>
  <c r="F755" i="8"/>
  <c r="E762" i="47" s="1"/>
  <c r="F756" i="8"/>
  <c r="E763" i="47" s="1"/>
  <c r="F757" i="8"/>
  <c r="E764" i="47" s="1"/>
  <c r="F758" i="8"/>
  <c r="E765" i="47" s="1"/>
  <c r="F759" i="8"/>
  <c r="E766" i="47" s="1"/>
  <c r="F760" i="8"/>
  <c r="E767" i="47" s="1"/>
  <c r="F761" i="8"/>
  <c r="E768" i="47" s="1"/>
  <c r="F762" i="8"/>
  <c r="E769" i="47" s="1"/>
  <c r="F763" i="8"/>
  <c r="E770" i="47" s="1"/>
  <c r="F764" i="8"/>
  <c r="E772" i="47" s="1"/>
  <c r="F765" i="8"/>
  <c r="E773" i="47" s="1"/>
  <c r="F733" i="8"/>
  <c r="E749" i="47" s="1"/>
  <c r="F726" i="8"/>
  <c r="G695" i="47" s="1"/>
  <c r="F698" i="8"/>
  <c r="E722" i="47" s="1"/>
  <c r="F699" i="8"/>
  <c r="E723" i="47" s="1"/>
  <c r="F700" i="8"/>
  <c r="E724" i="47" s="1"/>
  <c r="F701" i="8"/>
  <c r="E725" i="47" s="1"/>
  <c r="F702" i="8"/>
  <c r="E726" i="47" s="1"/>
  <c r="F697" i="8"/>
  <c r="E721" i="47" s="1"/>
  <c r="G674" i="8"/>
  <c r="E673" i="47" s="1"/>
  <c r="G675" i="8"/>
  <c r="E674" i="47" s="1"/>
  <c r="G676" i="8"/>
  <c r="E675" i="47" s="1"/>
  <c r="G677" i="8"/>
  <c r="E676" i="47" s="1"/>
  <c r="G678" i="8"/>
  <c r="E677" i="47" s="1"/>
  <c r="G679" i="8"/>
  <c r="E678" i="47" s="1"/>
  <c r="G680" i="8"/>
  <c r="E680" i="47" s="1"/>
  <c r="G681" i="8"/>
  <c r="E681" i="47" s="1"/>
  <c r="G682" i="8"/>
  <c r="E682" i="47" s="1"/>
  <c r="G683" i="8"/>
  <c r="E683" i="47" s="1"/>
  <c r="G684" i="8"/>
  <c r="E684" i="47" s="1"/>
  <c r="G685" i="8"/>
  <c r="E685" i="47" s="1"/>
  <c r="G686" i="8"/>
  <c r="E686" i="47" s="1"/>
  <c r="G687" i="8"/>
  <c r="E687" i="47" s="1"/>
  <c r="G511" i="8"/>
  <c r="E399" i="47" s="1"/>
  <c r="G512" i="8"/>
  <c r="E400" i="47" s="1"/>
  <c r="G513" i="8"/>
  <c r="E401" i="47" s="1"/>
  <c r="G514" i="8"/>
  <c r="E402" i="47" s="1"/>
  <c r="G673" i="8"/>
  <c r="E672" i="47" s="1"/>
  <c r="D649" i="47"/>
  <c r="G427" i="8"/>
  <c r="G428" i="8"/>
  <c r="G429" i="8"/>
  <c r="G430" i="8"/>
  <c r="G515" i="8"/>
  <c r="E391" i="47" s="1"/>
  <c r="G517" i="8"/>
  <c r="E393" i="47" s="1"/>
  <c r="G518" i="8"/>
  <c r="E394" i="47" s="1"/>
  <c r="G519" i="8"/>
  <c r="E395" i="47" s="1"/>
  <c r="G520" i="8"/>
  <c r="E396" i="47" s="1"/>
  <c r="G521" i="8"/>
  <c r="E397" i="47" s="1"/>
  <c r="F489" i="8" l="1"/>
  <c r="F233" i="8" l="1"/>
  <c r="F510" i="47" l="1"/>
  <c r="L528" i="8"/>
  <c r="F504" i="47" s="1"/>
  <c r="L527" i="8"/>
  <c r="F496" i="47" s="1"/>
  <c r="L526" i="8"/>
  <c r="F484" i="47" s="1"/>
  <c r="L525" i="8"/>
  <c r="F490" i="47" s="1"/>
  <c r="L524" i="8"/>
  <c r="F486" i="8"/>
  <c r="F478" i="47" l="1"/>
  <c r="E423" i="8"/>
  <c r="P22" i="30" s="1"/>
  <c r="D23" i="8" l="1"/>
  <c r="F6" i="29" s="1"/>
  <c r="F492" i="8" l="1"/>
  <c r="E384" i="47"/>
  <c r="E422" i="8"/>
  <c r="P20" i="30" s="1"/>
  <c r="B114" i="47"/>
  <c r="E393" i="8" l="1"/>
  <c r="B114" i="41"/>
  <c r="C9" i="4"/>
  <c r="E379" i="8" l="1"/>
  <c r="D345" i="47" s="1"/>
  <c r="E380" i="8"/>
  <c r="D346" i="47" s="1"/>
  <c r="E381" i="8"/>
  <c r="D347" i="47" s="1"/>
  <c r="E382" i="8"/>
  <c r="D348" i="47" s="1"/>
  <c r="E383" i="8"/>
  <c r="D349" i="47" s="1"/>
  <c r="E384" i="8"/>
  <c r="D350" i="47" s="1"/>
  <c r="E385" i="8"/>
  <c r="D351" i="47" s="1"/>
  <c r="E386" i="8"/>
  <c r="D352" i="47" s="1"/>
  <c r="E387" i="8"/>
  <c r="D353" i="47" s="1"/>
  <c r="E378" i="8"/>
  <c r="D344" i="47" s="1"/>
  <c r="F362" i="8"/>
  <c r="F329" i="47" s="1"/>
  <c r="F363" i="8"/>
  <c r="F330" i="47" s="1"/>
  <c r="F364" i="8"/>
  <c r="F331" i="47" s="1"/>
  <c r="F365" i="8"/>
  <c r="F332" i="47" s="1"/>
  <c r="F366" i="8"/>
  <c r="F333" i="47" s="1"/>
  <c r="F367" i="8"/>
  <c r="F334" i="47" s="1"/>
  <c r="F368" i="8"/>
  <c r="F335" i="47" s="1"/>
  <c r="F369" i="8"/>
  <c r="F336" i="47" s="1"/>
  <c r="F370" i="8"/>
  <c r="F337" i="47" s="1"/>
  <c r="F371" i="8"/>
  <c r="F338" i="47" s="1"/>
  <c r="F372" i="8"/>
  <c r="F339" i="47" s="1"/>
  <c r="F361" i="8"/>
  <c r="F328" i="47" s="1"/>
  <c r="F332" i="41" l="1"/>
  <c r="D344" i="41"/>
  <c r="F334" i="41"/>
  <c r="D351" i="41"/>
  <c r="F333" i="41"/>
  <c r="F329" i="41"/>
  <c r="D352" i="41"/>
  <c r="D348" i="41"/>
  <c r="F331" i="41"/>
  <c r="F328" i="41"/>
  <c r="D347" i="41"/>
  <c r="D353" i="41"/>
  <c r="D350" i="41"/>
  <c r="F338" i="41"/>
  <c r="D346" i="41"/>
  <c r="F330" i="41"/>
  <c r="F339" i="41"/>
  <c r="D349" i="41"/>
  <c r="F337" i="41"/>
  <c r="F336" i="41"/>
  <c r="F335" i="41"/>
  <c r="D345" i="41"/>
  <c r="E18" i="30" l="1"/>
  <c r="H29" i="47"/>
  <c r="H29" i="41" l="1"/>
  <c r="G277" i="47"/>
  <c r="G276" i="47"/>
  <c r="F22" i="28"/>
  <c r="I12" i="21" l="1"/>
  <c r="E12" i="21"/>
  <c r="F495" i="8"/>
  <c r="G381" i="47" s="1"/>
  <c r="G276" i="41"/>
  <c r="F496" i="8"/>
  <c r="G382" i="47" s="1"/>
  <c r="G277" i="41"/>
  <c r="M215" i="8"/>
  <c r="M214" i="8"/>
  <c r="M213" i="8"/>
  <c r="M212" i="8"/>
  <c r="E404" i="8" l="1"/>
  <c r="E405" i="8"/>
  <c r="E403" i="8" l="1"/>
  <c r="F404" i="8" s="1"/>
  <c r="E29" i="30" s="1"/>
  <c r="C132" i="8"/>
  <c r="AC22" i="31" l="1"/>
  <c r="E232" i="8"/>
  <c r="F188" i="47" s="1"/>
  <c r="F188" i="41" l="1"/>
  <c r="E410" i="8"/>
  <c r="E33" i="30" s="1"/>
  <c r="E165" i="41" l="1"/>
  <c r="E400" i="8"/>
  <c r="E14" i="30" s="1"/>
  <c r="Z34" i="3"/>
  <c r="Z33" i="3"/>
  <c r="Z32" i="3"/>
  <c r="Z31" i="3"/>
  <c r="Z29" i="3"/>
  <c r="Z28" i="3"/>
  <c r="Z27" i="3"/>
  <c r="Z25" i="3"/>
  <c r="Z24" i="3"/>
  <c r="Z20" i="3"/>
  <c r="Z19" i="3"/>
  <c r="Z18" i="3"/>
  <c r="Z17" i="3"/>
  <c r="Z15" i="3"/>
  <c r="Z14" i="3"/>
  <c r="Z13" i="3"/>
  <c r="Z11" i="3"/>
  <c r="Z10" i="3"/>
  <c r="Z9" i="3"/>
  <c r="Z8" i="3"/>
  <c r="Z7" i="3"/>
  <c r="Z6" i="3"/>
  <c r="D387" i="8"/>
  <c r="B353" i="47" s="1"/>
  <c r="C387" i="8"/>
  <c r="A353" i="47" s="1"/>
  <c r="D386" i="8"/>
  <c r="B352" i="47" s="1"/>
  <c r="C386" i="8"/>
  <c r="A352" i="47" s="1"/>
  <c r="D385" i="8"/>
  <c r="B351" i="47" s="1"/>
  <c r="C385" i="8"/>
  <c r="A351" i="47" s="1"/>
  <c r="D384" i="8"/>
  <c r="B350" i="47" s="1"/>
  <c r="C384" i="8"/>
  <c r="A350" i="47" s="1"/>
  <c r="D383" i="8"/>
  <c r="B349" i="47" s="1"/>
  <c r="C383" i="8"/>
  <c r="A349" i="47" s="1"/>
  <c r="D382" i="8"/>
  <c r="B348" i="47" s="1"/>
  <c r="C382" i="8"/>
  <c r="A348" i="47" s="1"/>
  <c r="D381" i="8"/>
  <c r="B347" i="47" s="1"/>
  <c r="C381" i="8"/>
  <c r="A347" i="47" s="1"/>
  <c r="D380" i="8"/>
  <c r="B346" i="47" s="1"/>
  <c r="C380" i="8"/>
  <c r="A346" i="47" s="1"/>
  <c r="D379" i="8"/>
  <c r="B345" i="47" s="1"/>
  <c r="C379" i="8"/>
  <c r="A345" i="47" s="1"/>
  <c r="D378" i="8"/>
  <c r="B344" i="47" s="1"/>
  <c r="C378" i="8"/>
  <c r="A344" i="47" s="1"/>
  <c r="E372" i="8"/>
  <c r="D339" i="47" s="1"/>
  <c r="D372" i="8"/>
  <c r="C372" i="8"/>
  <c r="A339" i="47" s="1"/>
  <c r="D338" i="41"/>
  <c r="D371" i="8"/>
  <c r="C371" i="8"/>
  <c r="A338" i="47" s="1"/>
  <c r="D337" i="41"/>
  <c r="D370" i="8"/>
  <c r="C370" i="8"/>
  <c r="A337" i="47" s="1"/>
  <c r="D336" i="41"/>
  <c r="D369" i="8"/>
  <c r="C369" i="8"/>
  <c r="A336" i="47" s="1"/>
  <c r="D335" i="41"/>
  <c r="D368" i="8"/>
  <c r="C368" i="8"/>
  <c r="A335" i="47" s="1"/>
  <c r="E367" i="8"/>
  <c r="D334" i="47" s="1"/>
  <c r="D367" i="8"/>
  <c r="C367" i="8"/>
  <c r="A334" i="47" s="1"/>
  <c r="E366" i="8"/>
  <c r="D333" i="47" s="1"/>
  <c r="D366" i="8"/>
  <c r="C366" i="8"/>
  <c r="A333" i="47" s="1"/>
  <c r="E365" i="8"/>
  <c r="D332" i="47" s="1"/>
  <c r="D365" i="8"/>
  <c r="C365" i="8"/>
  <c r="A332" i="47" s="1"/>
  <c r="E364" i="8"/>
  <c r="D331" i="47" s="1"/>
  <c r="D364" i="8"/>
  <c r="C364" i="8"/>
  <c r="A331" i="47" s="1"/>
  <c r="E363" i="8"/>
  <c r="D330" i="47" s="1"/>
  <c r="D363" i="8"/>
  <c r="C363" i="8"/>
  <c r="A330" i="47" s="1"/>
  <c r="E362" i="8"/>
  <c r="D329" i="47" s="1"/>
  <c r="D362" i="8"/>
  <c r="B329" i="47" s="1"/>
  <c r="C362" i="8"/>
  <c r="A329" i="47" s="1"/>
  <c r="E361" i="8"/>
  <c r="D328" i="47" s="1"/>
  <c r="D361" i="8"/>
  <c r="B328" i="47" s="1"/>
  <c r="C361" i="8"/>
  <c r="A328" i="47" s="1"/>
  <c r="E314" i="8"/>
  <c r="C277" i="47" s="1"/>
  <c r="F311" i="8"/>
  <c r="G278" i="47" s="1"/>
  <c r="E308" i="8"/>
  <c r="C276" i="47" s="1"/>
  <c r="C308" i="8"/>
  <c r="E307" i="8"/>
  <c r="C275" i="47" s="1"/>
  <c r="C232" i="8"/>
  <c r="E170" i="47"/>
  <c r="E169" i="47"/>
  <c r="C223" i="8"/>
  <c r="B171" i="47"/>
  <c r="C217" i="8"/>
  <c r="B170" i="47"/>
  <c r="C216" i="8"/>
  <c r="S215" i="8"/>
  <c r="R215" i="8"/>
  <c r="Q215" i="8"/>
  <c r="P215" i="8"/>
  <c r="O215" i="8"/>
  <c r="N215" i="8"/>
  <c r="S214" i="8"/>
  <c r="R214" i="8"/>
  <c r="Q214" i="8"/>
  <c r="P214" i="8"/>
  <c r="O214" i="8"/>
  <c r="N214" i="8"/>
  <c r="S213" i="8"/>
  <c r="R213" i="8"/>
  <c r="Q213" i="8"/>
  <c r="P213" i="8"/>
  <c r="O213" i="8"/>
  <c r="N213" i="8"/>
  <c r="S212" i="8"/>
  <c r="R212" i="8"/>
  <c r="Q212" i="8"/>
  <c r="P212" i="8"/>
  <c r="O212" i="8"/>
  <c r="N212" i="8"/>
  <c r="E183" i="47"/>
  <c r="C183" i="47"/>
  <c r="C208" i="8"/>
  <c r="E176" i="47"/>
  <c r="B176" i="47"/>
  <c r="C205" i="8"/>
  <c r="C200" i="8"/>
  <c r="C199" i="8"/>
  <c r="C198" i="8"/>
  <c r="E197" i="8"/>
  <c r="B165" i="47" s="1"/>
  <c r="C197" i="8"/>
  <c r="E196" i="8"/>
  <c r="E164" i="47" s="1"/>
  <c r="C196" i="8"/>
  <c r="G182" i="8"/>
  <c r="F182" i="8"/>
  <c r="E182" i="8"/>
  <c r="C124" i="47" s="1"/>
  <c r="M180" i="8"/>
  <c r="H180" i="8"/>
  <c r="G180" i="8"/>
  <c r="F180" i="8"/>
  <c r="E180" i="8"/>
  <c r="E116" i="47"/>
  <c r="E114" i="47"/>
  <c r="B118" i="47"/>
  <c r="B116" i="47"/>
  <c r="E112" i="47"/>
  <c r="G162" i="8"/>
  <c r="F162" i="8"/>
  <c r="G161" i="8"/>
  <c r="F161" i="8"/>
  <c r="G160" i="8"/>
  <c r="F160" i="8"/>
  <c r="C97" i="8"/>
  <c r="L135" i="8"/>
  <c r="K135" i="8"/>
  <c r="J135" i="8"/>
  <c r="I135" i="8"/>
  <c r="G135" i="8"/>
  <c r="F135" i="8"/>
  <c r="E135" i="8"/>
  <c r="E63" i="8"/>
  <c r="C63" i="8"/>
  <c r="B18" i="47"/>
  <c r="G7" i="29"/>
  <c r="C10" i="8"/>
  <c r="C9" i="8"/>
  <c r="E8" i="8"/>
  <c r="B9" i="47" s="1"/>
  <c r="E7" i="8"/>
  <c r="B8" i="47" s="1"/>
  <c r="E6" i="8"/>
  <c r="B7" i="47" s="1"/>
  <c r="H98" i="9"/>
  <c r="AD18" i="9"/>
  <c r="B22" i="47" l="1"/>
  <c r="B22" i="41"/>
  <c r="C197" i="47"/>
  <c r="Z28" i="31"/>
  <c r="F664" i="8" s="1"/>
  <c r="G650" i="47" s="1"/>
  <c r="C196" i="47"/>
  <c r="Z26" i="31"/>
  <c r="F663" i="8" s="1"/>
  <c r="G649" i="47" s="1"/>
  <c r="D183" i="47"/>
  <c r="C176" i="47"/>
  <c r="D176" i="47"/>
  <c r="B183" i="47"/>
  <c r="C311" i="8"/>
  <c r="E164" i="41"/>
  <c r="D330" i="41"/>
  <c r="B346" i="41"/>
  <c r="D339" i="41"/>
  <c r="B347" i="41"/>
  <c r="B351" i="41"/>
  <c r="B345" i="41"/>
  <c r="D333" i="41"/>
  <c r="D334" i="41"/>
  <c r="B349" i="41"/>
  <c r="B350" i="41"/>
  <c r="D329" i="41"/>
  <c r="B344" i="41"/>
  <c r="B348" i="41"/>
  <c r="B352" i="41"/>
  <c r="D332" i="41"/>
  <c r="E24" i="41"/>
  <c r="A352" i="41"/>
  <c r="A351" i="41"/>
  <c r="A350" i="41"/>
  <c r="A349" i="41"/>
  <c r="A348" i="41"/>
  <c r="A347" i="41"/>
  <c r="A346" i="41"/>
  <c r="A345" i="41"/>
  <c r="A344" i="41"/>
  <c r="D328" i="41"/>
  <c r="A339" i="41"/>
  <c r="A338" i="41"/>
  <c r="A337" i="41"/>
  <c r="A336" i="41"/>
  <c r="A335" i="41"/>
  <c r="A334" i="41"/>
  <c r="A333" i="41"/>
  <c r="A332" i="41"/>
  <c r="D331" i="41"/>
  <c r="A331" i="41"/>
  <c r="A330" i="41"/>
  <c r="B329" i="41"/>
  <c r="A329" i="41"/>
  <c r="B328" i="41"/>
  <c r="A328" i="41"/>
  <c r="E170" i="41"/>
  <c r="E176" i="41"/>
  <c r="C485" i="47"/>
  <c r="B485" i="47"/>
  <c r="B491" i="47"/>
  <c r="B479" i="47"/>
  <c r="C479" i="47"/>
  <c r="B497" i="47"/>
  <c r="C491" i="47"/>
  <c r="E183" i="41"/>
  <c r="C497" i="47"/>
  <c r="E169" i="41"/>
  <c r="E112" i="41"/>
  <c r="E118" i="41"/>
  <c r="B170" i="41"/>
  <c r="B171" i="41"/>
  <c r="B164" i="41"/>
  <c r="B165" i="41" s="1"/>
  <c r="D485" i="47"/>
  <c r="D176" i="41"/>
  <c r="D491" i="47"/>
  <c r="B183" i="41"/>
  <c r="E491" i="47"/>
  <c r="C183" i="41"/>
  <c r="D183" i="41"/>
  <c r="D479" i="47"/>
  <c r="B176" i="41"/>
  <c r="C176" i="41"/>
  <c r="E485" i="47"/>
  <c r="E114" i="41"/>
  <c r="E116" i="41"/>
  <c r="S18" i="4"/>
  <c r="E41" i="8" s="1"/>
  <c r="I15" i="47" s="1"/>
  <c r="S14" i="4"/>
  <c r="E39" i="8" s="1"/>
  <c r="I12" i="47" s="1"/>
  <c r="P14" i="4"/>
  <c r="E34" i="8" s="1"/>
  <c r="G12" i="47" s="1"/>
  <c r="P16" i="4"/>
  <c r="E35" i="8" s="1"/>
  <c r="I13" i="47" s="1"/>
  <c r="P20" i="4"/>
  <c r="E37" i="8" s="1"/>
  <c r="G15" i="47" s="1"/>
  <c r="S16" i="4"/>
  <c r="E40" i="8" s="1"/>
  <c r="I14" i="47" s="1"/>
  <c r="S12" i="4"/>
  <c r="E38" i="8" s="1"/>
  <c r="I11" i="47" s="1"/>
  <c r="P12" i="4"/>
  <c r="E33" i="8" s="1"/>
  <c r="G11" i="47" s="1"/>
  <c r="E36" i="8"/>
  <c r="G14" i="47" s="1"/>
  <c r="S20" i="4"/>
  <c r="E42" i="8" s="1"/>
  <c r="G13" i="47" s="1"/>
  <c r="E26" i="8"/>
  <c r="Q8" i="4"/>
  <c r="E25" i="8" s="1"/>
  <c r="B15" i="47" s="1"/>
  <c r="E28" i="8"/>
  <c r="E13" i="47" s="1"/>
  <c r="M8" i="4"/>
  <c r="E24" i="8" s="1"/>
  <c r="E12" i="47" s="1"/>
  <c r="J8" i="4"/>
  <c r="E23" i="8" s="1"/>
  <c r="E11" i="47" s="1"/>
  <c r="J18" i="4"/>
  <c r="E30" i="8" s="1"/>
  <c r="B13" i="47" s="1"/>
  <c r="E479" i="47"/>
  <c r="B7" i="41"/>
  <c r="B8" i="41"/>
  <c r="B9" i="41"/>
  <c r="D52" i="26"/>
  <c r="D50" i="26"/>
  <c r="D40" i="26"/>
  <c r="D42" i="26"/>
  <c r="E411" i="8"/>
  <c r="E35" i="30" s="1"/>
  <c r="F7" i="41"/>
  <c r="B18" i="41"/>
  <c r="B112" i="41"/>
  <c r="H277" i="41"/>
  <c r="C277" i="41"/>
  <c r="C276" i="41"/>
  <c r="H276" i="41"/>
  <c r="C275" i="41"/>
  <c r="B353" i="41"/>
  <c r="A353" i="41"/>
  <c r="B118" i="41"/>
  <c r="C124" i="41"/>
  <c r="E398" i="8"/>
  <c r="E397" i="8"/>
  <c r="C84" i="8"/>
  <c r="C3" i="44" s="1"/>
  <c r="C196" i="41"/>
  <c r="C197" i="41"/>
  <c r="E497" i="8"/>
  <c r="G278" i="41"/>
  <c r="B116" i="41"/>
  <c r="H162" i="8"/>
  <c r="F110" i="47" s="1"/>
  <c r="C505" i="47"/>
  <c r="C504" i="47"/>
  <c r="C510" i="47"/>
  <c r="E394" i="8"/>
  <c r="D26" i="26"/>
  <c r="AB32" i="28"/>
  <c r="G694" i="47"/>
  <c r="E420" i="8"/>
  <c r="P16" i="30" s="1"/>
  <c r="E421" i="8"/>
  <c r="P18" i="30" s="1"/>
  <c r="C164" i="8"/>
  <c r="C47" i="8"/>
  <c r="C61" i="8"/>
  <c r="C60" i="8" s="1"/>
  <c r="F205" i="8"/>
  <c r="C130" i="8"/>
  <c r="C8" i="8"/>
  <c r="H161" i="8"/>
  <c r="F109" i="47" s="1"/>
  <c r="E399" i="8"/>
  <c r="E12" i="30" s="1"/>
  <c r="P6" i="30"/>
  <c r="H160" i="8"/>
  <c r="F108" i="47" s="1"/>
  <c r="E392" i="8"/>
  <c r="C166" i="8"/>
  <c r="C129" i="8"/>
  <c r="C127" i="8"/>
  <c r="X3" i="9"/>
  <c r="C15" i="9"/>
  <c r="C162" i="8"/>
  <c r="C161" i="8"/>
  <c r="E158" i="8"/>
  <c r="C109" i="47" s="1"/>
  <c r="C11" i="9"/>
  <c r="C15" i="8"/>
  <c r="C11" i="8"/>
  <c r="C220" i="8"/>
  <c r="N5" i="22"/>
  <c r="C14" i="8"/>
  <c r="C7" i="8"/>
  <c r="C6" i="8"/>
  <c r="C5" i="8"/>
  <c r="C4" i="8"/>
  <c r="C7" i="21"/>
  <c r="V9" i="9"/>
  <c r="V19" i="9"/>
  <c r="J5" i="22"/>
  <c r="E205" i="8"/>
  <c r="C207" i="8"/>
  <c r="C209" i="8"/>
  <c r="C225" i="8"/>
  <c r="C506" i="47"/>
  <c r="C219" i="8"/>
  <c r="C226" i="8"/>
  <c r="G203" i="8"/>
  <c r="C206" i="8"/>
  <c r="E208" i="8"/>
  <c r="F208" i="8"/>
  <c r="C228" i="8"/>
  <c r="E203" i="8"/>
  <c r="C229" i="8"/>
  <c r="K17" i="9"/>
  <c r="K24" i="9"/>
  <c r="U7" i="22"/>
  <c r="C5" i="22"/>
  <c r="C157" i="8"/>
  <c r="C181" i="8"/>
  <c r="H182" i="8"/>
  <c r="C160" i="8"/>
  <c r="J205" i="8" l="1"/>
  <c r="I205" i="8"/>
  <c r="C126" i="8"/>
  <c r="C512" i="47"/>
  <c r="C511" i="47"/>
  <c r="E14" i="47"/>
  <c r="J23" i="8"/>
  <c r="F24" i="8"/>
  <c r="E10" i="9"/>
  <c r="E497" i="47"/>
  <c r="D497" i="47"/>
  <c r="E11" i="41"/>
  <c r="B612" i="47"/>
  <c r="E14" i="41"/>
  <c r="F110" i="41"/>
  <c r="E12" i="41"/>
  <c r="E13" i="41"/>
  <c r="J8" i="29"/>
  <c r="C26" i="8"/>
  <c r="C36" i="8"/>
  <c r="C33" i="8"/>
  <c r="C38" i="8"/>
  <c r="J10" i="29"/>
  <c r="C40" i="8"/>
  <c r="C37" i="8"/>
  <c r="C35" i="8"/>
  <c r="C34" i="8"/>
  <c r="C39" i="8"/>
  <c r="C41" i="8"/>
  <c r="G8" i="29"/>
  <c r="G6" i="29"/>
  <c r="M7" i="29"/>
  <c r="C42" i="8"/>
  <c r="D21" i="9"/>
  <c r="J21" i="8"/>
  <c r="E21" i="8"/>
  <c r="E16" i="47" s="1"/>
  <c r="E27" i="8"/>
  <c r="E15" i="47" s="1"/>
  <c r="C22" i="8"/>
  <c r="E31" i="8"/>
  <c r="B14" i="47" s="1"/>
  <c r="G13" i="41"/>
  <c r="G11" i="41"/>
  <c r="C24" i="8"/>
  <c r="M9" i="29"/>
  <c r="I13" i="41"/>
  <c r="B15" i="41"/>
  <c r="M11" i="29"/>
  <c r="G12" i="41"/>
  <c r="C25" i="8"/>
  <c r="I12" i="41"/>
  <c r="I11" i="41"/>
  <c r="M10" i="29"/>
  <c r="G14" i="41"/>
  <c r="I14" i="41"/>
  <c r="I15" i="41"/>
  <c r="B13" i="41"/>
  <c r="G10" i="29"/>
  <c r="L172" i="8"/>
  <c r="K172" i="8"/>
  <c r="J172" i="8"/>
  <c r="C30" i="8"/>
  <c r="C9" i="29"/>
  <c r="G15" i="41"/>
  <c r="C23" i="8"/>
  <c r="G9" i="29"/>
  <c r="J7" i="29"/>
  <c r="C28" i="8"/>
  <c r="J208" i="8"/>
  <c r="I208" i="8"/>
  <c r="G205" i="8"/>
  <c r="G19" i="27"/>
  <c r="G10" i="27"/>
  <c r="C109" i="41"/>
  <c r="F108" i="41"/>
  <c r="F109" i="41"/>
  <c r="J162" i="8"/>
  <c r="J160" i="8"/>
  <c r="E418" i="8" s="1"/>
  <c r="D54" i="26"/>
  <c r="D44" i="26"/>
  <c r="C3" i="46"/>
  <c r="D136" i="8"/>
  <c r="L136" i="8" s="1"/>
  <c r="L137" i="8" s="1"/>
  <c r="C310" i="8"/>
  <c r="C306" i="8" s="1"/>
  <c r="B4" i="21" s="1"/>
  <c r="AD18" i="22"/>
  <c r="H205" i="8"/>
  <c r="C224" i="8"/>
  <c r="AD20" i="22"/>
  <c r="G208" i="8"/>
  <c r="H208" i="8"/>
  <c r="C156" i="8"/>
  <c r="B3" i="9" s="1"/>
  <c r="I182" i="8"/>
  <c r="J182" i="8" s="1"/>
  <c r="B126" i="47" s="1"/>
  <c r="K19" i="9" l="1"/>
  <c r="C167" i="8"/>
  <c r="C168" i="8"/>
  <c r="E177" i="8"/>
  <c r="C123" i="41" s="1"/>
  <c r="E176" i="8"/>
  <c r="C122" i="47" s="1"/>
  <c r="H207" i="8"/>
  <c r="C177" i="47" s="1"/>
  <c r="G207" i="8"/>
  <c r="B177" i="47" s="1"/>
  <c r="I207" i="8"/>
  <c r="D177" i="47" s="1"/>
  <c r="J207" i="8"/>
  <c r="E177" i="47" s="1"/>
  <c r="H210" i="8"/>
  <c r="C184" i="47" s="1"/>
  <c r="G210" i="8"/>
  <c r="B184" i="47" s="1"/>
  <c r="I210" i="8"/>
  <c r="D184" i="47" s="1"/>
  <c r="J210" i="8"/>
  <c r="E184" i="47" s="1"/>
  <c r="F34" i="47"/>
  <c r="AB12" i="27"/>
  <c r="W21" i="22"/>
  <c r="B192" i="41"/>
  <c r="B192" i="47"/>
  <c r="W14" i="22"/>
  <c r="B191" i="41"/>
  <c r="F34" i="41"/>
  <c r="E417" i="8"/>
  <c r="G625" i="8"/>
  <c r="E623" i="8" s="1"/>
  <c r="E16" i="41"/>
  <c r="E15" i="41"/>
  <c r="E396" i="8"/>
  <c r="C31" i="8"/>
  <c r="E395" i="8"/>
  <c r="F167" i="8"/>
  <c r="E29" i="8"/>
  <c r="B12" i="47" s="1"/>
  <c r="Q3" i="43"/>
  <c r="B3" i="43"/>
  <c r="J11" i="29"/>
  <c r="J173" i="8"/>
  <c r="L173" i="8"/>
  <c r="K173" i="8"/>
  <c r="C27" i="8"/>
  <c r="M8" i="29"/>
  <c r="G16" i="41"/>
  <c r="J6" i="29"/>
  <c r="B14" i="41"/>
  <c r="M6" i="29"/>
  <c r="D8" i="31"/>
  <c r="L205" i="8"/>
  <c r="K160" i="8"/>
  <c r="E419" i="8" s="1"/>
  <c r="P14" i="30" s="1"/>
  <c r="E412" i="8"/>
  <c r="E39" i="30" s="1"/>
  <c r="I136" i="8"/>
  <c r="I137" i="8" s="1"/>
  <c r="E136" i="8"/>
  <c r="E137" i="8" s="1"/>
  <c r="J136" i="8"/>
  <c r="J137" i="8" s="1"/>
  <c r="F136" i="8"/>
  <c r="K136" i="8"/>
  <c r="K137" i="8" s="1"/>
  <c r="G136" i="8"/>
  <c r="G137" i="8" s="1"/>
  <c r="E413" i="8"/>
  <c r="E37" i="30" s="1"/>
  <c r="L208" i="8"/>
  <c r="C123" i="47" l="1"/>
  <c r="C122" i="41"/>
  <c r="C163" i="8"/>
  <c r="F137" i="8"/>
  <c r="Z8" i="27" s="1"/>
  <c r="H170" i="47"/>
  <c r="H170" i="41"/>
  <c r="C129" i="47"/>
  <c r="E31" i="47"/>
  <c r="AA8" i="27"/>
  <c r="Y8" i="27"/>
  <c r="C31" i="41"/>
  <c r="C34" i="47"/>
  <c r="Y12" i="27"/>
  <c r="E34" i="47"/>
  <c r="AA12" i="27"/>
  <c r="D31" i="47"/>
  <c r="D31" i="41"/>
  <c r="D34" i="47"/>
  <c r="Z12" i="27"/>
  <c r="C198" i="47"/>
  <c r="Z30" i="31"/>
  <c r="C31" i="47"/>
  <c r="E31" i="41"/>
  <c r="C34" i="41"/>
  <c r="E34" i="41"/>
  <c r="D34" i="41"/>
  <c r="C221" i="8"/>
  <c r="C189" i="8" s="1"/>
  <c r="C3" i="22" s="1"/>
  <c r="G623" i="8"/>
  <c r="E184" i="41"/>
  <c r="C498" i="47"/>
  <c r="C184" i="41"/>
  <c r="C492" i="47"/>
  <c r="B184" i="41"/>
  <c r="B492" i="47"/>
  <c r="C177" i="41"/>
  <c r="C480" i="47"/>
  <c r="E177" i="41"/>
  <c r="C486" i="47"/>
  <c r="B486" i="47"/>
  <c r="D184" i="41"/>
  <c r="B498" i="47"/>
  <c r="B480" i="47"/>
  <c r="X6" i="9"/>
  <c r="C198" i="41"/>
  <c r="J33" i="22"/>
  <c r="B177" i="41"/>
  <c r="E407" i="8"/>
  <c r="D177" i="41"/>
  <c r="G393" i="8"/>
  <c r="E6" i="30" s="1"/>
  <c r="J9" i="29"/>
  <c r="C29" i="8"/>
  <c r="B12" i="41"/>
  <c r="C7" i="29"/>
  <c r="C21" i="8"/>
  <c r="B16" i="41"/>
  <c r="F24" i="28"/>
  <c r="E705" i="8" s="1"/>
  <c r="C129" i="41"/>
  <c r="C176" i="8"/>
  <c r="E408" i="8"/>
  <c r="B126" i="41"/>
  <c r="D34" i="26"/>
  <c r="D8" i="26"/>
  <c r="D18" i="26"/>
  <c r="D10" i="26"/>
  <c r="P10" i="30"/>
  <c r="P11" i="30"/>
  <c r="P12" i="30"/>
  <c r="D32" i="26"/>
  <c r="D16" i="26"/>
  <c r="D24" i="26"/>
  <c r="C174" i="8"/>
  <c r="H16" i="22"/>
  <c r="F16" i="22"/>
  <c r="P16" i="22"/>
  <c r="N16" i="22"/>
  <c r="P24" i="22"/>
  <c r="N24" i="22"/>
  <c r="H24" i="22"/>
  <c r="F24" i="22"/>
  <c r="D197" i="41" l="1"/>
  <c r="D196" i="47"/>
  <c r="D197" i="47"/>
  <c r="C703" i="47"/>
  <c r="D610" i="47"/>
  <c r="D196" i="41"/>
  <c r="E706" i="8"/>
  <c r="L31" i="22"/>
  <c r="E401" i="8"/>
  <c r="E16" i="30" s="1"/>
  <c r="E406" i="8"/>
  <c r="F407" i="8" s="1"/>
  <c r="E31" i="30" s="1"/>
  <c r="C18" i="8"/>
  <c r="C177" i="8"/>
  <c r="K182" i="8"/>
  <c r="AD6" i="9"/>
  <c r="E493" i="8"/>
  <c r="E487" i="8"/>
  <c r="B125" i="47" l="1"/>
  <c r="W13" i="9"/>
  <c r="C704" i="47"/>
  <c r="O22" i="28"/>
  <c r="E416" i="8"/>
  <c r="P8" i="30" s="1"/>
  <c r="B125" i="41"/>
  <c r="W15" i="9"/>
  <c r="E505" i="47"/>
  <c r="E506" i="47"/>
  <c r="E504" i="47"/>
  <c r="E512" i="47" l="1"/>
  <c r="E510" i="47"/>
  <c r="E511" i="47"/>
  <c r="I6" i="31" l="1"/>
  <c r="F623" i="8" l="1"/>
  <c r="H610" i="47" l="1"/>
  <c r="AH8" i="22"/>
  <c r="P6" i="31"/>
  <c r="G11" i="29"/>
  <c r="F8" i="41"/>
  <c r="C13" i="8"/>
  <c r="C3" i="8" s="1"/>
  <c r="B3" i="4" s="1"/>
  <c r="E43" i="8"/>
  <c r="C43" i="8" s="1"/>
  <c r="O22" i="51"/>
  <c r="E585" i="8" s="1"/>
  <c r="B554" i="47" s="1"/>
  <c r="O38" i="51"/>
  <c r="E595" i="8" s="1"/>
  <c r="T34" i="51"/>
  <c r="E597" i="8" s="1"/>
  <c r="F665" i="8"/>
  <c r="F666" i="8" s="1"/>
  <c r="F559" i="47" l="1"/>
  <c r="G651" i="47"/>
  <c r="G652" i="47"/>
  <c r="Z32" i="31" l="1"/>
  <c r="B434" i="47"/>
  <c r="G8" i="49"/>
  <c r="E442" i="8" s="1"/>
  <c r="C442" i="8"/>
  <c r="C440" i="8" s="1"/>
  <c r="D431" i="47"/>
  <c r="C456" i="8"/>
  <c r="C454" i="8" s="1"/>
  <c r="E434" i="47"/>
  <c r="C472" i="8" l="1"/>
  <c r="C470" i="8" s="1"/>
</calcChain>
</file>

<file path=xl/sharedStrings.xml><?xml version="1.0" encoding="utf-8"?>
<sst xmlns="http://schemas.openxmlformats.org/spreadsheetml/2006/main" count="3549" uniqueCount="1601">
  <si>
    <t>TEFC</t>
  </si>
  <si>
    <t>TENV</t>
  </si>
  <si>
    <t>RPM:</t>
  </si>
  <si>
    <t>General Electric</t>
  </si>
  <si>
    <t>Baldor</t>
  </si>
  <si>
    <t>TECO Westinghouse</t>
  </si>
  <si>
    <t>AO Smith</t>
  </si>
  <si>
    <t>Brook Crompton</t>
  </si>
  <si>
    <t>Century</t>
  </si>
  <si>
    <t>Dayton</t>
  </si>
  <si>
    <t>Emerson</t>
  </si>
  <si>
    <t>Leeson</t>
  </si>
  <si>
    <t>Lincoln</t>
  </si>
  <si>
    <t>Magnatek</t>
  </si>
  <si>
    <t>Marathon</t>
  </si>
  <si>
    <t>Reliance</t>
  </si>
  <si>
    <t>Siemens</t>
  </si>
  <si>
    <t>Taco</t>
  </si>
  <si>
    <t>Toshiba</t>
  </si>
  <si>
    <t>US Motors</t>
  </si>
  <si>
    <t>Weg</t>
  </si>
  <si>
    <t>Phillips 66</t>
  </si>
  <si>
    <t>Conhagen</t>
  </si>
  <si>
    <t>Super Stores</t>
  </si>
  <si>
    <t>Culinary Farms</t>
  </si>
  <si>
    <t>Integrated Turbo</t>
  </si>
  <si>
    <t>Unico</t>
  </si>
  <si>
    <t>Valero</t>
  </si>
  <si>
    <t>Napa Public Works</t>
  </si>
  <si>
    <t>Motor Manufacturers (19)</t>
  </si>
  <si>
    <t>Turbo Machinery</t>
  </si>
  <si>
    <t>Customers (11)</t>
  </si>
  <si>
    <t>C&amp;H Sugar</t>
  </si>
  <si>
    <t>Mechanics</t>
  </si>
  <si>
    <t>Motor Data</t>
  </si>
  <si>
    <t>Mechanic:</t>
  </si>
  <si>
    <t>Customer:</t>
  </si>
  <si>
    <t>VEM Job #:</t>
  </si>
  <si>
    <t>VEM Equip ID#:</t>
  </si>
  <si>
    <t>Date In:</t>
  </si>
  <si>
    <t>Date Out:</t>
  </si>
  <si>
    <t>SHOP REPAIR REPORT</t>
  </si>
  <si>
    <t>Enclosures</t>
  </si>
  <si>
    <t>XP</t>
  </si>
  <si>
    <t>Job Data</t>
  </si>
  <si>
    <t>Job Information</t>
  </si>
  <si>
    <t>Manufacturer:</t>
  </si>
  <si>
    <t>Orientation:</t>
  </si>
  <si>
    <t xml:space="preserve">Frame: </t>
  </si>
  <si>
    <t>Voltage:</t>
  </si>
  <si>
    <t>Amps:</t>
  </si>
  <si>
    <t>Enclosure:</t>
  </si>
  <si>
    <t>Duty:</t>
  </si>
  <si>
    <t>Type:</t>
  </si>
  <si>
    <t>Ambient T°:</t>
  </si>
  <si>
    <t>Phase:</t>
  </si>
  <si>
    <t>Code:</t>
  </si>
  <si>
    <t>Cycles:</t>
  </si>
  <si>
    <t>Design:</t>
  </si>
  <si>
    <t>Junction Box:</t>
  </si>
  <si>
    <t>Fan:</t>
  </si>
  <si>
    <t>Lead Condition</t>
  </si>
  <si>
    <t>Good</t>
  </si>
  <si>
    <t>Damaged, repairable</t>
  </si>
  <si>
    <t>Bad, not repairable</t>
  </si>
  <si>
    <t>Fan Condition:</t>
  </si>
  <si>
    <t>Customer Motor #:</t>
  </si>
  <si>
    <t>Comments:</t>
  </si>
  <si>
    <t>Too short</t>
  </si>
  <si>
    <t>Vertical</t>
  </si>
  <si>
    <t>Axial</t>
  </si>
  <si>
    <t xml:space="preserve">Customer Reason for Sending: </t>
  </si>
  <si>
    <t>Weight:</t>
  </si>
  <si>
    <t>Standard (F1)</t>
  </si>
  <si>
    <t>Insulation Class:</t>
  </si>
  <si>
    <t>Configuration:</t>
  </si>
  <si>
    <t>Motor:</t>
  </si>
  <si>
    <t>Eyebolts:</t>
  </si>
  <si>
    <t>Notes on Equipment Found:</t>
  </si>
  <si>
    <t>Red</t>
  </si>
  <si>
    <t>Blue</t>
  </si>
  <si>
    <t>Brown</t>
  </si>
  <si>
    <t>Orange</t>
  </si>
  <si>
    <t>Yellow</t>
  </si>
  <si>
    <t>Black</t>
  </si>
  <si>
    <t>Purple</t>
  </si>
  <si>
    <t>3</t>
  </si>
  <si>
    <t>4,5,6</t>
  </si>
  <si>
    <t>1,6</t>
  </si>
  <si>
    <t>2,4</t>
  </si>
  <si>
    <t>3,5</t>
  </si>
  <si>
    <t>1</t>
  </si>
  <si>
    <t>1,7</t>
  </si>
  <si>
    <t>2,8</t>
  </si>
  <si>
    <t>3,9</t>
  </si>
  <si>
    <t>9</t>
  </si>
  <si>
    <t>1,1</t>
  </si>
  <si>
    <t>2,2</t>
  </si>
  <si>
    <t>3,3</t>
  </si>
  <si>
    <t>U1</t>
  </si>
  <si>
    <t>V1</t>
  </si>
  <si>
    <t>W1</t>
  </si>
  <si>
    <t>U1,W2</t>
  </si>
  <si>
    <t>V1,U2</t>
  </si>
  <si>
    <t>W1,V2</t>
  </si>
  <si>
    <t>1,6,7</t>
  </si>
  <si>
    <t>3,5,9</t>
  </si>
  <si>
    <t>2,4,8</t>
  </si>
  <si>
    <t>1,12</t>
  </si>
  <si>
    <t>2,10</t>
  </si>
  <si>
    <t>3,11</t>
  </si>
  <si>
    <t>1,6,7,12</t>
  </si>
  <si>
    <t>2,4,6,8,10</t>
  </si>
  <si>
    <t>3,5,9,11</t>
  </si>
  <si>
    <t>U1,W6</t>
  </si>
  <si>
    <t>V1,U6</t>
  </si>
  <si>
    <t>W1,V6</t>
  </si>
  <si>
    <t>U1,U5</t>
  </si>
  <si>
    <t>V1,V5</t>
  </si>
  <si>
    <t>W1,W5</t>
  </si>
  <si>
    <t>U1,U5,W2,W6</t>
  </si>
  <si>
    <t>V1,V5,U2,U6</t>
  </si>
  <si>
    <t>W1,W5,V2,V6</t>
  </si>
  <si>
    <t>Line</t>
  </si>
  <si>
    <t>Join</t>
  </si>
  <si>
    <t>Color</t>
  </si>
  <si>
    <t>Lead Color</t>
  </si>
  <si>
    <t>2</t>
  </si>
  <si>
    <t>4</t>
  </si>
  <si>
    <t>Motor Leads</t>
  </si>
  <si>
    <t>Number of combos</t>
  </si>
  <si>
    <t/>
  </si>
  <si>
    <t>Combo selection</t>
  </si>
  <si>
    <t>Lead #</t>
  </si>
  <si>
    <t>Condition:</t>
  </si>
  <si>
    <t>Notes on stator leads:</t>
  </si>
  <si>
    <t>Lead Identifiers:</t>
  </si>
  <si>
    <t>Distance:</t>
  </si>
  <si>
    <t>As Found Equipment</t>
  </si>
  <si>
    <t>Count</t>
  </si>
  <si>
    <t>Damaged</t>
  </si>
  <si>
    <t>Notes on stator leads</t>
  </si>
  <si>
    <t>Heater Lead Identifiers</t>
  </si>
  <si>
    <t>Heater Lead Notes</t>
  </si>
  <si>
    <t>Customer PO #:</t>
  </si>
  <si>
    <t>Required</t>
  </si>
  <si>
    <t>X</t>
  </si>
  <si>
    <t>Input needed</t>
  </si>
  <si>
    <t>Insul Class:</t>
  </si>
  <si>
    <t>Metric/Top (F3)</t>
  </si>
  <si>
    <t>Junction Box</t>
  </si>
  <si>
    <t>None</t>
  </si>
  <si>
    <t>Half</t>
  </si>
  <si>
    <t>Full</t>
  </si>
  <si>
    <t>Cord</t>
  </si>
  <si>
    <t>Color &gt;</t>
  </si>
  <si>
    <t>U1,U5,W2</t>
  </si>
  <si>
    <t>V1,V5,U2</t>
  </si>
  <si>
    <t>W1,W5,V2</t>
  </si>
  <si>
    <t>Cord:</t>
  </si>
  <si>
    <t>Condition</t>
  </si>
  <si>
    <t>Item</t>
  </si>
  <si>
    <t>Configuration</t>
  </si>
  <si>
    <t>S.F.:</t>
  </si>
  <si>
    <t>Power Factor:</t>
  </si>
  <si>
    <t>Gearbox:</t>
  </si>
  <si>
    <t>Pump:</t>
  </si>
  <si>
    <t>Brake:</t>
  </si>
  <si>
    <t>Junction Box Gaskets:</t>
  </si>
  <si>
    <t>Shaft Key:</t>
  </si>
  <si>
    <t>Keyway Condition:</t>
  </si>
  <si>
    <t>Number of leads:</t>
  </si>
  <si>
    <t>Naming Standard:</t>
  </si>
  <si>
    <t>Lead condition:</t>
  </si>
  <si>
    <t>Color Selection Number</t>
  </si>
  <si>
    <t>Heater leads found:</t>
  </si>
  <si>
    <t>Yes/No</t>
  </si>
  <si>
    <t>Yes</t>
  </si>
  <si>
    <t>No</t>
  </si>
  <si>
    <t>Ohms</t>
  </si>
  <si>
    <t>Ohm ranges</t>
  </si>
  <si>
    <t>K-Ohms</t>
  </si>
  <si>
    <t>M-Ohms</t>
  </si>
  <si>
    <t>Shaft spins freely:</t>
  </si>
  <si>
    <t>G-Ohms</t>
  </si>
  <si>
    <t>T-Ohms</t>
  </si>
  <si>
    <t>Motor Faces</t>
  </si>
  <si>
    <t>P-Face</t>
  </si>
  <si>
    <t>C-Face</t>
  </si>
  <si>
    <t>D-Face</t>
  </si>
  <si>
    <t>Face</t>
  </si>
  <si>
    <t>00</t>
  </si>
  <si>
    <t>j5</t>
  </si>
  <si>
    <t>01</t>
  </si>
  <si>
    <t>02</t>
  </si>
  <si>
    <t>03</t>
  </si>
  <si>
    <t>04</t>
  </si>
  <si>
    <t>k5</t>
  </si>
  <si>
    <t>05</t>
  </si>
  <si>
    <t>06</t>
  </si>
  <si>
    <t>07</t>
  </si>
  <si>
    <t>08</t>
  </si>
  <si>
    <t>09</t>
  </si>
  <si>
    <t>m5</t>
  </si>
  <si>
    <t>m6</t>
  </si>
  <si>
    <t>Basic #</t>
  </si>
  <si>
    <t>Journal Class</t>
  </si>
  <si>
    <t>Max Shaft Journal</t>
  </si>
  <si>
    <t>Min Shaft Journal</t>
  </si>
  <si>
    <t>200 Series</t>
  </si>
  <si>
    <t>300 Series</t>
  </si>
  <si>
    <t>Min Housing</t>
  </si>
  <si>
    <t>Max Housing</t>
  </si>
  <si>
    <t>Radial Bearings</t>
  </si>
  <si>
    <t>n6</t>
  </si>
  <si>
    <t>p6</t>
  </si>
  <si>
    <t>Roller Bearings</t>
  </si>
  <si>
    <t>Series</t>
  </si>
  <si>
    <t>Brg Series</t>
  </si>
  <si>
    <t>200</t>
  </si>
  <si>
    <t>300</t>
  </si>
  <si>
    <t>Min</t>
  </si>
  <si>
    <t>Max</t>
  </si>
  <si>
    <t>Shaft Min</t>
  </si>
  <si>
    <t>Shaft Max</t>
  </si>
  <si>
    <t>A</t>
  </si>
  <si>
    <t>B</t>
  </si>
  <si>
    <t>C</t>
  </si>
  <si>
    <t>Input Voltage:</t>
  </si>
  <si>
    <t>Largest</t>
  </si>
  <si>
    <t>Least</t>
  </si>
  <si>
    <t>% Diff</t>
  </si>
  <si>
    <t>% of Nameplate</t>
  </si>
  <si>
    <t>As Found Tests - Static</t>
  </si>
  <si>
    <t>As Found Tests - Dynamic</t>
  </si>
  <si>
    <t>Units</t>
  </si>
  <si>
    <t>Shaft Run Out (in):</t>
  </si>
  <si>
    <t>Face Run Out (in):</t>
  </si>
  <si>
    <t>Coupling Run Out (in):</t>
  </si>
  <si>
    <t>Insulation Resistance (IR)</t>
  </si>
  <si>
    <t>A to B</t>
  </si>
  <si>
    <t>A to C</t>
  </si>
  <si>
    <t>B to C</t>
  </si>
  <si>
    <t>Shaft Measurements &amp; Run Outs</t>
  </si>
  <si>
    <t>Notes and recommendations on static tests:</t>
  </si>
  <si>
    <t>Notes and recommendations on dynamic tests:</t>
  </si>
  <si>
    <t>Resistance tolerance</t>
  </si>
  <si>
    <t>Winding (s.b. less than in ohms)</t>
  </si>
  <si>
    <t>To ground (s.b. greater than in ohms)</t>
  </si>
  <si>
    <t>Winding delta (s.b. less than)</t>
  </si>
  <si>
    <t>Run outs (in)</t>
  </si>
  <si>
    <t>Shaft (less or equal)</t>
  </si>
  <si>
    <t>Face (less or equal)</t>
  </si>
  <si>
    <t>Coupling face (less or equal)</t>
  </si>
  <si>
    <t>Coupling rim (less or equal)</t>
  </si>
  <si>
    <t>Input Current</t>
  </si>
  <si>
    <t>Phase Differential (less or equal)</t>
  </si>
  <si>
    <t>Nameplate Differential (less or equal)</t>
  </si>
  <si>
    <t>Winding Resistance:</t>
  </si>
  <si>
    <t>Insulation Resistance:</t>
  </si>
  <si>
    <t>End Play:</t>
  </si>
  <si>
    <t>Face:</t>
  </si>
  <si>
    <t>Rim:</t>
  </si>
  <si>
    <t>Soft Foot:</t>
  </si>
  <si>
    <t>PE</t>
  </si>
  <si>
    <t>OPE</t>
  </si>
  <si>
    <t>Vibration Velocity (in/sec):</t>
  </si>
  <si>
    <t>Total Indicated Runout:</t>
  </si>
  <si>
    <t>MAIN MENU</t>
  </si>
  <si>
    <t>SHOP REPAIR REPORT: As Found Equipment</t>
  </si>
  <si>
    <t>Static Tests Found</t>
  </si>
  <si>
    <t>Dynamic Tests Found</t>
  </si>
  <si>
    <t>Other</t>
  </si>
  <si>
    <t>Mechanical Inspection</t>
  </si>
  <si>
    <t>Journ/Hous Cond</t>
  </si>
  <si>
    <t>Acceptable</t>
  </si>
  <si>
    <t>Loose Material</t>
  </si>
  <si>
    <t>Wiped</t>
  </si>
  <si>
    <t>1st</t>
  </si>
  <si>
    <t>2nd</t>
  </si>
  <si>
    <t>3rd</t>
  </si>
  <si>
    <t>Average</t>
  </si>
  <si>
    <t>Rotor</t>
  </si>
  <si>
    <t>Shaft Ext</t>
  </si>
  <si>
    <t>Mechanical Inspections Found</t>
  </si>
  <si>
    <t>IB:</t>
  </si>
  <si>
    <t>OB:</t>
  </si>
  <si>
    <t>Bearing Fits</t>
  </si>
  <si>
    <t>Coupling Bore Meas:</t>
  </si>
  <si>
    <t>Shaft Extension Meas:</t>
  </si>
  <si>
    <t>Pass/Fail</t>
  </si>
  <si>
    <t>Pass</t>
  </si>
  <si>
    <t>Fail</t>
  </si>
  <si>
    <t>Electrical Inspections Found</t>
  </si>
  <si>
    <t>Hi Pot Test</t>
  </si>
  <si>
    <t>Test Voltage:</t>
  </si>
  <si>
    <t>uAmps</t>
  </si>
  <si>
    <t>Surge Test</t>
  </si>
  <si>
    <t>Test Result:</t>
  </si>
  <si>
    <t>Winding Inspection</t>
  </si>
  <si>
    <t>No issues observed</t>
  </si>
  <si>
    <t>Turn-to-turn short</t>
  </si>
  <si>
    <t>Grounded</t>
  </si>
  <si>
    <t>Rotor/Stator Collision</t>
  </si>
  <si>
    <t>Single phased</t>
  </si>
  <si>
    <t>Overloaded</t>
  </si>
  <si>
    <t>Rotor Open Test:</t>
  </si>
  <si>
    <t>Rotor Open</t>
  </si>
  <si>
    <t>Growler/Pass</t>
  </si>
  <si>
    <t>Growler/Fail</t>
  </si>
  <si>
    <t>Single Phase/Pass</t>
  </si>
  <si>
    <t>Single Phase/Fail</t>
  </si>
  <si>
    <t>No test/No suspicion</t>
  </si>
  <si>
    <t>Invoice #:</t>
  </si>
  <si>
    <t>Cusomer Work Order #:</t>
  </si>
  <si>
    <t>CUSTOMER &amp; JOB DATA</t>
  </si>
  <si>
    <t>NAMEPLATE DATA</t>
  </si>
  <si>
    <t>Frame:</t>
  </si>
  <si>
    <t>EQUIPMENT AS FOUND</t>
  </si>
  <si>
    <t>Connections:</t>
  </si>
  <si>
    <t>Connections</t>
  </si>
  <si>
    <t>3 wire NEMA X</t>
  </si>
  <si>
    <t>3 wire IEC X</t>
  </si>
  <si>
    <t>4+5+6</t>
  </si>
  <si>
    <t>4+7</t>
  </si>
  <si>
    <t>5+8</t>
  </si>
  <si>
    <t>6+9</t>
  </si>
  <si>
    <t>10+11+12</t>
  </si>
  <si>
    <t>2+8</t>
  </si>
  <si>
    <t>U2+V2+W2</t>
  </si>
  <si>
    <t>W2+W5</t>
  </si>
  <si>
    <t>U2+U5</t>
  </si>
  <si>
    <t>V2+V5</t>
  </si>
  <si>
    <t>U6+V6+W6</t>
  </si>
  <si>
    <t>Stator Condition: Debris</t>
  </si>
  <si>
    <t>Stator Condition: Dirty</t>
  </si>
  <si>
    <t>Stator Condition: Greasy</t>
  </si>
  <si>
    <t>Stator Condition: Over greased</t>
  </si>
  <si>
    <t>IB Housing</t>
  </si>
  <si>
    <t>IB Measured:</t>
  </si>
  <si>
    <t>OB Measured:</t>
  </si>
  <si>
    <t>Measured:</t>
  </si>
  <si>
    <t>Opp. Std (F2)</t>
  </si>
  <si>
    <t>A. Alcala</t>
  </si>
  <si>
    <t>A. Lucas</t>
  </si>
  <si>
    <t>C. Salinas</t>
  </si>
  <si>
    <t>C. Alcala</t>
  </si>
  <si>
    <t>D. Robertson</t>
  </si>
  <si>
    <t>D. Lightman</t>
  </si>
  <si>
    <t>Shaft Extention:</t>
  </si>
  <si>
    <t>Ave</t>
  </si>
  <si>
    <t>Coupling Bore:</t>
  </si>
  <si>
    <t>Shaft Ext:</t>
  </si>
  <si>
    <t>Diff from Shaft Ext:</t>
  </si>
  <si>
    <t>MECHANICAL INSPECTIONS</t>
  </si>
  <si>
    <t>ELECTRICAL INSPECTIONS</t>
  </si>
  <si>
    <t>Electrical Inspection</t>
  </si>
  <si>
    <t>Visual Winding:</t>
  </si>
  <si>
    <t>Visual Winding Inspection:</t>
  </si>
  <si>
    <t>Leakage</t>
  </si>
  <si>
    <t>Surge Test:</t>
  </si>
  <si>
    <t>Voltage</t>
  </si>
  <si>
    <t>Result</t>
  </si>
  <si>
    <t>Hi Pot Test:</t>
  </si>
  <si>
    <t>AS FOUND TESTS</t>
  </si>
  <si>
    <t>Face to End of Shaft:</t>
  </si>
  <si>
    <t>STATIC TESTS</t>
  </si>
  <si>
    <t xml:space="preserve">      RESISTANCE</t>
  </si>
  <si>
    <t>DYNAMIC TESTS</t>
  </si>
  <si>
    <t>Current Measured:</t>
  </si>
  <si>
    <t>Horizontal</t>
  </si>
  <si>
    <t xml:space="preserve">      VIBRATION MEASUREMENTS (In/Sec)</t>
  </si>
  <si>
    <t>Vallejo Water Trtmt</t>
  </si>
  <si>
    <t>INSPECTIONS AS FOUND (DISASSEMBLED)</t>
  </si>
  <si>
    <t>Galled</t>
  </si>
  <si>
    <t>Winding Resistance</t>
  </si>
  <si>
    <t>Notes on electrical inspection:</t>
  </si>
  <si>
    <t>Noise:</t>
  </si>
  <si>
    <t>Nominal Eff:</t>
  </si>
  <si>
    <t xml:space="preserve">      SHAFT MEASUREMENTS &amp; RUNOUTS</t>
  </si>
  <si>
    <t xml:space="preserve">Out of Spec: </t>
  </si>
  <si>
    <t>Rewind Required:</t>
  </si>
  <si>
    <t>Bearing</t>
  </si>
  <si>
    <t>IB number/Spec</t>
  </si>
  <si>
    <t>OB number/Spec</t>
  </si>
  <si>
    <t>IB Out of Spec:</t>
  </si>
  <si>
    <t>OB Out of Spec:</t>
  </si>
  <si>
    <t>Slightly Fretted</t>
  </si>
  <si>
    <t>IB Bearing type:</t>
  </si>
  <si>
    <t>OB Bearing type:</t>
  </si>
  <si>
    <t>http://www.porterselectricmotorservice.com/images/radial%20ball%20bearing%20fit%20tolerances.pdf</t>
  </si>
  <si>
    <t>Vibration</t>
  </si>
  <si>
    <t>Less or equal to</t>
  </si>
  <si>
    <t>OB Housing</t>
  </si>
  <si>
    <r>
      <t xml:space="preserve">Note: Issues found are highlighted in </t>
    </r>
    <r>
      <rPr>
        <b/>
        <sz val="11"/>
        <color rgb="FFFF0000"/>
        <rFont val="Calibri"/>
        <family val="2"/>
        <scheme val="minor"/>
      </rPr>
      <t>RED</t>
    </r>
  </si>
  <si>
    <t>Housing Readings</t>
  </si>
  <si>
    <t>Shaft  Readings</t>
  </si>
  <si>
    <t>IB Shaft</t>
  </si>
  <si>
    <t>OB Shaft</t>
  </si>
  <si>
    <t>Inner Bearing</t>
  </si>
  <si>
    <t>Outer Bearing</t>
  </si>
  <si>
    <t>Shaft Condition:</t>
  </si>
  <si>
    <t>Shaft/Bore Diff:</t>
  </si>
  <si>
    <t xml:space="preserve">      BEARING FITS (In.)</t>
  </si>
  <si>
    <t>As Found</t>
  </si>
  <si>
    <t>As Released</t>
  </si>
  <si>
    <t>Reports</t>
  </si>
  <si>
    <t xml:space="preserve">Shaft Run Out: </t>
  </si>
  <si>
    <t xml:space="preserve">Face Run Out: </t>
  </si>
  <si>
    <t xml:space="preserve">Test Voltage: </t>
  </si>
  <si>
    <t xml:space="preserve">Test Result: </t>
  </si>
  <si>
    <t xml:space="preserve">Leakage: </t>
  </si>
  <si>
    <t>18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</si>
  <si>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</si>
  <si>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</si>
  <si>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</si>
  <si>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</si>
  <si>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</si>
  <si>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</si>
  <si>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</si>
  <si>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</si>
  <si>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</si>
  <si>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</si>
  <si>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</si>
  <si>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</si>
  <si>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24</t>
  </si>
  <si>
    <t>26</t>
  </si>
  <si>
    <t>28</t>
  </si>
  <si>
    <t>30</t>
  </si>
  <si>
    <t>32</t>
  </si>
  <si>
    <t>34</t>
  </si>
  <si>
    <t>36</t>
  </si>
  <si>
    <t>38</t>
  </si>
  <si>
    <t>40</t>
  </si>
  <si>
    <t xml:space="preserve">       Hi Pot Test</t>
  </si>
  <si>
    <t>Inner/Outer Rabbit Runout (in):</t>
  </si>
  <si>
    <t>Baldor-Reliance</t>
  </si>
  <si>
    <t>Voltage Config:</t>
  </si>
  <si>
    <t xml:space="preserve">Input Volts: </t>
  </si>
  <si>
    <t xml:space="preserve">Curr Meas: </t>
  </si>
  <si>
    <t>SprLdr Pos</t>
  </si>
  <si>
    <t>IB</t>
  </si>
  <si>
    <t>OB</t>
  </si>
  <si>
    <t>Springloader Position:</t>
  </si>
  <si>
    <t>8</t>
  </si>
  <si>
    <t>Shaft</t>
  </si>
  <si>
    <t>Binds</t>
  </si>
  <si>
    <t>Frozen</t>
  </si>
  <si>
    <t>Shield</t>
  </si>
  <si>
    <t>Rubber</t>
  </si>
  <si>
    <t>Steel</t>
  </si>
  <si>
    <t>Shield:</t>
  </si>
  <si>
    <t>Stator Condition:</t>
  </si>
  <si>
    <t>Nameplate Current:</t>
  </si>
  <si>
    <t xml:space="preserve">      BEARING SHIELDS</t>
  </si>
  <si>
    <t>Required Machinist Work</t>
  </si>
  <si>
    <t>Qty</t>
  </si>
  <si>
    <t>Note</t>
  </si>
  <si>
    <t>Coupling</t>
  </si>
  <si>
    <t>Part #/Model #/Size</t>
  </si>
  <si>
    <t>Grease</t>
  </si>
  <si>
    <t>Required Materials</t>
  </si>
  <si>
    <t xml:space="preserve">   Additional Rewind Work:</t>
  </si>
  <si>
    <t>Required Mechanical Work</t>
  </si>
  <si>
    <t xml:space="preserve">   Additional Mechanical Work:</t>
  </si>
  <si>
    <t>Required Parts</t>
  </si>
  <si>
    <t>Other Required Materials</t>
  </si>
  <si>
    <t xml:space="preserve">   Additional Machinist Work:</t>
  </si>
  <si>
    <t>Required Work</t>
  </si>
  <si>
    <t>Inpsect Motor</t>
  </si>
  <si>
    <t>Test run (before assy)</t>
  </si>
  <si>
    <t>Disassemble motor</t>
  </si>
  <si>
    <t>Check shaft, housing and journal fits</t>
  </si>
  <si>
    <t>Perform surge &amp; high pot tests</t>
  </si>
  <si>
    <t>Perform core test</t>
  </si>
  <si>
    <t>clean parts</t>
  </si>
  <si>
    <t>Balance Rotor</t>
  </si>
  <si>
    <t>Dip and bake stator</t>
  </si>
  <si>
    <t>Assemble Motor</t>
  </si>
  <si>
    <t>Test run after assy)</t>
  </si>
  <si>
    <t>Paint motor</t>
  </si>
  <si>
    <t>Tag motor</t>
  </si>
  <si>
    <t>Repair IB Journal</t>
  </si>
  <si>
    <t>Repair OB Journal</t>
  </si>
  <si>
    <t>Repair IB Housing</t>
  </si>
  <si>
    <t>Repair OB Housing</t>
  </si>
  <si>
    <t>Repair Shaft Ext</t>
  </si>
  <si>
    <t>Bore and Broach New Coupling</t>
  </si>
  <si>
    <t>Replace Coupling Key</t>
  </si>
  <si>
    <t>Machine/Bore Fan</t>
  </si>
  <si>
    <t>Rewind Rotor</t>
  </si>
  <si>
    <t>Rewind Stator</t>
  </si>
  <si>
    <t>Other Mechanical Work</t>
  </si>
  <si>
    <t>Other Machinist Work</t>
  </si>
  <si>
    <t>Other Rewind Work</t>
  </si>
  <si>
    <t>REQUIRED WORK</t>
  </si>
  <si>
    <t xml:space="preserve">      REQUIRED MECHANICAL WORK</t>
  </si>
  <si>
    <t xml:space="preserve">      REQUIRED REWIND WORK</t>
  </si>
  <si>
    <t>REQUIRED MATERIALS</t>
  </si>
  <si>
    <t>REQUIRED PARTS</t>
  </si>
  <si>
    <t>OTHER REQUIRED MATERIALS</t>
  </si>
  <si>
    <t xml:space="preserve">         REQUIRED MACHINE WORK</t>
  </si>
  <si>
    <t>Fretted/Pitted</t>
  </si>
  <si>
    <t>Out Of Round</t>
  </si>
  <si>
    <t>End play:</t>
  </si>
  <si>
    <t>Lead Tags</t>
  </si>
  <si>
    <t>Lead Tags:</t>
  </si>
  <si>
    <t>Printed</t>
  </si>
  <si>
    <t>Paper</t>
  </si>
  <si>
    <t>Metal</t>
  </si>
  <si>
    <t>Coupling to Shaft</t>
  </si>
  <si>
    <t>Notes on Mechancial Inspection:</t>
  </si>
  <si>
    <t>Notes on mechanical inspection:</t>
  </si>
  <si>
    <t xml:space="preserve">  Springloader:</t>
  </si>
  <si>
    <t xml:space="preserve">   Housing Depth:</t>
  </si>
  <si>
    <t xml:space="preserve">   Backcap Depth:</t>
  </si>
  <si>
    <t xml:space="preserve">   Bearing Width:</t>
  </si>
  <si>
    <t>Total Capture:</t>
  </si>
  <si>
    <t>x</t>
  </si>
  <si>
    <t>Amb.T°:</t>
  </si>
  <si>
    <t>Des:</t>
  </si>
  <si>
    <t>Prefix</t>
  </si>
  <si>
    <t>Choice Number</t>
  </si>
  <si>
    <t>Thrust Bearings</t>
  </si>
  <si>
    <t>Housing Depth</t>
  </si>
  <si>
    <t>Backcap Depth</t>
  </si>
  <si>
    <t>Bearing Width</t>
  </si>
  <si>
    <t>Total Capture</t>
  </si>
  <si>
    <t>Feet Condition:</t>
  </si>
  <si>
    <t>Feet Condition</t>
  </si>
  <si>
    <t>Bad/Repairable</t>
  </si>
  <si>
    <t>Springloader:</t>
  </si>
  <si>
    <t>Stator Condition: Submerged</t>
  </si>
  <si>
    <t>Stator Condition: Moisture/Corrosion</t>
  </si>
  <si>
    <t>Housing Depth:</t>
  </si>
  <si>
    <t>Backcap Depth:</t>
  </si>
  <si>
    <t>Bearing Width:</t>
  </si>
  <si>
    <t>Bearing Configuration:</t>
  </si>
  <si>
    <t>Items</t>
  </si>
  <si>
    <t>Notes</t>
  </si>
  <si>
    <t xml:space="preserve">  Feet Condition:</t>
  </si>
  <si>
    <t>Tapered</t>
  </si>
  <si>
    <t>Value</t>
  </si>
  <si>
    <t>Compressor:</t>
  </si>
  <si>
    <t>White</t>
  </si>
  <si>
    <t>Shield Orientation:</t>
  </si>
  <si>
    <t>Housing Min</t>
  </si>
  <si>
    <t>Housing Max</t>
  </si>
  <si>
    <t>Shield Or.</t>
  </si>
  <si>
    <t>Both</t>
  </si>
  <si>
    <t>IB Shield Orien:</t>
  </si>
  <si>
    <t>OB Shield Orien:</t>
  </si>
  <si>
    <t>Bearings</t>
  </si>
  <si>
    <t>Electrical</t>
  </si>
  <si>
    <t>Rubbing</t>
  </si>
  <si>
    <t>IB Journal Conditions:</t>
  </si>
  <si>
    <t>OB Housing Conditions:</t>
  </si>
  <si>
    <t>Fretted</t>
  </si>
  <si>
    <t>Out of Round</t>
  </si>
  <si>
    <t>Condition Good/Bad</t>
  </si>
  <si>
    <t>OB Journal Conditions:</t>
  </si>
  <si>
    <t>IB Housing Conditions:</t>
  </si>
  <si>
    <t>IB Shield:</t>
  </si>
  <si>
    <t>OB Shield:</t>
  </si>
  <si>
    <t>Rotor Iron</t>
  </si>
  <si>
    <t>Bearing Configuration</t>
  </si>
  <si>
    <t>Thrust Bearing Config</t>
  </si>
  <si>
    <t>Back-to-Back</t>
  </si>
  <si>
    <t>Face-to-Face</t>
  </si>
  <si>
    <t>Tandem</t>
  </si>
  <si>
    <t>Single</t>
  </si>
  <si>
    <t>5</t>
  </si>
  <si>
    <t>REWIND REQUIRED:</t>
  </si>
  <si>
    <t>A-B-C</t>
  </si>
  <si>
    <t>Type</t>
  </si>
  <si>
    <t>Orientation</t>
  </si>
  <si>
    <t>Workaround: Duplicate Value Table</t>
  </si>
  <si>
    <t>RTD Lead Notes</t>
  </si>
  <si>
    <t xml:space="preserve">   Type of noise observed:</t>
  </si>
  <si>
    <t>Shaft Cond. Good/Bad:</t>
  </si>
  <si>
    <t>SHOP REPAIR REPORT: Electrical Inspections</t>
  </si>
  <si>
    <t>SHOP REPAIR REPORT: Mechanical Inspections</t>
  </si>
  <si>
    <t>Out-of-Round</t>
  </si>
  <si>
    <t>Journal</t>
  </si>
  <si>
    <t>Housing</t>
  </si>
  <si>
    <t>Balancing Results</t>
  </si>
  <si>
    <t>=</t>
  </si>
  <si>
    <t>2 Planes</t>
  </si>
  <si>
    <t>Tolerance:</t>
  </si>
  <si>
    <t>Rotor Weight:</t>
  </si>
  <si>
    <t>Balancing:</t>
  </si>
  <si>
    <t>N</t>
  </si>
  <si>
    <t>Oz. In.</t>
  </si>
  <si>
    <t>Convert to Gin</t>
  </si>
  <si>
    <t>Current Draw:</t>
  </si>
  <si>
    <t>Shaft Run Out</t>
  </si>
  <si>
    <t>Endplay</t>
  </si>
  <si>
    <t>W/O Fan</t>
  </si>
  <si>
    <t>Face Run-Out:</t>
  </si>
  <si>
    <t>Tolerance</t>
  </si>
  <si>
    <t>Face Run Out</t>
  </si>
  <si>
    <t>W/ Fan</t>
  </si>
  <si>
    <t>A-B</t>
  </si>
  <si>
    <t>A-C</t>
  </si>
  <si>
    <t>B-C</t>
  </si>
  <si>
    <t>With Load:</t>
  </si>
  <si>
    <t>Megger Voltage:</t>
  </si>
  <si>
    <t>%</t>
  </si>
  <si>
    <t>Smallest</t>
  </si>
  <si>
    <t>Lead Condition:</t>
  </si>
  <si>
    <t>A-B-C to Ground:</t>
  </si>
  <si>
    <t xml:space="preserve">         Vibration Measurements</t>
  </si>
  <si>
    <t>Not repairable</t>
  </si>
  <si>
    <t>No feet</t>
  </si>
  <si>
    <t xml:space="preserve">      OTHER FITS &amp; MEASUREMENTS (in.):</t>
  </si>
  <si>
    <t xml:space="preserve">       Thrust Bearings</t>
  </si>
  <si>
    <t xml:space="preserve">     Shaft Condition:</t>
  </si>
  <si>
    <t>Balancing Tolerance:</t>
  </si>
  <si>
    <t>Balance Tolerance:</t>
  </si>
  <si>
    <r>
      <rPr>
        <b/>
        <sz val="11"/>
        <color theme="1"/>
        <rFont val="Calibri"/>
        <family val="2"/>
        <scheme val="minor"/>
      </rPr>
      <t xml:space="preserve">   </t>
    </r>
    <r>
      <rPr>
        <b/>
        <u/>
        <sz val="11"/>
        <color theme="1"/>
        <rFont val="Calibri"/>
        <family val="2"/>
        <scheme val="minor"/>
      </rPr>
      <t>Other Fits &amp; Measures</t>
    </r>
  </si>
  <si>
    <t xml:space="preserve"> (Measurements taken on balancer)</t>
  </si>
  <si>
    <t>Rotor:</t>
  </si>
  <si>
    <t xml:space="preserve">    THRUST BEARING MEASUREMENTS</t>
  </si>
  <si>
    <t>Thrust bearings found if checked</t>
  </si>
  <si>
    <t xml:space="preserve">    Notes and recommendations on electrical inspection:</t>
  </si>
  <si>
    <t xml:space="preserve">      BALANCER MEASUREMENTS</t>
  </si>
  <si>
    <t>Inside</t>
  </si>
  <si>
    <t>Outside</t>
  </si>
  <si>
    <t>Westinghouse</t>
  </si>
  <si>
    <t>Flygt</t>
  </si>
  <si>
    <t>Voltage/Amperage Correlator</t>
  </si>
  <si>
    <t>Insulation Resistance</t>
  </si>
  <si>
    <t>VPI</t>
  </si>
  <si>
    <t>After Min:</t>
  </si>
  <si>
    <t>Before Min:</t>
  </si>
  <si>
    <t>After Max:</t>
  </si>
  <si>
    <t>Before Max:</t>
  </si>
  <si>
    <t>Shaft Extension:</t>
  </si>
  <si>
    <t>OB Journal</t>
  </si>
  <si>
    <t>IB Journal</t>
  </si>
  <si>
    <t>IB After</t>
  </si>
  <si>
    <t>IB Before</t>
  </si>
  <si>
    <t>Coupling:</t>
  </si>
  <si>
    <t>OB Before:</t>
  </si>
  <si>
    <t>Gram In.</t>
  </si>
  <si>
    <t>Deg</t>
  </si>
  <si>
    <t>Shaft Ext. Repaired?</t>
  </si>
  <si>
    <t>Insulation Reisistance</t>
  </si>
  <si>
    <t>Notes:</t>
  </si>
  <si>
    <t>Test Voltage</t>
  </si>
  <si>
    <t>Dip and Bake</t>
  </si>
  <si>
    <t>Glyptal</t>
  </si>
  <si>
    <t>After Bake-down Test Results</t>
  </si>
  <si>
    <t>Rabbet Run Out</t>
  </si>
  <si>
    <t>Rabbet Run Out:</t>
  </si>
  <si>
    <t>Temperature Results</t>
  </si>
  <si>
    <t>OB After:</t>
  </si>
  <si>
    <t>IB Journal Repaired?</t>
  </si>
  <si>
    <t>OB Journal Repaired?</t>
  </si>
  <si>
    <t>IB Housing Repaired?</t>
  </si>
  <si>
    <t>OB Housing Repaired?</t>
  </si>
  <si>
    <t>As Released- Mechanical</t>
  </si>
  <si>
    <t>Before Avg:</t>
  </si>
  <si>
    <t>After Avg:</t>
  </si>
  <si>
    <t>IB Journal Repaired:</t>
  </si>
  <si>
    <t>OB Journal Repaired:</t>
  </si>
  <si>
    <t>Metal Spray</t>
  </si>
  <si>
    <t>Weld</t>
  </si>
  <si>
    <t>Sleeve</t>
  </si>
  <si>
    <t>Material:</t>
  </si>
  <si>
    <t>Repaired How?</t>
  </si>
  <si>
    <t>Coupling Repaired?</t>
  </si>
  <si>
    <t>Make New/Repair Keyway</t>
  </si>
  <si>
    <t>Machine Run-Outs</t>
  </si>
  <si>
    <t>IB Housing Repaired</t>
  </si>
  <si>
    <t>OB Housing Repaired:</t>
  </si>
  <si>
    <t xml:space="preserve">Journal Repair </t>
  </si>
  <si>
    <t>Housing Repair</t>
  </si>
  <si>
    <t>Tolerance Ring</t>
  </si>
  <si>
    <t>Repaired How</t>
  </si>
  <si>
    <t>Shaft Extension</t>
  </si>
  <si>
    <t>Average:</t>
  </si>
  <si>
    <t>Fit Difference:</t>
  </si>
  <si>
    <t>Oz. In. For Calc</t>
  </si>
  <si>
    <t>Balancing Results:</t>
  </si>
  <si>
    <t>Grams</t>
  </si>
  <si>
    <t>OB Before</t>
  </si>
  <si>
    <t>OB After</t>
  </si>
  <si>
    <t>Shim(s) Used?:</t>
  </si>
  <si>
    <t>Fan Condition</t>
  </si>
  <si>
    <t>Thrust Capture</t>
  </si>
  <si>
    <t>High Vibration</t>
  </si>
  <si>
    <t>Run-outs:</t>
  </si>
  <si>
    <t>Summary of Issues</t>
  </si>
  <si>
    <t>Mechanical</t>
  </si>
  <si>
    <t>Runouts</t>
  </si>
  <si>
    <t>Thrust bearing Capture</t>
  </si>
  <si>
    <t>Machine Fits</t>
  </si>
  <si>
    <t>Journals:</t>
  </si>
  <si>
    <t>Housings:</t>
  </si>
  <si>
    <t>Coupling Roundness:</t>
  </si>
  <si>
    <t>Coupling Clearance:</t>
  </si>
  <si>
    <t>High amps</t>
  </si>
  <si>
    <t>Current Differential:</t>
  </si>
  <si>
    <t>Current Difference:</t>
  </si>
  <si>
    <t>Difference:</t>
  </si>
  <si>
    <t>Electrical Resistance Difference:</t>
  </si>
  <si>
    <t>Resistance Difference:</t>
  </si>
  <si>
    <t>Megger</t>
  </si>
  <si>
    <t>Growler:</t>
  </si>
  <si>
    <t>Growler Test:</t>
  </si>
  <si>
    <t>Hipot Test:</t>
  </si>
  <si>
    <t>Mechanical Issues</t>
  </si>
  <si>
    <t>Machined Fit Issues</t>
  </si>
  <si>
    <t>Coupling Fit</t>
  </si>
  <si>
    <t>Thrust Brg. Capture</t>
  </si>
  <si>
    <t>Electrical Issues</t>
  </si>
  <si>
    <t>NOTES ON ISSUES FOUND</t>
  </si>
  <si>
    <t>Are all fits cleaned and ready for assembly?</t>
  </si>
  <si>
    <t>Is rotor painted and are journals/shaft free of overspray?</t>
  </si>
  <si>
    <t>Are all small parts accounted for (bolts/snap-rings/set-screws/etc.)?</t>
  </si>
  <si>
    <t>Has iron been sprayed with clear insulator?</t>
  </si>
  <si>
    <t>Are all stator holes tapped and in good condition?</t>
  </si>
  <si>
    <t>Are all stator fits clean?</t>
  </si>
  <si>
    <t>Is VEM ID # stamped on stator?</t>
  </si>
  <si>
    <t>Is rotor stamped with VEM ID #?</t>
  </si>
  <si>
    <t>After Bakedown Electrical</t>
  </si>
  <si>
    <t>Choice #</t>
  </si>
  <si>
    <t>Heaters</t>
  </si>
  <si>
    <t>Type of Varnish</t>
  </si>
  <si>
    <t>Parallel</t>
  </si>
  <si>
    <t>Open</t>
  </si>
  <si>
    <t>Reused</t>
  </si>
  <si>
    <t>Replaced</t>
  </si>
  <si>
    <t>Removed</t>
  </si>
  <si>
    <t>A-B-C To Ground After varnish:</t>
  </si>
  <si>
    <t>Type of Varnish:</t>
  </si>
  <si>
    <t>Spray</t>
  </si>
  <si>
    <t>Location</t>
  </si>
  <si>
    <t>Connection</t>
  </si>
  <si>
    <t>Qty:</t>
  </si>
  <si>
    <t>Heater Notes</t>
  </si>
  <si>
    <t>RTD Notes:</t>
  </si>
  <si>
    <t>Relead/Rewind Work Needed</t>
  </si>
  <si>
    <t>Reinsulate Leads</t>
  </si>
  <si>
    <t>Seal Leads</t>
  </si>
  <si>
    <t>If No, Why:</t>
  </si>
  <si>
    <t xml:space="preserve"> Pre-assembly  Checklist</t>
  </si>
  <si>
    <t>Report Checklist:</t>
  </si>
  <si>
    <t>Stator Checklist</t>
  </si>
  <si>
    <t>Are stator junction box holes tapped and in good condition?</t>
  </si>
  <si>
    <t>Are the stator junction box gaskets in good condition?</t>
  </si>
  <si>
    <t xml:space="preserve">        SHOP REPAIR REPORT: Pre-Assembly Checklist</t>
  </si>
  <si>
    <t>Has report been reviewed, and are all issues clear and understood?</t>
  </si>
  <si>
    <t>Are all balance weights secured and loctited?</t>
  </si>
  <si>
    <t>Has stator been sprayed, baked, and scraped?</t>
  </si>
  <si>
    <t>Are all threaded holes on parts tapped and clean?</t>
  </si>
  <si>
    <t>Are all grease pipes free of rust, grease, sand, etc?</t>
  </si>
  <si>
    <t xml:space="preserve">Are rotor and accessories balanced? </t>
  </si>
  <si>
    <t>New Bearing Info</t>
  </si>
  <si>
    <t>Does motor have thrust bearings?</t>
  </si>
  <si>
    <t>Assembly Checklist</t>
  </si>
  <si>
    <t>Correct bearings installed on rotor?</t>
  </si>
  <si>
    <t>Backcaps installed correctly on rotor?</t>
  </si>
  <si>
    <t>Where there any bearing shims or spacers?</t>
  </si>
  <si>
    <t>Springloader installed in correct housing?</t>
  </si>
  <si>
    <t>Endbells installed correctly?</t>
  </si>
  <si>
    <t>Endbell and backcap bolts tight?</t>
  </si>
  <si>
    <t>Fan installed in proper direction and secure (clamps/set-screws/etc)?</t>
  </si>
  <si>
    <t>Fan shroud in proper orientation and bolts tight?</t>
  </si>
  <si>
    <t>Are all snap-rings/spanner nuts/etc. installed and secured properly?</t>
  </si>
  <si>
    <t>Have thrust bearings been driven when cold to ensure no endplay?</t>
  </si>
  <si>
    <t>Pre-Test Checklist:</t>
  </si>
  <si>
    <t>Are all jumper connections tight and taped 3 times?</t>
  </si>
  <si>
    <t>Is the motor painted the correct color?</t>
  </si>
  <si>
    <t>Is the motor free of any paint holidays?</t>
  </si>
  <si>
    <t>Are all run-outs in tolerance?</t>
  </si>
  <si>
    <t>Is the motor #/stencil sprayed on straight and clear?</t>
  </si>
  <si>
    <t>Is the motor endplay acceptable? (thrust bearings only)</t>
  </si>
  <si>
    <t>Are all nameplates free of tape and paint?</t>
  </si>
  <si>
    <t>Are all zerts and breathers free of paint, grease, and tape?</t>
  </si>
  <si>
    <t>Are all ground clamps free of rust, paint and tape?</t>
  </si>
  <si>
    <t>Are the feet, face, and shaft clean?</t>
  </si>
  <si>
    <t>Is a VEM tag installed on motor?</t>
  </si>
  <si>
    <t>Did motor pass all vibration tests?</t>
  </si>
  <si>
    <t>Phillips 66 Only</t>
  </si>
  <si>
    <t>Is the PO Line Number tagged to motor? (if applicable)</t>
  </si>
  <si>
    <t>If motor is 3600 RPM, are grease lines plugged?</t>
  </si>
  <si>
    <t>If motor is 3600 RPM, is VEM tag stamped "Ungreasable"?</t>
  </si>
  <si>
    <t>Are metal lead tags installed if motor came in with paper?</t>
  </si>
  <si>
    <t>Have leads been repaired if damaged?</t>
  </si>
  <si>
    <t>Are leads glass sleeved if appearance is poor?</t>
  </si>
  <si>
    <t>If No, Why?</t>
  </si>
  <si>
    <t>Amp clamp ready for quickly checking amps?</t>
  </si>
  <si>
    <t>Clamps secure on lugs, away from metal surface?</t>
  </si>
  <si>
    <t>If high voltage or high amperage motor, are lugs bolted to leads?</t>
  </si>
  <si>
    <t>Is test being performed on testing pad?</t>
  </si>
  <si>
    <t>Minutes</t>
  </si>
  <si>
    <t>Horizontal:</t>
  </si>
  <si>
    <t>Vertical:</t>
  </si>
  <si>
    <t>Total Thickness:</t>
  </si>
  <si>
    <t>Is motor connected for same voltage as received?</t>
  </si>
  <si>
    <t>Are the grease pipes full of grease?</t>
  </si>
  <si>
    <t>Serial #</t>
  </si>
  <si>
    <t>ID #</t>
  </si>
  <si>
    <t>Part #</t>
  </si>
  <si>
    <t>Order #</t>
  </si>
  <si>
    <t>Model #</t>
  </si>
  <si>
    <t>Catalog #</t>
  </si>
  <si>
    <t>Style #</t>
  </si>
  <si>
    <t>Spec #</t>
  </si>
  <si>
    <t>HP/KW</t>
  </si>
  <si>
    <t>31</t>
  </si>
  <si>
    <t>46</t>
  </si>
  <si>
    <t>54</t>
  </si>
  <si>
    <t>56</t>
  </si>
  <si>
    <t>58</t>
  </si>
  <si>
    <t>Summary of Issues Notes:</t>
  </si>
  <si>
    <t>New Gaskets</t>
  </si>
  <si>
    <t>After Varnish Test Results</t>
  </si>
  <si>
    <t>As Released Sizes</t>
  </si>
  <si>
    <t>Work Performed</t>
  </si>
  <si>
    <t>Feet Repaired?</t>
  </si>
  <si>
    <t>Keyway Repaired?</t>
  </si>
  <si>
    <t>Miscellaneous Repairs</t>
  </si>
  <si>
    <t>After Max</t>
  </si>
  <si>
    <t>Material</t>
  </si>
  <si>
    <t>Polished</t>
  </si>
  <si>
    <t>OK, No Repair</t>
  </si>
  <si>
    <t>Machined</t>
  </si>
  <si>
    <t>Sleeved</t>
  </si>
  <si>
    <t>Chromed</t>
  </si>
  <si>
    <t>Seal Repair</t>
  </si>
  <si>
    <t>Seal Surface Repair</t>
  </si>
  <si>
    <t>Feet Repair</t>
  </si>
  <si>
    <t>Ok, No Repair</t>
  </si>
  <si>
    <t>Mill</t>
  </si>
  <si>
    <t>Minor Splice</t>
  </si>
  <si>
    <t>Full Re-lead</t>
  </si>
  <si>
    <t>Lead Repair</t>
  </si>
  <si>
    <t>Keyway Repair</t>
  </si>
  <si>
    <t>Weld and Mill</t>
  </si>
  <si>
    <t>Cut New Keyway</t>
  </si>
  <si>
    <t>Are all stator fits and feet clean?</t>
  </si>
  <si>
    <t>Has stator been sprayed (or dipped), baked, and scraped?</t>
  </si>
  <si>
    <t>Are all junction box gaskets in good condition/been replaced?</t>
  </si>
  <si>
    <t>Balance Correction  Method:</t>
  </si>
  <si>
    <t>Bearing Manu</t>
  </si>
  <si>
    <t>SKF</t>
  </si>
  <si>
    <t>Koyo</t>
  </si>
  <si>
    <t>FAG</t>
  </si>
  <si>
    <t>Timken</t>
  </si>
  <si>
    <t>NTN</t>
  </si>
  <si>
    <t>IB #:</t>
  </si>
  <si>
    <t>OB #:</t>
  </si>
  <si>
    <t>Polyrex</t>
  </si>
  <si>
    <t>Polytac</t>
  </si>
  <si>
    <t>Chevron SRI-2</t>
  </si>
  <si>
    <t>Black Pearl</t>
  </si>
  <si>
    <t>Ulti-Plex</t>
  </si>
  <si>
    <t>Lithium</t>
  </si>
  <si>
    <t>Grease Used:</t>
  </si>
  <si>
    <t>Bearing Manufacturer:</t>
  </si>
  <si>
    <t>Thrust Bearing Info:</t>
  </si>
  <si>
    <t>Shims Used?</t>
  </si>
  <si>
    <t>Shims</t>
  </si>
  <si>
    <t>Plastic</t>
  </si>
  <si>
    <t>Brass</t>
  </si>
  <si>
    <t>Why</t>
  </si>
  <si>
    <t>Choice</t>
  </si>
  <si>
    <t>Rotor Run-out in Balancer:</t>
  </si>
  <si>
    <t>Shaft Run-out in Balancer:</t>
  </si>
  <si>
    <t>Rotor -runout:</t>
  </si>
  <si>
    <t>Shaft Run-out (In balancer):</t>
  </si>
  <si>
    <t>Correction Method:</t>
  </si>
  <si>
    <t>Washers</t>
  </si>
  <si>
    <t>Dynaweight</t>
  </si>
  <si>
    <t>Clip</t>
  </si>
  <si>
    <t>Grind</t>
  </si>
  <si>
    <t>Has motor passed all electrical tests?</t>
  </si>
  <si>
    <t>Is the junction box installed in the same orientation as found?</t>
  </si>
  <si>
    <t>Are red caps installed on zerts?</t>
  </si>
  <si>
    <t>Is the Information on the VEM tag correct?</t>
  </si>
  <si>
    <t>Has all machine work on summary of issues page been completed?</t>
  </si>
  <si>
    <t>After Balance Checklist:</t>
  </si>
  <si>
    <t>Assembling Checklist:</t>
  </si>
  <si>
    <t>Have all balance weights been secured and loctited?</t>
  </si>
  <si>
    <t>Deg.</t>
  </si>
  <si>
    <t>If there are backcaps, are they installed correctly on rotor?</t>
  </si>
  <si>
    <t>Was there any bearing shims or spacers, and have they been installed?</t>
  </si>
  <si>
    <t>Are the endbell and backcap bolts tight?</t>
  </si>
  <si>
    <t>Parts Checklist:</t>
  </si>
  <si>
    <t>Do you have all the motor parts? (fan, backcaps, seals,etc)?</t>
  </si>
  <si>
    <t>Do you have all the small parts? (bolts/snap-rings/set-screws/etc.)?</t>
  </si>
  <si>
    <t>Is rotor painted and are journals and shaft free of paint overspray?</t>
  </si>
  <si>
    <t>Are housings clean and no paint overspray/machine dust/debris?</t>
  </si>
  <si>
    <t xml:space="preserve">Are rotor and components (fan, coupling, etc.) balanced? </t>
  </si>
  <si>
    <t>Do you have the correct bearings?</t>
  </si>
  <si>
    <t>Are all snap-rings, spanner nut + tab, etc. installed and secured?</t>
  </si>
  <si>
    <t>Is anything that could come loose inside motor secured (or loctited)?</t>
  </si>
  <si>
    <t>Has the face run-out been checked, and if bad, machined?</t>
  </si>
  <si>
    <t>Is the fan shroud in proper orientation and bolts tight?</t>
  </si>
  <si>
    <t>Is the fan installed correctly and secure (clamps, set-screws, etc)?</t>
  </si>
  <si>
    <t>Acceptance Testing</t>
  </si>
  <si>
    <t>Choice #:</t>
  </si>
  <si>
    <t>Choice:</t>
  </si>
  <si>
    <t>Why:</t>
  </si>
  <si>
    <t xml:space="preserve">Rabbet Runout: </t>
  </si>
  <si>
    <t xml:space="preserve">Face to End of Shaft: </t>
  </si>
  <si>
    <t>Axial:</t>
  </si>
  <si>
    <t>Vibration Results</t>
  </si>
  <si>
    <t>No-Load Full Test Results</t>
  </si>
  <si>
    <t>EndPlay (Thrust Brgs. Only):</t>
  </si>
  <si>
    <t>Run-Outs and Measurements</t>
  </si>
  <si>
    <t>Coupling Distance and Measurements</t>
  </si>
  <si>
    <t>No Load Test Results</t>
  </si>
  <si>
    <t>Motor ran w/ load?:</t>
  </si>
  <si>
    <t>Current Draw</t>
  </si>
  <si>
    <t>Temps:</t>
  </si>
  <si>
    <t>Vibration:</t>
  </si>
  <si>
    <t>Run-Outs:</t>
  </si>
  <si>
    <t>Face to end of Shaft</t>
  </si>
  <si>
    <t>Coupling Info:</t>
  </si>
  <si>
    <t>Coupling Rim Run Out</t>
  </si>
  <si>
    <t>Coupling Face Run Out</t>
  </si>
  <si>
    <t>Test Run Notes:</t>
  </si>
  <si>
    <t>New coupling position:</t>
  </si>
  <si>
    <t>New coupling Distance:</t>
  </si>
  <si>
    <t>Thrust Bearing Info</t>
  </si>
  <si>
    <t>IB Before:</t>
  </si>
  <si>
    <t>IB After:</t>
  </si>
  <si>
    <t>Notes on Balancing:</t>
  </si>
  <si>
    <t>Loose Stuff</t>
  </si>
  <si>
    <t>Rear EndbellPainted, Seals and flingers installed?</t>
  </si>
  <si>
    <t>Cface need to be cut</t>
  </si>
  <si>
    <t>Pre-Test Checklist</t>
  </si>
  <si>
    <t>Current &amp; Temperature Results</t>
  </si>
  <si>
    <t>C-Key Run-Out (If Appl.):</t>
  </si>
  <si>
    <t>Notes on Test Run</t>
  </si>
  <si>
    <t>Rim Runout:</t>
  </si>
  <si>
    <t>Notes from Required Work:</t>
  </si>
  <si>
    <t>Lead Work Performed</t>
  </si>
  <si>
    <t>Add Metal Tags</t>
  </si>
  <si>
    <t>Reapply color tape</t>
  </si>
  <si>
    <t>Re-Lug Leads</t>
  </si>
  <si>
    <t>Sodder Lugs</t>
  </si>
  <si>
    <t>Re-Lead</t>
  </si>
  <si>
    <t>Lead work notes:</t>
  </si>
  <si>
    <t>Bore &amp; Broach New Couping</t>
  </si>
  <si>
    <t>Notes on Misc. Repairs:</t>
  </si>
  <si>
    <t>Misc. Machine Work Notes</t>
  </si>
  <si>
    <t>Notes on Misc Machine Work:</t>
  </si>
  <si>
    <t>Pre-Assembly Notes:</t>
  </si>
  <si>
    <t xml:space="preserve">  Assembly Notes:</t>
  </si>
  <si>
    <t>Are the grease pipes set up correctly for customer?</t>
  </si>
  <si>
    <t>Are all accessories back on motor (eyebolts, keys, etc.)?</t>
  </si>
  <si>
    <t>Is coupling attached to motor at right distance? (If applicable)</t>
  </si>
  <si>
    <t>Motor # tag on motor</t>
  </si>
  <si>
    <t>Is the motor key secured to the shaft (If applicable)?</t>
  </si>
  <si>
    <t>Is the motor in the same orientation as before?</t>
  </si>
  <si>
    <t>Is job # written somewhere on motor (if applicable)?</t>
  </si>
  <si>
    <t>Have shipping pictures taken (including, feet, nameplate, etc)?</t>
  </si>
  <si>
    <t>Are all bolts on the motor secure?</t>
  </si>
  <si>
    <t>If present, are all seals installed properly?</t>
  </si>
  <si>
    <t>Are lube Pipes Set up Correctly?</t>
  </si>
  <si>
    <t>Is motor set up for customer?</t>
  </si>
  <si>
    <t>Are motor amps Acceptable?</t>
  </si>
  <si>
    <t>Was bearing temperatures acceptable?</t>
  </si>
  <si>
    <t>Q.C. Checklist</t>
  </si>
  <si>
    <t>Test Results Checklist:</t>
  </si>
  <si>
    <t>All motor heaters, RTD's, etc. tested and pass? (If applicable)</t>
  </si>
  <si>
    <t>Notes on Q.C. Check:</t>
  </si>
  <si>
    <t>Quality Checklist</t>
  </si>
  <si>
    <t>After Bakedown IR Test:</t>
  </si>
  <si>
    <t>After Varnish IR Test:</t>
  </si>
  <si>
    <t>RESISTANCE:</t>
  </si>
  <si>
    <t>Hi-Pot Test:</t>
  </si>
  <si>
    <t>Leakage:</t>
  </si>
  <si>
    <t>REWIND/LEAD WORK PERFORMED</t>
  </si>
  <si>
    <t>AS RELEASED MACHINED FIT SIZES</t>
  </si>
  <si>
    <t>IB Bearing</t>
  </si>
  <si>
    <t>OB Bearing</t>
  </si>
  <si>
    <t>AS RELEASED</t>
  </si>
  <si>
    <t>AS FOUND</t>
  </si>
  <si>
    <t>Min:</t>
  </si>
  <si>
    <t>Max:</t>
  </si>
  <si>
    <t>Customer Report:</t>
  </si>
  <si>
    <t>Has IB journal been repaired?</t>
  </si>
  <si>
    <t>Stubbed</t>
  </si>
  <si>
    <t>Welded</t>
  </si>
  <si>
    <t>Has OB journal been repaired?</t>
  </si>
  <si>
    <t>Has IB Housing Been Repaired?</t>
  </si>
  <si>
    <t>Has OB housing been repaired?</t>
  </si>
  <si>
    <t>Fix the reference on Released after sizes page</t>
  </si>
  <si>
    <t>Shaft Extension Repaired?</t>
  </si>
  <si>
    <t>Has Shaft Extension been repaired?</t>
  </si>
  <si>
    <t>Has coupling been repaired?</t>
  </si>
  <si>
    <t>Coupling Fit:</t>
  </si>
  <si>
    <t xml:space="preserve">   SHAFT AND COUPLING FITS</t>
  </si>
  <si>
    <t>Coupling Fit Repaired?</t>
  </si>
  <si>
    <t>BEARING FITS</t>
  </si>
  <si>
    <t>Shaft Ext.</t>
  </si>
  <si>
    <t>MISCELLANEOUS REPAIRS</t>
  </si>
  <si>
    <t>Did motor feet get repaired?</t>
  </si>
  <si>
    <t>Did Keyway get repaired?</t>
  </si>
  <si>
    <t>Fan Repair</t>
  </si>
  <si>
    <t>Replace</t>
  </si>
  <si>
    <t>Machine</t>
  </si>
  <si>
    <t>PRE-ASSEMBLY CHECKLIST</t>
  </si>
  <si>
    <t>Stator Checklist:</t>
  </si>
  <si>
    <t>BALANCING RESULTS</t>
  </si>
  <si>
    <t>Balance Correction Method</t>
  </si>
  <si>
    <t>NEW BEARING INFO</t>
  </si>
  <si>
    <t>THRUST BEARING INFO (IF APPLICABLE)</t>
  </si>
  <si>
    <t>As Found Bearing Configuration:</t>
  </si>
  <si>
    <t>Shim(s) Used?</t>
  </si>
  <si>
    <t>ASSEMBLY CHECKLIST</t>
  </si>
  <si>
    <t>ACCEPTANCE TESTING</t>
  </si>
  <si>
    <t>RUN-OUTS AND  MEASUREMENTS</t>
  </si>
  <si>
    <t>Shaft Run-Out:</t>
  </si>
  <si>
    <t>Endplay (Thrust Brgs. Only)</t>
  </si>
  <si>
    <t>Rabbet Run-Out:</t>
  </si>
  <si>
    <t>COUPLING RUN-OUTS AND MEASUREMENTS (IF APPL.)</t>
  </si>
  <si>
    <t>Coupling Distance As Found:</t>
  </si>
  <si>
    <t>Coupling Distance As Released:</t>
  </si>
  <si>
    <t>Coupling Distance As Found</t>
  </si>
  <si>
    <t>Coupling Distance As Released</t>
  </si>
  <si>
    <t>"</t>
  </si>
  <si>
    <t>Coupling Rim Run-Out:</t>
  </si>
  <si>
    <t>Coupling Face Run-Out:</t>
  </si>
  <si>
    <t>Soft Foot Observed:</t>
  </si>
  <si>
    <t>QUALITY REASSURANCE CHECKLIST</t>
  </si>
  <si>
    <t>Q.C. Checklist:</t>
  </si>
  <si>
    <t>Test Result Checklist:</t>
  </si>
  <si>
    <t>Notes on Bearings:</t>
  </si>
  <si>
    <t>Are all grease hole threads OK and free of sand/grease/debris?</t>
  </si>
  <si>
    <t xml:space="preserve">Manufacturer: </t>
  </si>
  <si>
    <t xml:space="preserve">Namplate Amperage: </t>
  </si>
  <si>
    <t>If No, Why</t>
  </si>
  <si>
    <t>OB: Bearing used:</t>
  </si>
  <si>
    <t>IB Bearing Used:</t>
  </si>
  <si>
    <t>Bearings Used</t>
  </si>
  <si>
    <t>Other Grease Used:</t>
  </si>
  <si>
    <t>Leads Checklist:</t>
  </si>
  <si>
    <t>If high voltage or high amp motor, are lugs bolted to leads?</t>
  </si>
  <si>
    <t>Are the rotor and endbells installed in correct orientation (F1, F2)?</t>
  </si>
  <si>
    <t>Has the face run-out been checked, and if out, machined?</t>
  </si>
  <si>
    <t>Has the rear endbell painted before seals, flingers, and fan installed?</t>
  </si>
  <si>
    <t>C-key Run Out</t>
  </si>
  <si>
    <t>W/O Fan:</t>
  </si>
  <si>
    <t>W/ Fan:</t>
  </si>
  <si>
    <t>DYNAMIC TEST RESULTS</t>
  </si>
  <si>
    <t>STATIC TEST RESULTS</t>
  </si>
  <si>
    <t xml:space="preserve">      HOUSING TEMPERATURES</t>
  </si>
  <si>
    <t>Was motor test run performed on test pad?</t>
  </si>
  <si>
    <t>Are lube pipes set up correctly for customer?</t>
  </si>
  <si>
    <t>Are motor accessories set up for customer?</t>
  </si>
  <si>
    <t>Were motor amps Acceptable?</t>
  </si>
  <si>
    <t>Shipping Checklist</t>
  </si>
  <si>
    <t>Shipping Checklist:</t>
  </si>
  <si>
    <t>SHOP REPAIR REPORT: Summary of Issues</t>
  </si>
  <si>
    <t>SHOP REPAIR REPORT: As Released Electrical</t>
  </si>
  <si>
    <t xml:space="preserve"> SHOP REPAIR REPORT: Balancing and Bearing Info</t>
  </si>
  <si>
    <t>SHOP REPAIR REPORT: Assembly Checklist</t>
  </si>
  <si>
    <t>SHOP REPAIR REPORT: Acceptance Testing</t>
  </si>
  <si>
    <t xml:space="preserve">        NEW MOTOR INSPECTION REPORT: Quality Assurance Checklist</t>
  </si>
  <si>
    <t xml:space="preserve"> Quality Assurance Checklist - Before Shipping</t>
  </si>
  <si>
    <t>Is motor set up to customer specs?</t>
  </si>
  <si>
    <t>All motor parts accounted for? (fan, backcaps, seals,etc)?</t>
  </si>
  <si>
    <t>All grease hole threads clean and free of sand/grease/debris?</t>
  </si>
  <si>
    <t>All small parts accounted for? (snap-rings/set-screws/etc.)?</t>
  </si>
  <si>
    <t>Shipping pictures taken (including, feet, nameplate, etc)?</t>
  </si>
  <si>
    <t>Rear endbell painted before seals/flingers/fan installed?</t>
  </si>
  <si>
    <t>P.F.:</t>
  </si>
  <si>
    <t>Nom. Eff.:</t>
  </si>
  <si>
    <t>WINDING RESISTANCE</t>
  </si>
  <si>
    <t>Hi pot Test:</t>
  </si>
  <si>
    <t>Out of Spec:</t>
  </si>
  <si>
    <t>IB Bearing:</t>
  </si>
  <si>
    <t>Epoxy</t>
  </si>
  <si>
    <t xml:space="preserve">      As Found Repair Report</t>
  </si>
  <si>
    <t>Shaft spins free:</t>
  </si>
  <si>
    <t>IB Hous.:</t>
  </si>
  <si>
    <t>OB Hous.:</t>
  </si>
  <si>
    <t>IB Jour.:</t>
  </si>
  <si>
    <t>OB Jour:</t>
  </si>
  <si>
    <t>Cut Face True</t>
  </si>
  <si>
    <t>Cut Register True</t>
  </si>
  <si>
    <t>Repair Seal Surfaces</t>
  </si>
  <si>
    <t>Rotor Weight (if Unrecorded):</t>
  </si>
  <si>
    <t>Report been reviewed and are all issues clear and understood?</t>
  </si>
  <si>
    <t>Have all machine fit sizes been recorded?</t>
  </si>
  <si>
    <t>Is rotor painted and journals and shaft free of paint overspray?</t>
  </si>
  <si>
    <t>Has machine work on summary of issues page been completed?</t>
  </si>
  <si>
    <t>Combined</t>
  </si>
  <si>
    <t>Varnish Proccess Used:</t>
  </si>
  <si>
    <t xml:space="preserve">Are rotor and all components (fan, coupling, etc.) balanced? </t>
  </si>
  <si>
    <t>Are the backcaps installed correctly on rotor?</t>
  </si>
  <si>
    <t>Are all bearing shims and/or spacers installed? (if applicable)</t>
  </si>
  <si>
    <t>Thrust bearings been driven when cold to ensure no endplay?</t>
  </si>
  <si>
    <t>Are the bearings correctly installed on rotor?</t>
  </si>
  <si>
    <t>Are all snap-rings/spanner nuts + tab/etc. installed and secure?</t>
  </si>
  <si>
    <t>Are all bolts/set-screws/etc inside motor secure (or loctited)?</t>
  </si>
  <si>
    <t>Is the springloader in the correct housing?</t>
  </si>
  <si>
    <t>Are all endbell and backcap bolts tight?</t>
  </si>
  <si>
    <t>Fan installed in correct orientation and secured (or loctited)?</t>
  </si>
  <si>
    <t>Is the fan shroud in the proper orientation and bolts tight?</t>
  </si>
  <si>
    <t>Are endbells and rotor in same orientation as recieved?</t>
  </si>
  <si>
    <t>Is the motor in the same orientation as before (F1,F2,etc.)?</t>
  </si>
  <si>
    <t>Were bearing temperatures acceptable?</t>
  </si>
  <si>
    <t>Is junction box installed in the same orientation as found?</t>
  </si>
  <si>
    <t>COMMENTS:</t>
  </si>
  <si>
    <t>Paint</t>
  </si>
  <si>
    <t>Lip Seal</t>
  </si>
  <si>
    <t>V-Ring</t>
  </si>
  <si>
    <t>Spanner Nut</t>
  </si>
  <si>
    <t>Spanner Washer</t>
  </si>
  <si>
    <t>Replacement Fan</t>
  </si>
  <si>
    <t>OTHER</t>
  </si>
  <si>
    <t>Lead Insulation</t>
  </si>
  <si>
    <t>Gasket Material</t>
  </si>
  <si>
    <t>Lube Pipe Kit</t>
  </si>
  <si>
    <t>Key Stock</t>
  </si>
  <si>
    <t>Stub Material</t>
  </si>
  <si>
    <t>Oil</t>
  </si>
  <si>
    <t>Sightglass</t>
  </si>
  <si>
    <t>Gram In. in Tolerance</t>
  </si>
  <si>
    <t>Gram In. out of Tolerance</t>
  </si>
  <si>
    <t>Failed Insulation</t>
  </si>
  <si>
    <t>No Feet</t>
  </si>
  <si>
    <t>Repaired</t>
  </si>
  <si>
    <t>Thermal Protection</t>
  </si>
  <si>
    <t>Cut-Out Data Sheet:</t>
  </si>
  <si>
    <t>Disassemble By:</t>
  </si>
  <si>
    <t>Cut out by:</t>
  </si>
  <si>
    <t>Winder:</t>
  </si>
  <si>
    <t>Lead End Length</t>
  </si>
  <si>
    <t>Special Information or notes</t>
  </si>
  <si>
    <t>Pitch:</t>
  </si>
  <si>
    <t>Total Wires In Hand</t>
  </si>
  <si>
    <t>Winding Information</t>
  </si>
  <si>
    <t>Stator Data</t>
  </si>
  <si>
    <t>Took Out</t>
  </si>
  <si>
    <t>Slots</t>
  </si>
  <si>
    <t>Coil Span</t>
  </si>
  <si>
    <t>Turns Per Coil</t>
  </si>
  <si>
    <t>Wire Size</t>
  </si>
  <si>
    <t>P1</t>
  </si>
  <si>
    <t>P2</t>
  </si>
  <si>
    <t>P3</t>
  </si>
  <si>
    <t>1-2</t>
  </si>
  <si>
    <t>1-3</t>
  </si>
  <si>
    <t>2-3</t>
  </si>
  <si>
    <t xml:space="preserve">Lead Length: </t>
  </si>
  <si>
    <t xml:space="preserve">Wire Gauge: </t>
  </si>
  <si>
    <t xml:space="preserve">Lug Hole Size: </t>
  </si>
  <si>
    <t xml:space="preserve">Lugged? </t>
  </si>
  <si>
    <t>Line to Line</t>
  </si>
  <si>
    <t>Pulse To Pulse</t>
  </si>
  <si>
    <t>Width</t>
  </si>
  <si>
    <t>Widths: SKF bearing dimensions</t>
  </si>
  <si>
    <t xml:space="preserve"> IB Bearing Width</t>
  </si>
  <si>
    <t>OB Bearing Width</t>
  </si>
  <si>
    <t>Horsepower</t>
  </si>
  <si>
    <t>Kilowatts</t>
  </si>
  <si>
    <t>MOTORBASE</t>
  </si>
  <si>
    <t>Reference</t>
  </si>
  <si>
    <t>Misc</t>
  </si>
  <si>
    <t>TEAO</t>
  </si>
  <si>
    <t>TE</t>
  </si>
  <si>
    <t>ODP</t>
  </si>
  <si>
    <t>SUB</t>
  </si>
  <si>
    <t>Forced Vent</t>
  </si>
  <si>
    <t>OB Bearing:</t>
  </si>
  <si>
    <t>Components</t>
  </si>
  <si>
    <t xml:space="preserve">Other: </t>
  </si>
  <si>
    <t xml:space="preserve"> </t>
  </si>
  <si>
    <t>Shaft Key(s:)</t>
  </si>
  <si>
    <t>Miscellaneous</t>
  </si>
  <si>
    <t>Unit Condition</t>
  </si>
  <si>
    <t>Notes On Equipment Found</t>
  </si>
  <si>
    <t>Stator Leads As Found</t>
  </si>
  <si>
    <t>Lead Work To Perform</t>
  </si>
  <si>
    <t>Config</t>
  </si>
  <si>
    <t>SHOP REPAIR REPORT: Stator Leads</t>
  </si>
  <si>
    <t>Gaskets Present:</t>
  </si>
  <si>
    <t>B. O'Keefe</t>
  </si>
  <si>
    <t>M. Farabaugh</t>
  </si>
  <si>
    <t>R. Corral</t>
  </si>
  <si>
    <t xml:space="preserve">C-Key Run-Out: </t>
  </si>
  <si>
    <t xml:space="preserve">Voltage: </t>
  </si>
  <si>
    <t xml:space="preserve">Wattage: </t>
  </si>
  <si>
    <t xml:space="preserve">Amps: </t>
  </si>
  <si>
    <t xml:space="preserve">Location: </t>
  </si>
  <si>
    <t xml:space="preserve">End of Leads: </t>
  </si>
  <si>
    <t xml:space="preserve">Ohms: </t>
  </si>
  <si>
    <t xml:space="preserve">Condition: </t>
  </si>
  <si>
    <t>Overloads</t>
  </si>
  <si>
    <t>Winding RTD's</t>
  </si>
  <si>
    <t>Bearing RTD's</t>
  </si>
  <si>
    <t xml:space="preserve">Qty: </t>
  </si>
  <si>
    <t xml:space="preserve">Continuity: </t>
  </si>
  <si>
    <t>Notes on Overloads:</t>
  </si>
  <si>
    <t>Notes on RTD's as found:</t>
  </si>
  <si>
    <t xml:space="preserve">Lead Identifiers: </t>
  </si>
  <si>
    <t>Rabbet/Rim</t>
  </si>
  <si>
    <t xml:space="preserve">Paint Color: </t>
  </si>
  <si>
    <t xml:space="preserve">Lead Tags: </t>
  </si>
  <si>
    <t xml:space="preserve">   # Of Leads: </t>
  </si>
  <si>
    <t xml:space="preserve">Shaft spins freely: </t>
  </si>
  <si>
    <t>Face &amp; Coupling Run Outs</t>
  </si>
  <si>
    <t>Miscellaneous Fits:</t>
  </si>
  <si>
    <t xml:space="preserve">Surface Size: </t>
  </si>
  <si>
    <t xml:space="preserve">Seal #: </t>
  </si>
  <si>
    <t xml:space="preserve">Description: </t>
  </si>
  <si>
    <t xml:space="preserve">Result: </t>
  </si>
  <si>
    <t xml:space="preserve">Connection: </t>
  </si>
  <si>
    <t>Blower:</t>
  </si>
  <si>
    <t>JB Gasket Condition:</t>
  </si>
  <si>
    <t>Junction Box Positions</t>
  </si>
  <si>
    <t>6 O'clock (Standard)</t>
  </si>
  <si>
    <t>12 O'clock (Opposite)</t>
  </si>
  <si>
    <t>JB Position:</t>
  </si>
  <si>
    <t>Pipe Config</t>
  </si>
  <si>
    <t>Standard</t>
  </si>
  <si>
    <t>Special</t>
  </si>
  <si>
    <t>Other:</t>
  </si>
  <si>
    <t>Coupling Type:</t>
  </si>
  <si>
    <t>Clean:</t>
  </si>
  <si>
    <t>Dirty:</t>
  </si>
  <si>
    <t>Grimy:</t>
  </si>
  <si>
    <t>Oily:</t>
  </si>
  <si>
    <t>Corroded:</t>
  </si>
  <si>
    <t>Burned:</t>
  </si>
  <si>
    <t>New Cat Yellow</t>
  </si>
  <si>
    <t>Primer</t>
  </si>
  <si>
    <t>2x Gray</t>
  </si>
  <si>
    <t>Machine Gray</t>
  </si>
  <si>
    <t>Machine Green</t>
  </si>
  <si>
    <t>Beige</t>
  </si>
  <si>
    <t>Safety Red</t>
  </si>
  <si>
    <t>Ford Blue</t>
  </si>
  <si>
    <t>Joy Orange</t>
  </si>
  <si>
    <t>Chrome</t>
  </si>
  <si>
    <t>SHOP REPAIR REPORT: Accessories</t>
  </si>
  <si>
    <t>Lead Length:</t>
  </si>
  <si>
    <t>Wire Gauge:</t>
  </si>
  <si>
    <t>Lugged?</t>
  </si>
  <si>
    <t>Lug Hole Size:</t>
  </si>
  <si>
    <t>Leads Open?</t>
  </si>
  <si>
    <t>Wire Guage</t>
  </si>
  <si>
    <t>4/0</t>
  </si>
  <si>
    <t>3/0</t>
  </si>
  <si>
    <t>2/0</t>
  </si>
  <si>
    <t>1/0</t>
  </si>
  <si>
    <t>6</t>
  </si>
  <si>
    <t>#8</t>
  </si>
  <si>
    <t>#10</t>
  </si>
  <si>
    <t>#12</t>
  </si>
  <si>
    <t>1/4"</t>
  </si>
  <si>
    <t>5/16"</t>
  </si>
  <si>
    <t>3/8"</t>
  </si>
  <si>
    <t>7/16"</t>
  </si>
  <si>
    <t>1/2"</t>
  </si>
  <si>
    <t>Heater Ohms:</t>
  </si>
  <si>
    <t>Heater Lead Length:</t>
  </si>
  <si>
    <t>Heater Qty:</t>
  </si>
  <si>
    <t>Heater Lead Ends:</t>
  </si>
  <si>
    <t>Winding RTD Qty:</t>
  </si>
  <si>
    <t>Winding RTD Lead Length:</t>
  </si>
  <si>
    <t>Winding RTD Ohms:</t>
  </si>
  <si>
    <t>Winding RTD Lead Identifiers</t>
  </si>
  <si>
    <t>Winding RTD Lead Ends:</t>
  </si>
  <si>
    <t>Winding RTD Condition:</t>
  </si>
  <si>
    <t>Heater Condition:</t>
  </si>
  <si>
    <t xml:space="preserve">Bearing RTD </t>
  </si>
  <si>
    <t>Bearing RTD Lead Identifiers</t>
  </si>
  <si>
    <t>Bearing RTD Ohms:</t>
  </si>
  <si>
    <t>Bearing RTD Lead Length:</t>
  </si>
  <si>
    <t>Bearing RTD Qty:</t>
  </si>
  <si>
    <t>Bearing RTD Lead Ends:</t>
  </si>
  <si>
    <t>Bearing RTD Condition:</t>
  </si>
  <si>
    <t xml:space="preserve">                                 </t>
  </si>
  <si>
    <t>Heater Voltage:</t>
  </si>
  <si>
    <t>Heater Wattage:</t>
  </si>
  <si>
    <t>Heater Amps:</t>
  </si>
  <si>
    <t>Heater Connection:</t>
  </si>
  <si>
    <t>Heater Location</t>
  </si>
  <si>
    <t>Overloads Found:</t>
  </si>
  <si>
    <t>Overload Lead Identifiers:</t>
  </si>
  <si>
    <t>Overload Ohms:</t>
  </si>
  <si>
    <t>Overloads Lead Length:</t>
  </si>
  <si>
    <t>Overloads Qty:</t>
  </si>
  <si>
    <t>Overloads End of Leads:</t>
  </si>
  <si>
    <t>Overloads Continuity:</t>
  </si>
  <si>
    <t>Overload Condition:</t>
  </si>
  <si>
    <t>Overload Notes:</t>
  </si>
  <si>
    <t>Lug Hole</t>
  </si>
  <si>
    <t>Bare Wire</t>
  </si>
  <si>
    <t>Cut</t>
  </si>
  <si>
    <t>Taped</t>
  </si>
  <si>
    <t>Lugged</t>
  </si>
  <si>
    <t>Block</t>
  </si>
  <si>
    <t>Lead Ends</t>
  </si>
  <si>
    <t>Continuity</t>
  </si>
  <si>
    <t>Closed</t>
  </si>
  <si>
    <t>Misc Fits:</t>
  </si>
  <si>
    <t>Misc  Fit 1 Description</t>
  </si>
  <si>
    <t>Misc Fit 2 Description:</t>
  </si>
  <si>
    <t>Misc Fit 3 Description:</t>
  </si>
  <si>
    <t>Misc Fit 4 Description:</t>
  </si>
  <si>
    <t>Misc Fit 5 Description:</t>
  </si>
  <si>
    <t>Misc Fit 6 Description:</t>
  </si>
  <si>
    <t>Misc Fits Notes:</t>
  </si>
  <si>
    <t>Seal Information</t>
  </si>
  <si>
    <t>Seal Surface Size</t>
  </si>
  <si>
    <t>Seal Condition</t>
  </si>
  <si>
    <t>Notes on Seals and Surfaces:</t>
  </si>
  <si>
    <t>Result:</t>
  </si>
  <si>
    <t xml:space="preserve"> Overloads/RTD's</t>
  </si>
  <si>
    <t>Opp. Lead end Length</t>
  </si>
  <si>
    <t xml:space="preserve">                                                                                                 </t>
  </si>
  <si>
    <t xml:space="preserve">Other Paint Color: </t>
  </si>
  <si>
    <t xml:space="preserve"># of Wires: </t>
  </si>
  <si>
    <t xml:space="preserve">Coupling: </t>
  </si>
  <si>
    <t xml:space="preserve">Distance: </t>
  </si>
  <si>
    <t xml:space="preserve">Type: </t>
  </si>
  <si>
    <t xml:space="preserve">Position: </t>
  </si>
  <si>
    <t xml:space="preserve">Junction Box Position: </t>
  </si>
  <si>
    <t xml:space="preserve">Gasket Condition: </t>
  </si>
  <si>
    <t>Manuf</t>
  </si>
  <si>
    <t>Phase</t>
  </si>
  <si>
    <t>Input</t>
  </si>
  <si>
    <t>Style</t>
  </si>
  <si>
    <t>Serial/ID</t>
  </si>
  <si>
    <t>Model/Spec</t>
  </si>
  <si>
    <t>Catalog/Style</t>
  </si>
  <si>
    <t>Cord Length:</t>
  </si>
  <si>
    <t>Cord # of  Wires:</t>
  </si>
  <si>
    <t>Reusable</t>
  </si>
  <si>
    <t>Unit Condition:</t>
  </si>
  <si>
    <t>STATOR LEADS</t>
  </si>
  <si>
    <t>Misc. Equipment Info</t>
  </si>
  <si>
    <t>Jumpers</t>
  </si>
  <si>
    <t>Line 1</t>
  </si>
  <si>
    <t>Line 2</t>
  </si>
  <si>
    <t>Line 3</t>
  </si>
  <si>
    <t>Lead Work to Perform:</t>
  </si>
  <si>
    <t>ACCESSORIES</t>
  </si>
  <si>
    <t>RTD's</t>
  </si>
  <si>
    <t>Winding:</t>
  </si>
  <si>
    <t>Bearing:</t>
  </si>
  <si>
    <t>To Ground</t>
  </si>
  <si>
    <t>AS FOUND MECHANICAL INSPECTION NOTES</t>
  </si>
  <si>
    <t>Mechanical Inspections 2</t>
  </si>
  <si>
    <t>Number of Fits:</t>
  </si>
  <si>
    <t>Description:</t>
  </si>
  <si>
    <t xml:space="preserve">Min: </t>
  </si>
  <si>
    <t xml:space="preserve">Max: </t>
  </si>
  <si>
    <t>Fit # 2</t>
  </si>
  <si>
    <t>Fit # 1</t>
  </si>
  <si>
    <t>Fit # 3</t>
  </si>
  <si>
    <t>Fit # 4</t>
  </si>
  <si>
    <t>Fit # 8</t>
  </si>
  <si>
    <t>Fit # 7</t>
  </si>
  <si>
    <t>Fit # 5</t>
  </si>
  <si>
    <t>Fit # 6</t>
  </si>
  <si>
    <t>Fit # 9</t>
  </si>
  <si>
    <t>Fit # 10</t>
  </si>
  <si>
    <t xml:space="preserve">Amperage: </t>
  </si>
  <si>
    <t xml:space="preserve">Lead Condition: </t>
  </si>
  <si>
    <t xml:space="preserve"># of Leads: </t>
  </si>
  <si>
    <t xml:space="preserve">Voltage Config: </t>
  </si>
  <si>
    <t xml:space="preserve">Tags: </t>
  </si>
  <si>
    <t xml:space="preserve">Nomenclature: </t>
  </si>
  <si>
    <t xml:space="preserve">Eyebolts/nuts: </t>
  </si>
  <si>
    <t xml:space="preserve">Shaft Key: </t>
  </si>
  <si>
    <t xml:space="preserve">Pipe Config: </t>
  </si>
  <si>
    <t xml:space="preserve">Junction Box: </t>
  </si>
  <si>
    <t xml:space="preserve">Gaskets: </t>
  </si>
  <si>
    <t xml:space="preserve">Cord: </t>
  </si>
  <si>
    <t xml:space="preserve">Cord Length: </t>
  </si>
  <si>
    <t xml:space="preserve">Coupling Type: </t>
  </si>
  <si>
    <t xml:space="preserve">Other components: </t>
  </si>
  <si>
    <t xml:space="preserve">Customer: </t>
  </si>
  <si>
    <t xml:space="preserve">P.O.#: </t>
  </si>
  <si>
    <t xml:space="preserve">Motor #: </t>
  </si>
  <si>
    <t xml:space="preserve">Work Order #: </t>
  </si>
  <si>
    <t xml:space="preserve">VEM Job #: </t>
  </si>
  <si>
    <t xml:space="preserve">Equip ID#: </t>
  </si>
  <si>
    <t xml:space="preserve">Invoice #: </t>
  </si>
  <si>
    <t xml:space="preserve">Mechanic: </t>
  </si>
  <si>
    <t xml:space="preserve">Date In: </t>
  </si>
  <si>
    <t xml:space="preserve">Date Out: </t>
  </si>
  <si>
    <t xml:space="preserve">Configuration: </t>
  </si>
  <si>
    <t xml:space="preserve">RPM: </t>
  </si>
  <si>
    <t xml:space="preserve">Enclosure: </t>
  </si>
  <si>
    <t xml:space="preserve">Phase: </t>
  </si>
  <si>
    <t xml:space="preserve">Cycles: </t>
  </si>
  <si>
    <t xml:space="preserve">Amb.T°: </t>
  </si>
  <si>
    <t xml:space="preserve">Weight: </t>
  </si>
  <si>
    <t xml:space="preserve">Duty: </t>
  </si>
  <si>
    <t xml:space="preserve">Des: </t>
  </si>
  <si>
    <t xml:space="preserve">Code: </t>
  </si>
  <si>
    <t xml:space="preserve">Nom. Eff: </t>
  </si>
  <si>
    <t xml:space="preserve">P.F. </t>
  </si>
  <si>
    <t xml:space="preserve">S.F. </t>
  </si>
  <si>
    <t xml:space="preserve">Coupling Face Run Out: </t>
  </si>
  <si>
    <t xml:space="preserve">Coupling Rim Run Out: </t>
  </si>
  <si>
    <t xml:space="preserve">End Play: </t>
  </si>
  <si>
    <t xml:space="preserve">Current Measured: </t>
  </si>
  <si>
    <t xml:space="preserve">Noise: </t>
  </si>
  <si>
    <t xml:space="preserve">Soft Foot: </t>
  </si>
  <si>
    <t xml:space="preserve">IB: </t>
  </si>
  <si>
    <t xml:space="preserve">OB: </t>
  </si>
  <si>
    <t>Miscellaneous Fits Notes:</t>
  </si>
  <si>
    <t>Notes on Seals:</t>
  </si>
  <si>
    <t>MISCELLANEOUS FITS</t>
  </si>
  <si>
    <t>SEAL INFORMATION</t>
  </si>
  <si>
    <t>Surface Size:</t>
  </si>
  <si>
    <t>Seal Condition:</t>
  </si>
  <si>
    <t>Seal #</t>
  </si>
  <si>
    <t>Misc Fit 7 Description:</t>
  </si>
  <si>
    <t>Misc Fit 8 Description:</t>
  </si>
  <si>
    <t>Misc Fit 9 Description:</t>
  </si>
  <si>
    <t>Misc Fit 10 Description:</t>
  </si>
  <si>
    <t>Seal #1 Description</t>
  </si>
  <si>
    <t>Size Condition</t>
  </si>
  <si>
    <t>Seal #2 Description</t>
  </si>
  <si>
    <t>Seal #3 Description</t>
  </si>
  <si>
    <t>Seal #4 Description</t>
  </si>
  <si>
    <t xml:space="preserve">1-2 </t>
  </si>
  <si>
    <t xml:space="preserve">2-3 </t>
  </si>
  <si>
    <t xml:space="preserve">1-3 </t>
  </si>
  <si>
    <t xml:space="preserve">P1 </t>
  </si>
  <si>
    <t xml:space="preserve">P2 </t>
  </si>
  <si>
    <t xml:space="preserve">P3 </t>
  </si>
  <si>
    <t>Line to Line Results</t>
  </si>
  <si>
    <t>Pulse to Pulse Results</t>
  </si>
  <si>
    <t>AS FOUND STATIC TESTS NOTES</t>
  </si>
  <si>
    <t>AS FOUND DYNAMIC TESTS NOTES</t>
  </si>
  <si>
    <t>OVERLOADS AS FOUND NOTES</t>
  </si>
  <si>
    <t>RTD'S AS FOUND NOTES</t>
  </si>
  <si>
    <t>EQUIPMENT AS FOUND NOTES</t>
  </si>
  <si>
    <t>LEADS AS FOUND NOTES</t>
  </si>
  <si>
    <t>HEATERS AS FOUND NOTES</t>
  </si>
  <si>
    <t>CUSTOMER COMPLAINT:</t>
  </si>
  <si>
    <t>AS FOUND SEAL NOTES</t>
  </si>
  <si>
    <t>AS FOUND MISCELLANEOUS FITS NOTES</t>
  </si>
  <si>
    <t>AS FOUND ELECTRICAL INSPECTION NOTES</t>
  </si>
  <si>
    <t>OTHER REQUIRED MECHANICAL WORK</t>
  </si>
  <si>
    <t>OTHER MACHINE WORK</t>
  </si>
  <si>
    <t>Required Electrical Work</t>
  </si>
  <si>
    <t>Bearing Config:</t>
  </si>
  <si>
    <t>Repair Keyway</t>
  </si>
  <si>
    <t>Seal surface repair</t>
  </si>
  <si>
    <t>As Released Repair Report</t>
  </si>
  <si>
    <t>SHOP REPAIR REPORT: Job &amp; Motor Data</t>
  </si>
  <si>
    <t xml:space="preserve">                     SHOP REPAIR REPORT: Required Work &amp; Materials</t>
  </si>
  <si>
    <t xml:space="preserve">Horizontal: </t>
  </si>
  <si>
    <t xml:space="preserve">Vertical: </t>
  </si>
  <si>
    <t xml:space="preserve"> Cord Length: </t>
  </si>
  <si>
    <t xml:space="preserve">Amb T°: </t>
  </si>
  <si>
    <t xml:space="preserve">Design: </t>
  </si>
  <si>
    <t xml:space="preserve">Insul Class: </t>
  </si>
  <si>
    <t xml:space="preserve">IB Bearing: </t>
  </si>
  <si>
    <t xml:space="preserve">OB Bearing: </t>
  </si>
  <si>
    <t xml:space="preserve">VEM Equip ID#: </t>
  </si>
  <si>
    <t xml:space="preserve">Other Customer: </t>
  </si>
  <si>
    <t xml:space="preserve"> Customer PO #: </t>
  </si>
  <si>
    <t xml:space="preserve">Customer Motor #: </t>
  </si>
  <si>
    <t xml:space="preserve">Customer Complaint: </t>
  </si>
  <si>
    <t xml:space="preserve">Comments: </t>
  </si>
  <si>
    <t>3 O'clock (Right)</t>
  </si>
  <si>
    <t>9 O'clock (Left)</t>
  </si>
  <si>
    <t>Plugged</t>
  </si>
  <si>
    <t xml:space="preserve">Eye Bolts/Nuts: </t>
  </si>
  <si>
    <t>Position:</t>
  </si>
  <si>
    <t xml:space="preserve">A-B-C: </t>
  </si>
  <si>
    <t>Notes on heater leads:</t>
  </si>
  <si>
    <t>Soddered?</t>
  </si>
  <si>
    <t xml:space="preserve"> Numbering: </t>
  </si>
  <si>
    <t>Reliance Green</t>
  </si>
  <si>
    <t>Unpainted</t>
  </si>
  <si>
    <t>Coupling Run Outs:</t>
  </si>
  <si>
    <t>Face Run Outs:</t>
  </si>
  <si>
    <t>CUSTOMER COMPLAINT</t>
  </si>
  <si>
    <t>COMMENTS</t>
  </si>
  <si>
    <t>Forced 4W/N</t>
  </si>
  <si>
    <t>3/4"</t>
  </si>
  <si>
    <t>Did Not Test Run:</t>
  </si>
  <si>
    <t>Heaters function:</t>
  </si>
  <si>
    <t>AS RELEASED ACCESSORIES</t>
  </si>
  <si>
    <t>SHOP REPAIR REPORT: As Released Accessories</t>
  </si>
  <si>
    <t xml:space="preserve">Fan Repaired? </t>
  </si>
  <si>
    <t>No Keyway</t>
  </si>
  <si>
    <t xml:space="preserve">         SHOP REPAIR REPORT: As Released Sizes and Misc. Repairs</t>
  </si>
  <si>
    <t>No Fan</t>
  </si>
  <si>
    <t>Repaired?</t>
  </si>
  <si>
    <t>Fit #4</t>
  </si>
  <si>
    <t>As released Mechanical Inspections 2</t>
  </si>
  <si>
    <t>Repaired: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</si>
  <si>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</si>
  <si>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Surface Repaired?</t>
  </si>
  <si>
    <t xml:space="preserve">Seal: </t>
  </si>
  <si>
    <t>Seal 2 Information</t>
  </si>
  <si>
    <t xml:space="preserve">Seal 1  </t>
  </si>
  <si>
    <t>Seal 2</t>
  </si>
  <si>
    <t>Seal 3</t>
  </si>
  <si>
    <t>Seal 4</t>
  </si>
  <si>
    <t>Repair Seal Surface(s)?</t>
  </si>
  <si>
    <t>Static Balancing:</t>
  </si>
  <si>
    <t>Fan</t>
  </si>
  <si>
    <t>Before:</t>
  </si>
  <si>
    <t>After:</t>
  </si>
  <si>
    <t>Tol:</t>
  </si>
  <si>
    <t>Static Balancing 1:</t>
  </si>
  <si>
    <t>Oil Used:</t>
  </si>
  <si>
    <t>Other Oil:</t>
  </si>
  <si>
    <t xml:space="preserve">Other Grease: </t>
  </si>
  <si>
    <t>Other Manu:</t>
  </si>
  <si>
    <t>Chevron R&amp;O 32</t>
  </si>
  <si>
    <t>Meropa 150</t>
  </si>
  <si>
    <t>Thickness Added:</t>
  </si>
  <si>
    <t>.</t>
  </si>
  <si>
    <t>Work to Perform:</t>
  </si>
  <si>
    <t>Add metal tags:</t>
  </si>
  <si>
    <t>Reinsulate Leads:</t>
  </si>
  <si>
    <t>Relug Leads:</t>
  </si>
  <si>
    <t>Sleeve Leads:</t>
  </si>
  <si>
    <t>Sleeve Leads</t>
  </si>
  <si>
    <t>Seal Leads:</t>
  </si>
  <si>
    <t>Solder Leads:</t>
  </si>
  <si>
    <t>Relead:</t>
  </si>
  <si>
    <t>Reapply Color tape:</t>
  </si>
  <si>
    <t>Completed?</t>
  </si>
  <si>
    <t>Sleeving Size:</t>
  </si>
  <si>
    <t>Notes on Electrical Tests and Leads:</t>
  </si>
  <si>
    <t>Did accessories pass all tests and functional?</t>
  </si>
  <si>
    <t>Are lead ends and lengths same as receieved?</t>
  </si>
  <si>
    <t>Are all leads tagged the same way as received?</t>
  </si>
  <si>
    <t>Accessories Checklist</t>
  </si>
  <si>
    <t>Have all machined repairs been documented?</t>
  </si>
  <si>
    <t>Has all electrical and lead work been performed?</t>
  </si>
  <si>
    <t>Have rotor surfaces been sanded if rusty?</t>
  </si>
  <si>
    <t>Is the springloader in the right endbell? (If Applicable)</t>
  </si>
  <si>
    <t>Has VEM tag been made and information correct?</t>
  </si>
  <si>
    <t>Is VEM tag installed on motor?</t>
  </si>
  <si>
    <t>Jumpers:</t>
  </si>
  <si>
    <t>Original Connection</t>
  </si>
  <si>
    <t>ELECTRICAL TEST RESULTS</t>
  </si>
  <si>
    <t>Sleeve leads</t>
  </si>
  <si>
    <t>5/8"</t>
  </si>
  <si>
    <t>7/8"</t>
  </si>
  <si>
    <t>1"</t>
  </si>
  <si>
    <t>#3</t>
  </si>
  <si>
    <t>#5</t>
  </si>
  <si>
    <t>#7</t>
  </si>
  <si>
    <t>#9</t>
  </si>
  <si>
    <t>#11</t>
  </si>
  <si>
    <t>Glass Sleeving</t>
  </si>
  <si>
    <t>Lug Size:</t>
  </si>
  <si>
    <t>Red Sealer</t>
  </si>
  <si>
    <t>As Released Electrical Test Notes:</t>
  </si>
  <si>
    <t>Overload Notes</t>
  </si>
  <si>
    <t>Accessories Checklist:</t>
  </si>
  <si>
    <t>AS RELEASED SEALS AND SURFACES NOTES:</t>
  </si>
  <si>
    <t>Seal surfaces repaired:</t>
  </si>
  <si>
    <t>Feet Repaired:</t>
  </si>
  <si>
    <t>Fan Repaired</t>
  </si>
  <si>
    <t>Keyway Repaired:</t>
  </si>
  <si>
    <t>Notes on Misc Repairs:</t>
  </si>
  <si>
    <t>MISCELLANEOUS REPAIR NOTES:</t>
  </si>
  <si>
    <t>MISCELLANEOUS MACHINE WORK NOTES:</t>
  </si>
  <si>
    <t>Fan Repaired?</t>
  </si>
  <si>
    <t>Seal Surfaces Repaired?</t>
  </si>
  <si>
    <t>Preassembly Checklist</t>
  </si>
  <si>
    <t>Preassembly notes</t>
  </si>
  <si>
    <t>PRE-ASSEMBLY NOTES:</t>
  </si>
  <si>
    <t xml:space="preserve">Grease Used: </t>
  </si>
  <si>
    <t>Acceptance Checklist:</t>
  </si>
  <si>
    <t>As Released Configuration:</t>
  </si>
  <si>
    <t>Notes on Acceptance Testing:</t>
  </si>
  <si>
    <t>Measured Current:</t>
  </si>
  <si>
    <t>Radio Choice</t>
  </si>
  <si>
    <t>Comments</t>
  </si>
  <si>
    <t>SHOP REPAIR REPORT: As Released Misc Fits</t>
  </si>
  <si>
    <t>e</t>
  </si>
  <si>
    <t>No Seal Surfaces</t>
  </si>
  <si>
    <t>WP1</t>
  </si>
  <si>
    <t>WP2</t>
  </si>
  <si>
    <t>Insulate/Sleeve Leads</t>
  </si>
  <si>
    <t>Added</t>
  </si>
  <si>
    <t xml:space="preserve">  Greased Used:</t>
  </si>
  <si>
    <t xml:space="preserve">  Oil Used:</t>
  </si>
  <si>
    <t>Vallejo Floodwater</t>
  </si>
  <si>
    <t>Dropped off by Drew.</t>
  </si>
  <si>
    <t>0689</t>
  </si>
  <si>
    <t>Issues with water sensor. Cable damaged at entry point into pump.</t>
  </si>
  <si>
    <t>64.2/32.1</t>
  </si>
  <si>
    <t xml:space="preserve">Large power cable damaged at entry point in top of pump. Pump covered in product. Lifting device on top of pump.Has chinese handcuffs on both cables.End of large cable markings- Black (T1), White (T2), Red (T3),Green(G). End of small cable markings- Green (G), Black (P1), White (P2), Red (W1), Orange (W2).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</si>
</sst>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(* #,##0_);_(* \(#,##0\);_(* &quot;-&quot;??_);_(@_)"/>
    <numFmt numFmtId="165" formatCode="0.0000"/>
    <numFmt numFmtId="166" formatCode="0.000"/>
    <numFmt numFmtId="167" formatCode="0.0"/>
    <numFmt numFmtId="168" formatCode="0.0%"/>
  </numFmts>
  <fonts count="45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Symbol"/>
      <family val="1"/>
      <charset val="2"/>
    </font>
    <font>
      <sz val="11"/>
      <color theme="1"/>
      <name val="Courier New"/>
      <family val="3"/>
    </font>
    <font>
      <sz val="11"/>
      <color theme="1"/>
      <name val="Wingdings"/>
      <charset val="2"/>
    </font>
    <font>
      <sz val="9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3" fillId="0" borderId="0" applyNumberFormat="0" applyFill="0" applyBorder="0" applyAlignment="0" applyProtection="0"/>
  </cellStyleXfs>
  <cellXfs count="1461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6" xfId="0" applyBorder="1"/>
    <xf numFmtId="0" fontId="0" fillId="0" borderId="8" xfId="0" applyBorder="1"/>
    <xf numFmtId="0" fontId="0" fillId="0" borderId="9" xfId="0" applyBorder="1"/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49" fontId="0" fillId="0" borderId="0" xfId="0" quotePrefix="1" applyNumberFormat="1" applyAlignment="1">
      <alignment horizontal="center" vertical="center"/>
    </xf>
    <xf numFmtId="0" fontId="0" fillId="0" borderId="1" xfId="0" applyBorder="1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13" xfId="0" applyBorder="1"/>
    <xf numFmtId="0" fontId="0" fillId="0" borderId="13" xfId="0" applyBorder="1" applyAlignment="1">
      <alignment horizontal="center"/>
    </xf>
    <xf numFmtId="49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2" fontId="0" fillId="0" borderId="0" xfId="0" applyNumberFormat="1"/>
    <xf numFmtId="9" fontId="0" fillId="0" borderId="0" xfId="1" applyFont="1"/>
    <xf numFmtId="0" fontId="0" fillId="0" borderId="1" xfId="0" applyBorder="1" applyAlignment="1" applyProtection="1">
      <alignment horizontal="center" vertical="center"/>
      <protection locked="0"/>
    </xf>
    <xf numFmtId="9" fontId="16" fillId="0" borderId="0" xfId="1" applyFont="1"/>
    <xf numFmtId="164" fontId="0" fillId="0" borderId="0" xfId="2" applyNumberFormat="1" applyFont="1"/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5" xfId="0" applyBorder="1" applyAlignment="1">
      <alignment vertical="center"/>
    </xf>
    <xf numFmtId="0" fontId="5" fillId="0" borderId="0" xfId="0" applyFont="1"/>
    <xf numFmtId="43" fontId="0" fillId="0" borderId="0" xfId="0" applyNumberFormat="1"/>
    <xf numFmtId="165" fontId="0" fillId="0" borderId="1" xfId="0" applyNumberFormat="1" applyBorder="1" applyAlignment="1" applyProtection="1">
      <alignment vertical="center"/>
      <protection locked="0"/>
    </xf>
    <xf numFmtId="49" fontId="0" fillId="0" borderId="0" xfId="0" applyNumberFormat="1" applyAlignment="1">
      <alignment horizontal="left"/>
    </xf>
    <xf numFmtId="0" fontId="15" fillId="0" borderId="0" xfId="0" applyFont="1" applyAlignment="1">
      <alignment horizontal="right"/>
    </xf>
    <xf numFmtId="0" fontId="15" fillId="0" borderId="0" xfId="0" applyFont="1"/>
    <xf numFmtId="2" fontId="0" fillId="0" borderId="0" xfId="0" applyNumberFormat="1" applyAlignment="1">
      <alignment horizontal="center"/>
    </xf>
    <xf numFmtId="49" fontId="0" fillId="0" borderId="13" xfId="0" applyNumberFormat="1" applyBorder="1" applyAlignment="1">
      <alignment horizontal="center"/>
    </xf>
    <xf numFmtId="165" fontId="0" fillId="0" borderId="1" xfId="0" applyNumberFormat="1" applyBorder="1" applyAlignment="1" applyProtection="1">
      <alignment horizontal="right" vertical="center"/>
      <protection locked="0"/>
    </xf>
    <xf numFmtId="0" fontId="0" fillId="0" borderId="8" xfId="0" applyBorder="1" applyAlignment="1">
      <alignment horizontal="right" vertical="center"/>
    </xf>
    <xf numFmtId="0" fontId="0" fillId="0" borderId="23" xfId="0" applyBorder="1"/>
    <xf numFmtId="0" fontId="14" fillId="0" borderId="0" xfId="0" applyFont="1"/>
    <xf numFmtId="0" fontId="2" fillId="0" borderId="14" xfId="0" applyFon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7" xfId="0" applyBorder="1" applyAlignment="1">
      <alignment horizontal="right"/>
    </xf>
    <xf numFmtId="0" fontId="0" fillId="0" borderId="20" xfId="0" applyBorder="1"/>
    <xf numFmtId="0" fontId="0" fillId="0" borderId="21" xfId="0" applyBorder="1"/>
    <xf numFmtId="0" fontId="20" fillId="0" borderId="14" xfId="0" applyFont="1" applyBorder="1"/>
    <xf numFmtId="0" fontId="15" fillId="0" borderId="15" xfId="0" applyFont="1" applyBorder="1"/>
    <xf numFmtId="0" fontId="2" fillId="0" borderId="0" xfId="0" applyFont="1"/>
    <xf numFmtId="165" fontId="0" fillId="0" borderId="0" xfId="0" applyNumberFormat="1"/>
    <xf numFmtId="2" fontId="0" fillId="0" borderId="0" xfId="0" applyNumberFormat="1" applyAlignment="1">
      <alignment vertical="center"/>
    </xf>
    <xf numFmtId="49" fontId="0" fillId="0" borderId="13" xfId="0" applyNumberFormat="1" applyBorder="1"/>
    <xf numFmtId="0" fontId="23" fillId="0" borderId="15" xfId="0" applyFont="1" applyBorder="1"/>
    <xf numFmtId="0" fontId="23" fillId="0" borderId="0" xfId="0" applyFont="1"/>
    <xf numFmtId="0" fontId="23" fillId="0" borderId="5" xfId="0" applyFont="1" applyBorder="1"/>
    <xf numFmtId="0" fontId="23" fillId="0" borderId="17" xfId="0" applyFont="1" applyBorder="1"/>
    <xf numFmtId="0" fontId="23" fillId="0" borderId="18" xfId="0" applyFont="1" applyBorder="1"/>
    <xf numFmtId="165" fontId="0" fillId="0" borderId="0" xfId="0" applyNumberFormat="1" applyAlignment="1">
      <alignment horizontal="right"/>
    </xf>
    <xf numFmtId="0" fontId="23" fillId="0" borderId="19" xfId="0" applyFont="1" applyBorder="1"/>
    <xf numFmtId="0" fontId="23" fillId="0" borderId="20" xfId="0" applyFont="1" applyBorder="1"/>
    <xf numFmtId="0" fontId="23" fillId="0" borderId="21" xfId="0" applyFont="1" applyBorder="1"/>
    <xf numFmtId="0" fontId="19" fillId="0" borderId="0" xfId="0" applyFont="1" applyAlignment="1">
      <alignment horizontal="left"/>
    </xf>
    <xf numFmtId="0" fontId="27" fillId="0" borderId="24" xfId="0" applyFont="1" applyBorder="1" applyAlignment="1">
      <alignment horizontal="center"/>
    </xf>
    <xf numFmtId="0" fontId="27" fillId="0" borderId="13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5" fillId="0" borderId="24" xfId="0" applyFont="1" applyBorder="1"/>
    <xf numFmtId="0" fontId="6" fillId="0" borderId="25" xfId="0" applyFont="1" applyBorder="1" applyProtection="1">
      <protection locked="0"/>
    </xf>
    <xf numFmtId="0" fontId="6" fillId="0" borderId="27" xfId="0" applyFont="1" applyBorder="1" applyProtection="1"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0" fillId="0" borderId="0" xfId="0" applyAlignment="1">
      <alignment vertical="top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6" xfId="0" applyBorder="1" applyAlignment="1">
      <alignment wrapText="1"/>
    </xf>
    <xf numFmtId="0" fontId="0" fillId="0" borderId="6" xfId="0" applyBorder="1" applyAlignment="1">
      <alignment horizontal="right"/>
    </xf>
    <xf numFmtId="0" fontId="0" fillId="0" borderId="18" xfId="0" applyBorder="1" applyAlignment="1">
      <alignment horizontal="right"/>
    </xf>
    <xf numFmtId="165" fontId="0" fillId="4" borderId="0" xfId="0" applyNumberFormat="1" applyFill="1" applyAlignment="1">
      <alignment horizontal="right" vertical="center"/>
    </xf>
    <xf numFmtId="0" fontId="0" fillId="0" borderId="0" xfId="0" applyAlignment="1">
      <alignment horizontal="right" vertical="top"/>
    </xf>
    <xf numFmtId="49" fontId="30" fillId="0" borderId="1" xfId="0" applyNumberFormat="1" applyFont="1" applyBorder="1" applyAlignment="1" applyProtection="1">
      <alignment horizontal="center" vertical="center"/>
      <protection locked="0"/>
    </xf>
    <xf numFmtId="49" fontId="31" fillId="0" borderId="1" xfId="0" applyNumberFormat="1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14" fontId="30" fillId="0" borderId="1" xfId="0" applyNumberFormat="1" applyFont="1" applyBorder="1" applyAlignment="1" applyProtection="1">
      <alignment horizontal="center" vertical="center"/>
      <protection locked="0"/>
    </xf>
    <xf numFmtId="3" fontId="31" fillId="0" borderId="1" xfId="0" applyNumberFormat="1" applyFont="1" applyBorder="1" applyAlignment="1" applyProtection="1">
      <alignment horizontal="center" vertical="center" shrinkToFit="1"/>
      <protection locked="0"/>
    </xf>
    <xf numFmtId="0" fontId="0" fillId="0" borderId="0" xfId="0" applyAlignment="1">
      <alignment horizontal="left" vertical="top"/>
    </xf>
    <xf numFmtId="0" fontId="0" fillId="0" borderId="42" xfId="0" applyBorder="1"/>
    <xf numFmtId="0" fontId="0" fillId="0" borderId="43" xfId="0" applyBorder="1" applyAlignment="1">
      <alignment horizontal="right"/>
    </xf>
    <xf numFmtId="0" fontId="23" fillId="0" borderId="42" xfId="0" applyFont="1" applyBorder="1"/>
    <xf numFmtId="0" fontId="0" fillId="0" borderId="3" xfId="0" applyBorder="1"/>
    <xf numFmtId="4" fontId="30" fillId="0" borderId="1" xfId="0" applyNumberFormat="1" applyFont="1" applyBorder="1" applyAlignment="1" applyProtection="1">
      <alignment horizontal="center" vertical="center" shrinkToFit="1"/>
      <protection locked="0"/>
    </xf>
    <xf numFmtId="2" fontId="30" fillId="0" borderId="1" xfId="0" applyNumberFormat="1" applyFont="1" applyBorder="1" applyAlignment="1" applyProtection="1">
      <alignment horizontal="center" vertical="center" shrinkToFit="1"/>
      <protection locked="0"/>
    </xf>
    <xf numFmtId="165" fontId="30" fillId="0" borderId="1" xfId="0" applyNumberFormat="1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 shrinkToFit="1"/>
      <protection locked="0"/>
    </xf>
    <xf numFmtId="167" fontId="30" fillId="0" borderId="1" xfId="0" applyNumberFormat="1" applyFont="1" applyBorder="1" applyAlignment="1" applyProtection="1">
      <alignment horizontal="center" vertical="center" shrinkToFit="1"/>
      <protection locked="0"/>
    </xf>
    <xf numFmtId="166" fontId="30" fillId="0" borderId="1" xfId="0" applyNumberFormat="1" applyFont="1" applyBorder="1" applyAlignment="1" applyProtection="1">
      <alignment horizontal="center" vertical="center" shrinkToFit="1"/>
      <protection locked="0"/>
    </xf>
    <xf numFmtId="168" fontId="0" fillId="0" borderId="0" xfId="0" applyNumberFormat="1"/>
    <xf numFmtId="165" fontId="0" fillId="0" borderId="0" xfId="0" applyNumberFormat="1" applyAlignment="1">
      <alignment horizontal="center"/>
    </xf>
    <xf numFmtId="3" fontId="0" fillId="0" borderId="0" xfId="0" applyNumberFormat="1"/>
    <xf numFmtId="165" fontId="12" fillId="0" borderId="0" xfId="0" applyNumberFormat="1" applyFont="1"/>
    <xf numFmtId="1" fontId="30" fillId="0" borderId="1" xfId="0" applyNumberFormat="1" applyFont="1" applyBorder="1" applyAlignment="1" applyProtection="1">
      <alignment horizontal="center" vertical="center" shrinkToFit="1"/>
      <protection locked="0"/>
    </xf>
    <xf numFmtId="165" fontId="0" fillId="0" borderId="0" xfId="0" quotePrefix="1" applyNumberFormat="1"/>
    <xf numFmtId="4" fontId="0" fillId="0" borderId="0" xfId="0" applyNumberFormat="1"/>
    <xf numFmtId="0" fontId="1" fillId="0" borderId="0" xfId="0" applyFont="1" applyAlignment="1">
      <alignment vertical="center"/>
    </xf>
    <xf numFmtId="0" fontId="3" fillId="4" borderId="0" xfId="0" applyFont="1" applyFill="1" applyAlignment="1">
      <alignment vertical="center"/>
    </xf>
    <xf numFmtId="0" fontId="15" fillId="0" borderId="5" xfId="0" applyFont="1" applyBorder="1" applyAlignment="1">
      <alignment horizontal="right" vertical="center" wrapText="1"/>
    </xf>
    <xf numFmtId="0" fontId="15" fillId="0" borderId="0" xfId="0" applyFont="1" applyAlignment="1">
      <alignment horizontal="right" vertical="center"/>
    </xf>
    <xf numFmtId="0" fontId="15" fillId="0" borderId="5" xfId="0" applyFont="1" applyBorder="1" applyAlignment="1">
      <alignment horizontal="right" vertical="center"/>
    </xf>
    <xf numFmtId="0" fontId="3" fillId="4" borderId="6" xfId="0" applyFont="1" applyFill="1" applyBorder="1" applyAlignment="1">
      <alignment vertical="center"/>
    </xf>
    <xf numFmtId="0" fontId="0" fillId="0" borderId="5" xfId="0" applyBorder="1" applyAlignment="1">
      <alignment horizontal="right" vertical="center"/>
    </xf>
    <xf numFmtId="0" fontId="17" fillId="0" borderId="0" xfId="0" applyFont="1"/>
    <xf numFmtId="49" fontId="2" fillId="0" borderId="0" xfId="0" applyNumberFormat="1" applyFont="1" applyAlignment="1">
      <alignment horizontal="center" vertical="center"/>
    </xf>
    <xf numFmtId="0" fontId="0" fillId="0" borderId="5" xfId="0" applyBorder="1" applyAlignment="1">
      <alignment horizontal="right" vertical="center" wrapText="1"/>
    </xf>
    <xf numFmtId="0" fontId="17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0" fontId="15" fillId="0" borderId="6" xfId="0" applyFont="1" applyBorder="1" applyAlignment="1">
      <alignment horizontal="right" vertical="center"/>
    </xf>
    <xf numFmtId="0" fontId="0" fillId="0" borderId="6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5" fillId="0" borderId="41" xfId="0" applyFont="1" applyBorder="1" applyAlignment="1">
      <alignment horizontal="right" vertical="center"/>
    </xf>
    <xf numFmtId="0" fontId="0" fillId="0" borderId="8" xfId="0" applyBorder="1" applyAlignment="1">
      <alignment vertical="center"/>
    </xf>
    <xf numFmtId="49" fontId="0" fillId="0" borderId="8" xfId="0" applyNumberFormat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0" fillId="0" borderId="41" xfId="0" applyBorder="1"/>
    <xf numFmtId="0" fontId="0" fillId="0" borderId="5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right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9" xfId="0" applyBorder="1"/>
    <xf numFmtId="0" fontId="2" fillId="0" borderId="5" xfId="0" applyFont="1" applyBorder="1" applyAlignment="1">
      <alignment vertical="center"/>
    </xf>
    <xf numFmtId="0" fontId="2" fillId="0" borderId="5" xfId="0" applyFont="1" applyBorder="1"/>
    <xf numFmtId="0" fontId="0" fillId="0" borderId="6" xfId="0" applyBorder="1" applyAlignment="1">
      <alignment horizontal="left"/>
    </xf>
    <xf numFmtId="49" fontId="0" fillId="0" borderId="0" xfId="0" applyNumberFormat="1" applyAlignment="1">
      <alignment horizontal="right" vertical="center"/>
    </xf>
    <xf numFmtId="0" fontId="14" fillId="0" borderId="0" xfId="0" applyFont="1" applyAlignment="1">
      <alignment wrapText="1"/>
    </xf>
    <xf numFmtId="0" fontId="14" fillId="0" borderId="6" xfId="0" applyFont="1" applyBorder="1" applyAlignment="1">
      <alignment wrapText="1"/>
    </xf>
    <xf numFmtId="0" fontId="2" fillId="0" borderId="5" xfId="0" applyFont="1" applyBorder="1" applyAlignment="1">
      <alignment horizontal="left"/>
    </xf>
    <xf numFmtId="49" fontId="22" fillId="0" borderId="5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vertical="top" wrapText="1"/>
    </xf>
    <xf numFmtId="0" fontId="23" fillId="0" borderId="5" xfId="0" applyFont="1" applyBorder="1" applyAlignment="1">
      <alignment vertical="center"/>
    </xf>
    <xf numFmtId="0" fontId="0" fillId="0" borderId="9" xfId="0" applyBorder="1" applyAlignment="1">
      <alignment horizontal="right" vertical="center"/>
    </xf>
    <xf numFmtId="9" fontId="0" fillId="0" borderId="0" xfId="0" applyNumberFormat="1"/>
    <xf numFmtId="0" fontId="11" fillId="0" borderId="0" xfId="0" applyFont="1"/>
    <xf numFmtId="0" fontId="9" fillId="0" borderId="0" xfId="0" applyFont="1"/>
    <xf numFmtId="0" fontId="10" fillId="0" borderId="0" xfId="0" applyFont="1"/>
    <xf numFmtId="0" fontId="25" fillId="0" borderId="0" xfId="0" applyFont="1"/>
    <xf numFmtId="0" fontId="25" fillId="0" borderId="7" xfId="0" applyFont="1" applyBorder="1"/>
    <xf numFmtId="0" fontId="25" fillId="0" borderId="8" xfId="0" applyFont="1" applyBorder="1"/>
    <xf numFmtId="0" fontId="25" fillId="0" borderId="9" xfId="0" applyFont="1" applyBorder="1"/>
    <xf numFmtId="0" fontId="27" fillId="0" borderId="37" xfId="0" applyFont="1" applyBorder="1" applyAlignment="1">
      <alignment horizontal="center"/>
    </xf>
    <xf numFmtId="0" fontId="27" fillId="0" borderId="38" xfId="0" applyFont="1" applyBorder="1" applyAlignment="1">
      <alignment horizontal="center"/>
    </xf>
    <xf numFmtId="0" fontId="14" fillId="0" borderId="15" xfId="0" applyFont="1" applyBorder="1"/>
    <xf numFmtId="0" fontId="14" fillId="0" borderId="18" xfId="0" applyFont="1" applyBorder="1"/>
    <xf numFmtId="1" fontId="0" fillId="0" borderId="0" xfId="0" applyNumberFormat="1" applyAlignment="1">
      <alignment horizontal="left" wrapText="1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/>
    </xf>
    <xf numFmtId="0" fontId="0" fillId="0" borderId="18" xfId="0" applyBorder="1" applyAlignment="1">
      <alignment horizontal="center"/>
    </xf>
    <xf numFmtId="0" fontId="15" fillId="0" borderId="17" xfId="0" applyFont="1" applyBorder="1" applyAlignment="1">
      <alignment horizontal="right"/>
    </xf>
    <xf numFmtId="1" fontId="0" fillId="0" borderId="0" xfId="0" applyNumberFormat="1"/>
    <xf numFmtId="166" fontId="0" fillId="0" borderId="0" xfId="0" applyNumberFormat="1"/>
    <xf numFmtId="0" fontId="15" fillId="0" borderId="39" xfId="0" applyFont="1" applyBorder="1" applyAlignment="1" applyProtection="1">
      <alignment horizontal="center"/>
      <protection locked="0"/>
    </xf>
    <xf numFmtId="0" fontId="15" fillId="0" borderId="40" xfId="0" applyFont="1" applyBorder="1" applyAlignment="1" applyProtection="1">
      <alignment horizontal="center"/>
      <protection locked="0"/>
    </xf>
    <xf numFmtId="0" fontId="15" fillId="0" borderId="24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24" fillId="0" borderId="0" xfId="0" applyFont="1" applyAlignment="1">
      <alignment horizontal="right"/>
    </xf>
    <xf numFmtId="0" fontId="14" fillId="0" borderId="20" xfId="0" applyFont="1" applyBorder="1"/>
    <xf numFmtId="0" fontId="3" fillId="0" borderId="0" xfId="0" applyFont="1" applyAlignment="1">
      <alignment horizontal="center"/>
    </xf>
    <xf numFmtId="0" fontId="15" fillId="0" borderId="0" xfId="0" applyFont="1" applyAlignment="1">
      <alignment wrapText="1"/>
    </xf>
    <xf numFmtId="165" fontId="15" fillId="0" borderId="0" xfId="0" applyNumberFormat="1" applyFont="1" applyAlignment="1">
      <alignment horizontal="right"/>
    </xf>
    <xf numFmtId="0" fontId="0" fillId="0" borderId="14" xfId="0" applyBorder="1"/>
    <xf numFmtId="0" fontId="15" fillId="0" borderId="15" xfId="0" applyFont="1" applyBorder="1" applyAlignment="1">
      <alignment horizontal="right"/>
    </xf>
    <xf numFmtId="0" fontId="0" fillId="0" borderId="0" xfId="0" applyAlignment="1">
      <alignment vertical="top" wrapText="1"/>
    </xf>
    <xf numFmtId="0" fontId="15" fillId="0" borderId="0" xfId="0" applyFont="1" applyAlignment="1">
      <alignment vertical="top"/>
    </xf>
    <xf numFmtId="0" fontId="15" fillId="0" borderId="17" xfId="0" applyFont="1" applyBorder="1"/>
    <xf numFmtId="0" fontId="0" fillId="0" borderId="20" xfId="0" applyBorder="1" applyAlignment="1">
      <alignment horizontal="center"/>
    </xf>
    <xf numFmtId="0" fontId="0" fillId="0" borderId="20" xfId="0" applyBorder="1" applyAlignment="1">
      <alignment vertical="top" wrapText="1"/>
    </xf>
    <xf numFmtId="0" fontId="0" fillId="0" borderId="15" xfId="0" applyBorder="1" applyAlignment="1">
      <alignment wrapText="1"/>
    </xf>
    <xf numFmtId="0" fontId="0" fillId="0" borderId="16" xfId="0" applyBorder="1" applyAlignment="1">
      <alignment wrapText="1"/>
    </xf>
    <xf numFmtId="0" fontId="20" fillId="0" borderId="17" xfId="0" applyFont="1" applyBorder="1"/>
    <xf numFmtId="0" fontId="21" fillId="0" borderId="14" xfId="0" applyFont="1" applyBorder="1"/>
    <xf numFmtId="165" fontId="0" fillId="3" borderId="1" xfId="0" applyNumberFormat="1" applyFill="1" applyBorder="1" applyAlignment="1">
      <alignment horizontal="center" vertical="center"/>
    </xf>
    <xf numFmtId="0" fontId="33" fillId="0" borderId="0" xfId="0" applyFont="1"/>
    <xf numFmtId="0" fontId="27" fillId="0" borderId="28" xfId="0" applyFont="1" applyBorder="1" applyAlignment="1">
      <alignment horizontal="center"/>
    </xf>
    <xf numFmtId="0" fontId="27" fillId="0" borderId="46" xfId="0" applyFont="1" applyBorder="1" applyAlignment="1">
      <alignment horizontal="center"/>
    </xf>
    <xf numFmtId="0" fontId="27" fillId="0" borderId="30" xfId="0" applyFont="1" applyBorder="1" applyAlignment="1">
      <alignment horizontal="center"/>
    </xf>
    <xf numFmtId="0" fontId="27" fillId="0" borderId="47" xfId="0" applyFont="1" applyBorder="1" applyAlignment="1">
      <alignment horizontal="center"/>
    </xf>
    <xf numFmtId="0" fontId="0" fillId="5" borderId="1" xfId="0" applyFill="1" applyBorder="1" applyAlignment="1">
      <alignment horizontal="center" shrinkToFit="1"/>
    </xf>
    <xf numFmtId="49" fontId="30" fillId="0" borderId="1" xfId="0" applyNumberFormat="1" applyFont="1" applyBorder="1" applyAlignment="1" applyProtection="1">
      <alignment horizontal="center" vertical="center" shrinkToFit="1"/>
      <protection locked="0"/>
    </xf>
    <xf numFmtId="0" fontId="14" fillId="0" borderId="0" xfId="0" applyFont="1" applyAlignment="1">
      <alignment horizontal="center" vertical="center"/>
    </xf>
    <xf numFmtId="0" fontId="4" fillId="0" borderId="0" xfId="0" applyFont="1"/>
    <xf numFmtId="0" fontId="15" fillId="0" borderId="48" xfId="0" applyFont="1" applyBorder="1" applyAlignment="1" applyProtection="1">
      <alignment horizontal="center"/>
      <protection locked="0"/>
    </xf>
    <xf numFmtId="0" fontId="6" fillId="0" borderId="49" xfId="0" applyFont="1" applyBorder="1" applyProtection="1">
      <protection locked="0"/>
    </xf>
    <xf numFmtId="0" fontId="0" fillId="2" borderId="2" xfId="0" applyFill="1" applyBorder="1"/>
    <xf numFmtId="0" fontId="0" fillId="2" borderId="3" xfId="0" applyFill="1" applyBorder="1"/>
    <xf numFmtId="0" fontId="15" fillId="0" borderId="5" xfId="0" applyFont="1" applyBorder="1" applyAlignment="1">
      <alignment horizontal="center"/>
    </xf>
    <xf numFmtId="0" fontId="0" fillId="2" borderId="4" xfId="0" applyFill="1" applyBorder="1"/>
    <xf numFmtId="0" fontId="14" fillId="0" borderId="0" xfId="0" applyFont="1" applyAlignment="1">
      <alignment horizontal="right" vertical="center"/>
    </xf>
    <xf numFmtId="165" fontId="25" fillId="0" borderId="0" xfId="0" applyNumberFormat="1" applyFont="1"/>
    <xf numFmtId="2" fontId="25" fillId="0" borderId="0" xfId="0" applyNumberFormat="1" applyFont="1"/>
    <xf numFmtId="3" fontId="25" fillId="0" borderId="0" xfId="0" applyNumberFormat="1" applyFont="1"/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right"/>
    </xf>
    <xf numFmtId="0" fontId="3" fillId="0" borderId="0" xfId="0" applyFont="1"/>
    <xf numFmtId="0" fontId="14" fillId="0" borderId="22" xfId="0" applyFont="1" applyBorder="1"/>
    <xf numFmtId="0" fontId="5" fillId="6" borderId="14" xfId="0" applyFont="1" applyFill="1" applyBorder="1"/>
    <xf numFmtId="0" fontId="0" fillId="6" borderId="15" xfId="0" applyFill="1" applyBorder="1"/>
    <xf numFmtId="0" fontId="5" fillId="6" borderId="15" xfId="0" applyFont="1" applyFill="1" applyBorder="1"/>
    <xf numFmtId="0" fontId="0" fillId="6" borderId="16" xfId="0" applyFill="1" applyBorder="1"/>
    <xf numFmtId="0" fontId="0" fillId="0" borderId="22" xfId="0" applyBorder="1"/>
    <xf numFmtId="0" fontId="31" fillId="0" borderId="5" xfId="0" applyFont="1" applyBorder="1" applyAlignment="1">
      <alignment horizontal="center"/>
    </xf>
    <xf numFmtId="0" fontId="31" fillId="0" borderId="0" xfId="0" applyFont="1" applyAlignment="1">
      <alignment horizontal="center"/>
    </xf>
    <xf numFmtId="0" fontId="0" fillId="0" borderId="15" xfId="0" applyBorder="1" applyAlignment="1">
      <alignment horizontal="center"/>
    </xf>
    <xf numFmtId="0" fontId="0" fillId="0" borderId="22" xfId="0" applyBorder="1" applyAlignment="1">
      <alignment horizontal="right"/>
    </xf>
    <xf numFmtId="0" fontId="0" fillId="0" borderId="50" xfId="0" applyBorder="1" applyAlignment="1">
      <alignment horizontal="center"/>
    </xf>
    <xf numFmtId="0" fontId="0" fillId="0" borderId="50" xfId="0" applyBorder="1"/>
    <xf numFmtId="0" fontId="0" fillId="0" borderId="43" xfId="0" applyBorder="1"/>
    <xf numFmtId="0" fontId="5" fillId="2" borderId="15" xfId="0" applyFont="1" applyFill="1" applyBorder="1"/>
    <xf numFmtId="0" fontId="29" fillId="2" borderId="15" xfId="0" applyFont="1" applyFill="1" applyBorder="1"/>
    <xf numFmtId="0" fontId="15" fillId="0" borderId="5" xfId="0" applyFont="1" applyBorder="1" applyAlignment="1">
      <alignment vertical="center"/>
    </xf>
    <xf numFmtId="0" fontId="5" fillId="2" borderId="14" xfId="0" applyFont="1" applyFill="1" applyBorder="1" applyAlignment="1">
      <alignment horizontal="left" vertical="center"/>
    </xf>
    <xf numFmtId="0" fontId="0" fillId="2" borderId="15" xfId="0" applyFill="1" applyBorder="1"/>
    <xf numFmtId="0" fontId="5" fillId="2" borderId="16" xfId="0" applyFont="1" applyFill="1" applyBorder="1" applyAlignment="1">
      <alignment horizontal="left" vertical="center"/>
    </xf>
    <xf numFmtId="0" fontId="4" fillId="0" borderId="6" xfId="0" applyFont="1" applyBorder="1"/>
    <xf numFmtId="0" fontId="37" fillId="0" borderId="0" xfId="0" applyFont="1"/>
    <xf numFmtId="165" fontId="28" fillId="0" borderId="0" xfId="0" applyNumberFormat="1" applyFont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0" borderId="0" xfId="0" applyFont="1" applyAlignment="1">
      <alignment vertic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0" xfId="0" applyFont="1"/>
    <xf numFmtId="0" fontId="0" fillId="0" borderId="13" xfId="0" applyBorder="1" applyAlignment="1">
      <alignment horizontal="center" vertical="center"/>
    </xf>
    <xf numFmtId="0" fontId="19" fillId="0" borderId="0" xfId="0" applyFont="1" applyAlignment="1">
      <alignment vertical="top"/>
    </xf>
    <xf numFmtId="0" fontId="14" fillId="0" borderId="0" xfId="0" applyFont="1" applyAlignment="1">
      <alignment horizontal="left" wrapText="1"/>
    </xf>
    <xf numFmtId="0" fontId="15" fillId="2" borderId="13" xfId="0" applyFont="1" applyFill="1" applyBorder="1" applyAlignment="1">
      <alignment horizontal="center" vertical="center"/>
    </xf>
    <xf numFmtId="165" fontId="0" fillId="0" borderId="13" xfId="0" applyNumberFormat="1" applyBorder="1" applyAlignment="1">
      <alignment horizontal="center"/>
    </xf>
    <xf numFmtId="0" fontId="19" fillId="0" borderId="0" xfId="0" applyFont="1" applyAlignment="1">
      <alignment horizontal="left" vertical="top"/>
    </xf>
    <xf numFmtId="0" fontId="21" fillId="0" borderId="0" xfId="0" applyFont="1"/>
    <xf numFmtId="0" fontId="15" fillId="0" borderId="13" xfId="0" applyFont="1" applyBorder="1" applyAlignment="1">
      <alignment horizontal="center"/>
    </xf>
    <xf numFmtId="0" fontId="34" fillId="0" borderId="0" xfId="0" applyFont="1" applyAlignment="1">
      <alignment horizontal="right"/>
    </xf>
    <xf numFmtId="0" fontId="35" fillId="0" borderId="0" xfId="0" applyFont="1"/>
    <xf numFmtId="0" fontId="15" fillId="0" borderId="17" xfId="0" applyFont="1" applyBorder="1" applyAlignment="1">
      <alignment horizontal="right" vertical="center"/>
    </xf>
    <xf numFmtId="49" fontId="0" fillId="0" borderId="0" xfId="0" applyNumberFormat="1" applyAlignment="1">
      <alignment horizontal="right"/>
    </xf>
    <xf numFmtId="0" fontId="3" fillId="0" borderId="0" xfId="0" applyFont="1" applyAlignment="1">
      <alignment horizontal="left" vertical="center"/>
    </xf>
    <xf numFmtId="0" fontId="15" fillId="0" borderId="1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center"/>
    </xf>
    <xf numFmtId="0" fontId="15" fillId="0" borderId="6" xfId="0" applyFont="1" applyBorder="1" applyAlignment="1">
      <alignment horizontal="right"/>
    </xf>
    <xf numFmtId="0" fontId="3" fillId="0" borderId="0" xfId="0" applyFont="1" applyAlignment="1">
      <alignment horizontal="left"/>
    </xf>
    <xf numFmtId="165" fontId="28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18" fillId="0" borderId="5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4" fillId="0" borderId="5" xfId="0" applyFont="1" applyBorder="1"/>
    <xf numFmtId="0" fontId="19" fillId="0" borderId="5" xfId="0" applyFont="1" applyBorder="1" applyAlignment="1">
      <alignment horizontal="left"/>
    </xf>
    <xf numFmtId="0" fontId="5" fillId="0" borderId="6" xfId="0" applyFont="1" applyBorder="1"/>
    <xf numFmtId="0" fontId="5" fillId="2" borderId="14" xfId="0" applyFont="1" applyFill="1" applyBorder="1" applyAlignment="1">
      <alignment vertical="center"/>
    </xf>
    <xf numFmtId="0" fontId="5" fillId="2" borderId="15" xfId="0" applyFont="1" applyFill="1" applyBorder="1" applyAlignment="1">
      <alignment vertical="center"/>
    </xf>
    <xf numFmtId="0" fontId="0" fillId="0" borderId="11" xfId="0" applyBorder="1"/>
    <xf numFmtId="0" fontId="3" fillId="0" borderId="5" xfId="0" applyFont="1" applyBorder="1" applyAlignment="1">
      <alignment horizontal="right"/>
    </xf>
    <xf numFmtId="0" fontId="5" fillId="0" borderId="0" xfId="0" applyFont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29" fillId="0" borderId="0" xfId="0" applyFont="1"/>
    <xf numFmtId="0" fontId="18" fillId="0" borderId="0" xfId="0" applyFont="1" applyAlignment="1">
      <alignment horizontal="center"/>
    </xf>
    <xf numFmtId="0" fontId="18" fillId="0" borderId="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5" fillId="0" borderId="50" xfId="0" applyFont="1" applyBorder="1"/>
    <xf numFmtId="0" fontId="5" fillId="5" borderId="14" xfId="0" applyFont="1" applyFill="1" applyBorder="1"/>
    <xf numFmtId="0" fontId="0" fillId="5" borderId="15" xfId="0" applyFill="1" applyBorder="1"/>
    <xf numFmtId="0" fontId="5" fillId="5" borderId="15" xfId="0" applyFont="1" applyFill="1" applyBorder="1"/>
    <xf numFmtId="0" fontId="0" fillId="5" borderId="16" xfId="0" applyFill="1" applyBorder="1"/>
    <xf numFmtId="0" fontId="5" fillId="5" borderId="16" xfId="0" applyFont="1" applyFill="1" applyBorder="1"/>
    <xf numFmtId="0" fontId="3" fillId="5" borderId="15" xfId="0" applyFont="1" applyFill="1" applyBorder="1"/>
    <xf numFmtId="0" fontId="28" fillId="0" borderId="0" xfId="0" applyFont="1"/>
    <xf numFmtId="0" fontId="0" fillId="0" borderId="35" xfId="0" applyBorder="1"/>
    <xf numFmtId="0" fontId="15" fillId="2" borderId="13" xfId="0" applyFont="1" applyFill="1" applyBorder="1" applyAlignment="1">
      <alignment horizontal="center"/>
    </xf>
    <xf numFmtId="49" fontId="25" fillId="0" borderId="0" xfId="0" applyNumberFormat="1" applyFont="1"/>
    <xf numFmtId="165" fontId="0" fillId="0" borderId="15" xfId="0" applyNumberFormat="1" applyBorder="1" applyAlignment="1">
      <alignment horizontal="center"/>
    </xf>
    <xf numFmtId="0" fontId="15" fillId="0" borderId="0" xfId="0" applyFont="1" applyAlignment="1">
      <alignment vertical="center" wrapText="1"/>
    </xf>
    <xf numFmtId="0" fontId="3" fillId="0" borderId="22" xfId="0" applyFont="1" applyBorder="1" applyAlignment="1">
      <alignment horizontal="center"/>
    </xf>
    <xf numFmtId="165" fontId="0" fillId="0" borderId="13" xfId="0" applyNumberFormat="1" applyBorder="1" applyAlignment="1">
      <alignment horizontal="center" vertical="center"/>
    </xf>
    <xf numFmtId="0" fontId="15" fillId="0" borderId="18" xfId="0" applyFont="1" applyBorder="1" applyAlignment="1">
      <alignment horizontal="right"/>
    </xf>
    <xf numFmtId="0" fontId="4" fillId="0" borderId="41" xfId="0" applyFont="1" applyBorder="1" applyAlignment="1">
      <alignment horizontal="center"/>
    </xf>
    <xf numFmtId="0" fontId="0" fillId="0" borderId="41" xfId="0" applyBorder="1" applyAlignment="1">
      <alignment wrapText="1"/>
    </xf>
    <xf numFmtId="0" fontId="3" fillId="2" borderId="45" xfId="0" applyFont="1" applyFill="1" applyBorder="1" applyAlignment="1">
      <alignment horizontal="right"/>
    </xf>
    <xf numFmtId="0" fontId="3" fillId="2" borderId="30" xfId="0" applyFont="1" applyFill="1" applyBorder="1" applyAlignment="1">
      <alignment horizontal="right"/>
    </xf>
    <xf numFmtId="0" fontId="3" fillId="2" borderId="45" xfId="0" applyFont="1" applyFill="1" applyBorder="1" applyAlignment="1">
      <alignment horizontal="center"/>
    </xf>
    <xf numFmtId="167" fontId="29" fillId="0" borderId="0" xfId="0" applyNumberFormat="1" applyFont="1" applyAlignment="1">
      <alignment horizontal="center" vertical="center"/>
    </xf>
    <xf numFmtId="165" fontId="0" fillId="0" borderId="14" xfId="0" applyNumberFormat="1" applyBorder="1" applyAlignment="1">
      <alignment horizontal="center"/>
    </xf>
    <xf numFmtId="0" fontId="19" fillId="0" borderId="22" xfId="0" applyFont="1" applyBorder="1" applyAlignment="1">
      <alignment horizontal="left" vertical="top"/>
    </xf>
    <xf numFmtId="0" fontId="38" fillId="0" borderId="0" xfId="0" applyFont="1"/>
    <xf numFmtId="0" fontId="38" fillId="0" borderId="22" xfId="0" applyFont="1" applyBorder="1"/>
    <xf numFmtId="0" fontId="15" fillId="0" borderId="22" xfId="0" applyFont="1" applyBorder="1" applyAlignment="1">
      <alignment vertical="center"/>
    </xf>
    <xf numFmtId="0" fontId="15" fillId="0" borderId="22" xfId="0" applyFont="1" applyBorder="1" applyAlignment="1">
      <alignment horizontal="left" vertical="center"/>
    </xf>
    <xf numFmtId="0" fontId="0" fillId="0" borderId="22" xfId="0" applyBorder="1" applyAlignment="1">
      <alignment vertical="center"/>
    </xf>
    <xf numFmtId="0" fontId="38" fillId="0" borderId="0" xfId="0" applyFont="1" applyAlignment="1">
      <alignment horizontal="center"/>
    </xf>
    <xf numFmtId="0" fontId="0" fillId="0" borderId="22" xfId="0" applyBorder="1" applyAlignment="1">
      <alignment horizontal="center" vertical="center"/>
    </xf>
    <xf numFmtId="0" fontId="39" fillId="0" borderId="0" xfId="0" applyFont="1"/>
    <xf numFmtId="0" fontId="38" fillId="0" borderId="22" xfId="0" applyFont="1" applyBorder="1" applyAlignment="1">
      <alignment horizontal="center"/>
    </xf>
    <xf numFmtId="0" fontId="38" fillId="0" borderId="22" xfId="0" applyFont="1" applyBorder="1" applyAlignment="1">
      <alignment horizontal="left"/>
    </xf>
    <xf numFmtId="0" fontId="19" fillId="0" borderId="20" xfId="0" applyFont="1" applyBorder="1" applyAlignment="1">
      <alignment horizontal="center"/>
    </xf>
    <xf numFmtId="165" fontId="0" fillId="0" borderId="17" xfId="0" applyNumberFormat="1" applyBorder="1" applyAlignment="1">
      <alignment vertical="center"/>
    </xf>
    <xf numFmtId="165" fontId="0" fillId="7" borderId="13" xfId="0" applyNumberFormat="1" applyFill="1" applyBorder="1" applyAlignment="1">
      <alignment horizontal="center" vertical="center"/>
    </xf>
    <xf numFmtId="0" fontId="38" fillId="0" borderId="22" xfId="0" applyFont="1" applyBorder="1" applyAlignment="1">
      <alignment horizontal="center" vertical="center"/>
    </xf>
    <xf numFmtId="165" fontId="28" fillId="0" borderId="1" xfId="0" applyNumberFormat="1" applyFont="1" applyBorder="1" applyAlignment="1" applyProtection="1">
      <alignment horizontal="center" vertical="center"/>
      <protection locked="0"/>
    </xf>
    <xf numFmtId="0" fontId="3" fillId="2" borderId="13" xfId="0" applyFont="1" applyFill="1" applyBorder="1" applyAlignment="1">
      <alignment horizontal="right" vertical="center"/>
    </xf>
    <xf numFmtId="165" fontId="28" fillId="7" borderId="13" xfId="0" applyNumberFormat="1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right" vertical="center"/>
    </xf>
    <xf numFmtId="0" fontId="29" fillId="0" borderId="1" xfId="0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/>
    </xf>
    <xf numFmtId="0" fontId="5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167" fontId="29" fillId="0" borderId="1" xfId="0" applyNumberFormat="1" applyFont="1" applyBorder="1" applyAlignment="1" applyProtection="1">
      <alignment horizontal="center" vertical="center"/>
      <protection locked="0"/>
    </xf>
    <xf numFmtId="3" fontId="40" fillId="0" borderId="1" xfId="0" applyNumberFormat="1" applyFont="1" applyBorder="1" applyAlignment="1" applyProtection="1">
      <alignment horizontal="center" vertical="center"/>
      <protection locked="0"/>
    </xf>
    <xf numFmtId="0" fontId="0" fillId="0" borderId="35" xfId="0" applyBorder="1" applyAlignment="1">
      <alignment horizontal="left"/>
    </xf>
    <xf numFmtId="0" fontId="15" fillId="2" borderId="13" xfId="0" applyFont="1" applyFill="1" applyBorder="1"/>
    <xf numFmtId="0" fontId="0" fillId="0" borderId="13" xfId="0" applyBorder="1" applyAlignment="1">
      <alignment horizontal="left" vertical="center"/>
    </xf>
    <xf numFmtId="14" fontId="0" fillId="0" borderId="13" xfId="0" applyNumberFormat="1" applyBorder="1" applyAlignment="1">
      <alignment horizontal="left" vertical="center"/>
    </xf>
    <xf numFmtId="1" fontId="0" fillId="0" borderId="13" xfId="0" applyNumberFormat="1" applyBorder="1" applyAlignment="1">
      <alignment horizontal="left" vertical="center"/>
    </xf>
    <xf numFmtId="3" fontId="0" fillId="0" borderId="13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0" fontId="23" fillId="0" borderId="13" xfId="0" applyFont="1" applyBorder="1" applyAlignment="1">
      <alignment horizontal="left" vertical="center"/>
    </xf>
    <xf numFmtId="0" fontId="0" fillId="0" borderId="13" xfId="0" applyBorder="1" applyAlignment="1">
      <alignment horizontal="right"/>
    </xf>
    <xf numFmtId="1" fontId="0" fillId="0" borderId="13" xfId="0" applyNumberFormat="1" applyBorder="1" applyAlignment="1">
      <alignment horizontal="right"/>
    </xf>
    <xf numFmtId="1" fontId="0" fillId="0" borderId="13" xfId="0" applyNumberFormat="1" applyBorder="1"/>
    <xf numFmtId="0" fontId="0" fillId="0" borderId="45" xfId="0" applyBorder="1"/>
    <xf numFmtId="0" fontId="0" fillId="0" borderId="30" xfId="0" applyBorder="1"/>
    <xf numFmtId="0" fontId="0" fillId="0" borderId="13" xfId="0" applyBorder="1" applyAlignment="1">
      <alignment horizontal="left"/>
    </xf>
    <xf numFmtId="0" fontId="0" fillId="0" borderId="45" xfId="0" applyBorder="1" applyAlignment="1">
      <alignment horizontal="left"/>
    </xf>
    <xf numFmtId="1" fontId="0" fillId="0" borderId="13" xfId="0" applyNumberFormat="1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52" xfId="0" applyBorder="1"/>
    <xf numFmtId="0" fontId="0" fillId="0" borderId="14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35" xfId="0" applyBorder="1" applyAlignment="1">
      <alignment horizontal="left" vertical="center"/>
    </xf>
    <xf numFmtId="0" fontId="0" fillId="0" borderId="13" xfId="0" applyBorder="1" applyAlignment="1">
      <alignment horizontal="left" vertical="center" wrapText="1"/>
    </xf>
    <xf numFmtId="0" fontId="0" fillId="0" borderId="36" xfId="0" applyBorder="1"/>
    <xf numFmtId="0" fontId="0" fillId="0" borderId="1" xfId="0" applyBorder="1" applyAlignment="1">
      <alignment horizontal="left"/>
    </xf>
    <xf numFmtId="0" fontId="0" fillId="0" borderId="13" xfId="0" quotePrefix="1" applyBorder="1"/>
    <xf numFmtId="3" fontId="0" fillId="0" borderId="13" xfId="2" applyNumberFormat="1" applyFont="1" applyBorder="1"/>
    <xf numFmtId="2" fontId="0" fillId="0" borderId="13" xfId="0" applyNumberFormat="1" applyBorder="1"/>
    <xf numFmtId="4" fontId="0" fillId="0" borderId="13" xfId="0" applyNumberFormat="1" applyBorder="1"/>
    <xf numFmtId="4" fontId="0" fillId="0" borderId="13" xfId="2" applyNumberFormat="1" applyFont="1" applyBorder="1"/>
    <xf numFmtId="3" fontId="0" fillId="0" borderId="13" xfId="0" applyNumberFormat="1" applyBorder="1"/>
    <xf numFmtId="168" fontId="0" fillId="0" borderId="13" xfId="0" applyNumberFormat="1" applyBorder="1"/>
    <xf numFmtId="165" fontId="0" fillId="0" borderId="13" xfId="0" applyNumberFormat="1" applyBorder="1"/>
    <xf numFmtId="0" fontId="19" fillId="0" borderId="15" xfId="0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1" fontId="0" fillId="0" borderId="0" xfId="0" applyNumberFormat="1" applyAlignment="1">
      <alignment horizontal="left" vertical="center"/>
    </xf>
    <xf numFmtId="0" fontId="6" fillId="0" borderId="53" xfId="0" applyFont="1" applyBorder="1" applyProtection="1">
      <protection locked="0"/>
    </xf>
    <xf numFmtId="0" fontId="25" fillId="0" borderId="13" xfId="0" applyFont="1" applyBorder="1"/>
    <xf numFmtId="0" fontId="15" fillId="0" borderId="35" xfId="0" applyFont="1" applyBorder="1" applyAlignment="1">
      <alignment horizontal="right"/>
    </xf>
    <xf numFmtId="0" fontId="15" fillId="0" borderId="13" xfId="0" applyFont="1" applyBorder="1" applyAlignment="1">
      <alignment horizontal="right"/>
    </xf>
    <xf numFmtId="165" fontId="40" fillId="0" borderId="1" xfId="0" applyNumberFormat="1" applyFont="1" applyBorder="1" applyAlignment="1" applyProtection="1">
      <alignment horizontal="center" vertical="center"/>
      <protection locked="0"/>
    </xf>
    <xf numFmtId="1" fontId="31" fillId="0" borderId="1" xfId="0" applyNumberFormat="1" applyFont="1" applyBorder="1" applyAlignment="1" applyProtection="1">
      <alignment horizontal="center" vertical="center" shrinkToFit="1"/>
      <protection locked="0"/>
    </xf>
    <xf numFmtId="0" fontId="0" fillId="0" borderId="13" xfId="0" applyBorder="1" applyProtection="1">
      <protection locked="0"/>
    </xf>
    <xf numFmtId="0" fontId="13" fillId="0" borderId="13" xfId="0" applyFont="1" applyBorder="1" applyProtection="1">
      <protection locked="0"/>
    </xf>
    <xf numFmtId="0" fontId="13" fillId="0" borderId="26" xfId="0" applyFont="1" applyBorder="1" applyProtection="1">
      <protection locked="0"/>
    </xf>
    <xf numFmtId="3" fontId="0" fillId="0" borderId="13" xfId="0" applyNumberFormat="1" applyBorder="1" applyAlignment="1">
      <alignment horizontal="center" vertical="center"/>
    </xf>
    <xf numFmtId="0" fontId="0" fillId="0" borderId="0" xfId="0" quotePrefix="1" applyAlignment="1">
      <alignment horizontal="left"/>
    </xf>
    <xf numFmtId="0" fontId="28" fillId="0" borderId="1" xfId="0" applyFont="1" applyBorder="1" applyAlignment="1" applyProtection="1">
      <alignment horizontal="center"/>
      <protection locked="0"/>
    </xf>
    <xf numFmtId="0" fontId="31" fillId="0" borderId="0" xfId="0" applyFont="1"/>
    <xf numFmtId="0" fontId="6" fillId="0" borderId="0" xfId="0" applyFont="1"/>
    <xf numFmtId="0" fontId="23" fillId="0" borderId="0" xfId="0" applyFont="1" applyAlignment="1">
      <alignment horizontal="right"/>
    </xf>
    <xf numFmtId="0" fontId="32" fillId="0" borderId="0" xfId="0" applyFont="1" applyAlignment="1">
      <alignment horizontal="right"/>
    </xf>
    <xf numFmtId="0" fontId="24" fillId="0" borderId="0" xfId="0" applyFont="1"/>
    <xf numFmtId="0" fontId="24" fillId="0" borderId="0" xfId="0" applyFont="1" applyAlignment="1">
      <alignment horizontal="right" vertical="center"/>
    </xf>
    <xf numFmtId="0" fontId="32" fillId="0" borderId="0" xfId="0" applyFont="1" applyAlignment="1">
      <alignment horizontal="center"/>
    </xf>
    <xf numFmtId="0" fontId="23" fillId="0" borderId="8" xfId="0" applyFont="1" applyBorder="1"/>
    <xf numFmtId="49" fontId="32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0" fillId="0" borderId="6" xfId="0" applyBorder="1" applyAlignment="1">
      <alignment vertical="center"/>
    </xf>
    <xf numFmtId="49" fontId="0" fillId="0" borderId="7" xfId="0" applyNumberFormat="1" applyBorder="1" applyAlignment="1">
      <alignment horizontal="center" vertical="center"/>
    </xf>
    <xf numFmtId="0" fontId="0" fillId="0" borderId="0" xfId="0" applyFont="1"/>
    <xf numFmtId="0" fontId="0" fillId="0" borderId="0" xfId="0" applyBorder="1" applyAlignment="1">
      <alignment horizontal="center"/>
    </xf>
    <xf numFmtId="0" fontId="0" fillId="0" borderId="50" xfId="0" applyFill="1" applyBorder="1"/>
    <xf numFmtId="0" fontId="43" fillId="0" borderId="0" xfId="3"/>
    <xf numFmtId="0" fontId="0" fillId="0" borderId="0" xfId="0" applyBorder="1"/>
    <xf numFmtId="0" fontId="15" fillId="0" borderId="0" xfId="0" applyFont="1" applyAlignment="1">
      <alignment horizontal="right" vertical="center"/>
    </xf>
    <xf numFmtId="0" fontId="0" fillId="0" borderId="0" xfId="0"/>
    <xf numFmtId="0" fontId="0" fillId="0" borderId="13" xfId="0" applyBorder="1" applyAlignment="1">
      <alignment horizontal="left"/>
    </xf>
    <xf numFmtId="0" fontId="31" fillId="0" borderId="1" xfId="0" applyNumberFormat="1" applyFont="1" applyBorder="1" applyAlignment="1" applyProtection="1">
      <alignment horizontal="center" vertical="center" shrinkToFit="1"/>
      <protection locked="0"/>
    </xf>
    <xf numFmtId="0" fontId="31" fillId="0" borderId="1" xfId="0" applyNumberFormat="1" applyFont="1" applyBorder="1" applyAlignment="1" applyProtection="1">
      <alignment horizontal="center" vertical="center"/>
      <protection locked="0"/>
    </xf>
    <xf numFmtId="0" fontId="0" fillId="0" borderId="10" xfId="0" applyBorder="1" applyAlignment="1">
      <alignment horizontal="center" vertical="center"/>
    </xf>
    <xf numFmtId="0" fontId="15" fillId="0" borderId="0" xfId="0" applyFont="1" applyFill="1" applyBorder="1"/>
    <xf numFmtId="0" fontId="0" fillId="0" borderId="13" xfId="0" applyNumberFormat="1" applyBorder="1"/>
    <xf numFmtId="0" fontId="0" fillId="0" borderId="0" xfId="0" applyBorder="1" applyAlignment="1"/>
    <xf numFmtId="0" fontId="15" fillId="0" borderId="5" xfId="0" applyFont="1" applyBorder="1" applyAlignment="1">
      <alignment horizontal="right" vertical="center"/>
    </xf>
    <xf numFmtId="0" fontId="0" fillId="0" borderId="0" xfId="0"/>
    <xf numFmtId="0" fontId="0" fillId="0" borderId="0" xfId="0"/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right" vertical="center"/>
    </xf>
    <xf numFmtId="0" fontId="1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right"/>
    </xf>
    <xf numFmtId="0" fontId="15" fillId="0" borderId="0" xfId="0" applyFont="1" applyBorder="1" applyAlignment="1">
      <alignment horizontal="right"/>
    </xf>
    <xf numFmtId="49" fontId="0" fillId="0" borderId="0" xfId="0" applyNumberFormat="1" applyBorder="1" applyAlignment="1">
      <alignment horizontal="left" vertical="center"/>
    </xf>
    <xf numFmtId="0" fontId="4" fillId="0" borderId="5" xfId="0" applyFont="1" applyFill="1" applyBorder="1" applyAlignment="1">
      <alignment horizontal="center"/>
    </xf>
    <xf numFmtId="49" fontId="0" fillId="0" borderId="0" xfId="0" applyNumberForma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0" fillId="0" borderId="4" xfId="0" applyBorder="1"/>
    <xf numFmtId="0" fontId="0" fillId="0" borderId="6" xfId="0" applyBorder="1" applyAlignment="1"/>
    <xf numFmtId="0" fontId="5" fillId="0" borderId="5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4" fillId="0" borderId="0" xfId="0" applyFont="1" applyFill="1" applyBorder="1" applyAlignment="1">
      <alignment vertical="center" wrapText="1"/>
    </xf>
    <xf numFmtId="0" fontId="14" fillId="0" borderId="0" xfId="0" applyFont="1" applyBorder="1"/>
    <xf numFmtId="0" fontId="14" fillId="0" borderId="0" xfId="0" applyFont="1" applyBorder="1" applyAlignment="1">
      <alignment horizontal="left" vertical="center"/>
    </xf>
    <xf numFmtId="0" fontId="5" fillId="0" borderId="0" xfId="0" applyFont="1" applyFill="1" applyBorder="1" applyAlignment="1"/>
    <xf numFmtId="0" fontId="5" fillId="0" borderId="6" xfId="0" applyFont="1" applyFill="1" applyBorder="1" applyAlignment="1"/>
    <xf numFmtId="49" fontId="0" fillId="0" borderId="5" xfId="0" applyNumberFormat="1" applyBorder="1" applyAlignment="1">
      <alignment horizontal="center" vertical="center"/>
    </xf>
    <xf numFmtId="0" fontId="31" fillId="0" borderId="0" xfId="0" applyFont="1" applyBorder="1" applyAlignment="1"/>
    <xf numFmtId="0" fontId="31" fillId="0" borderId="6" xfId="0" applyFont="1" applyBorder="1" applyAlignment="1"/>
    <xf numFmtId="0" fontId="0" fillId="0" borderId="0" xfId="0" applyAlignment="1">
      <alignment horizontal="right" vertical="center"/>
    </xf>
    <xf numFmtId="0" fontId="0" fillId="0" borderId="0" xfId="0"/>
    <xf numFmtId="0" fontId="0" fillId="0" borderId="0" xfId="0" applyFill="1" applyBorder="1"/>
    <xf numFmtId="0" fontId="0" fillId="0" borderId="41" xfId="0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15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vertical="center" wrapText="1"/>
    </xf>
    <xf numFmtId="0" fontId="15" fillId="0" borderId="0" xfId="0" applyFont="1" applyBorder="1" applyAlignment="1">
      <alignment horizontal="right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right"/>
    </xf>
    <xf numFmtId="0" fontId="2" fillId="0" borderId="0" xfId="0" applyFont="1" applyFill="1" applyBorder="1"/>
    <xf numFmtId="49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49" fontId="0" fillId="0" borderId="0" xfId="0" applyNumberFormat="1" applyFill="1" applyBorder="1"/>
    <xf numFmtId="0" fontId="3" fillId="0" borderId="0" xfId="0" applyFont="1" applyAlignment="1">
      <alignment horizontal="right"/>
    </xf>
    <xf numFmtId="0" fontId="0" fillId="0" borderId="0" xfId="0"/>
    <xf numFmtId="0" fontId="0" fillId="0" borderId="13" xfId="0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center"/>
    </xf>
    <xf numFmtId="0" fontId="15" fillId="0" borderId="0" xfId="0" applyFont="1" applyBorder="1" applyAlignment="1">
      <alignment horizontal="left" vertical="top"/>
    </xf>
    <xf numFmtId="0" fontId="3" fillId="0" borderId="0" xfId="0" applyFont="1" applyBorder="1" applyAlignment="1">
      <alignment horizontal="right" vertical="center"/>
    </xf>
    <xf numFmtId="0" fontId="3" fillId="0" borderId="0" xfId="0" applyFont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0" fontId="3" fillId="0" borderId="0" xfId="0" applyFont="1" applyBorder="1" applyAlignment="1">
      <alignment horizontal="right" vertical="top"/>
    </xf>
    <xf numFmtId="0" fontId="0" fillId="0" borderId="6" xfId="0" applyFill="1" applyBorder="1"/>
    <xf numFmtId="0" fontId="4" fillId="0" borderId="0" xfId="0" applyFont="1" applyFill="1" applyBorder="1" applyAlignment="1"/>
    <xf numFmtId="0" fontId="31" fillId="0" borderId="0" xfId="0" applyFont="1" applyFill="1" applyBorder="1" applyAlignment="1"/>
    <xf numFmtId="0" fontId="0" fillId="0" borderId="0" xfId="0" applyFill="1"/>
    <xf numFmtId="0" fontId="2" fillId="0" borderId="0" xfId="0" applyFont="1" applyFill="1"/>
    <xf numFmtId="0" fontId="0" fillId="0" borderId="8" xfId="0" applyFill="1" applyBorder="1"/>
    <xf numFmtId="0" fontId="2" fillId="0" borderId="0" xfId="0" applyFont="1" applyBorder="1"/>
    <xf numFmtId="0" fontId="15" fillId="0" borderId="0" xfId="0" applyFont="1" applyBorder="1" applyAlignment="1">
      <alignment horizontal="center" vertical="top"/>
    </xf>
    <xf numFmtId="0" fontId="15" fillId="0" borderId="0" xfId="0" applyFont="1" applyBorder="1" applyAlignment="1">
      <alignment horizontal="left"/>
    </xf>
    <xf numFmtId="0" fontId="15" fillId="0" borderId="5" xfId="0" applyFont="1" applyBorder="1" applyAlignment="1">
      <alignment horizontal="left" vertical="top"/>
    </xf>
    <xf numFmtId="0" fontId="5" fillId="0" borderId="8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right"/>
    </xf>
    <xf numFmtId="0" fontId="4" fillId="0" borderId="7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/>
    </xf>
    <xf numFmtId="0" fontId="4" fillId="0" borderId="9" xfId="0" applyFont="1" applyFill="1" applyBorder="1" applyAlignment="1">
      <alignment vertical="center"/>
    </xf>
    <xf numFmtId="0" fontId="4" fillId="0" borderId="5" xfId="0" applyFont="1" applyBorder="1" applyAlignment="1">
      <alignment horizontal="center" vertical="top"/>
    </xf>
    <xf numFmtId="0" fontId="4" fillId="0" borderId="0" xfId="0" applyFont="1" applyBorder="1" applyAlignment="1">
      <alignment horizontal="center" vertical="top"/>
    </xf>
    <xf numFmtId="0" fontId="4" fillId="0" borderId="6" xfId="0" applyFont="1" applyBorder="1" applyAlignment="1">
      <alignment horizontal="center" vertical="top"/>
    </xf>
    <xf numFmtId="0" fontId="4" fillId="0" borderId="5" xfId="0" applyFont="1" applyFill="1" applyBorder="1" applyAlignment="1">
      <alignment vertical="center"/>
    </xf>
    <xf numFmtId="0" fontId="4" fillId="0" borderId="6" xfId="0" applyFont="1" applyFill="1" applyBorder="1" applyAlignment="1">
      <alignment vertical="center"/>
    </xf>
    <xf numFmtId="0" fontId="4" fillId="0" borderId="0" xfId="0" applyFont="1" applyFill="1" applyBorder="1" applyAlignment="1">
      <alignment vertical="top"/>
    </xf>
    <xf numFmtId="0" fontId="3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 wrapText="1"/>
    </xf>
    <xf numFmtId="49" fontId="0" fillId="0" borderId="6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15" fillId="0" borderId="5" xfId="0" applyNumberFormat="1" applyFont="1" applyBorder="1" applyAlignment="1">
      <alignment horizontal="right" vertical="center"/>
    </xf>
    <xf numFmtId="0" fontId="15" fillId="0" borderId="0" xfId="0" applyFont="1" applyBorder="1" applyAlignment="1">
      <alignment vertical="top"/>
    </xf>
    <xf numFmtId="1" fontId="30" fillId="0" borderId="0" xfId="0" applyNumberFormat="1" applyFont="1" applyBorder="1" applyAlignment="1">
      <alignment horizontal="center" vertical="center" shrinkToFit="1"/>
    </xf>
    <xf numFmtId="0" fontId="30" fillId="0" borderId="0" xfId="0" applyFont="1" applyBorder="1" applyAlignment="1">
      <alignment horizontal="center" vertical="center" shrinkToFit="1"/>
    </xf>
    <xf numFmtId="49" fontId="15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49" fontId="0" fillId="0" borderId="0" xfId="0" applyNumberFormat="1" applyBorder="1" applyAlignment="1">
      <alignment horizontal="right" vertical="center"/>
    </xf>
    <xf numFmtId="0" fontId="14" fillId="0" borderId="0" xfId="0" applyFont="1" applyBorder="1" applyAlignment="1">
      <alignment wrapText="1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49" fontId="15" fillId="0" borderId="0" xfId="0" applyNumberFormat="1" applyFont="1" applyBorder="1" applyAlignment="1">
      <alignment horizontal="right" vertical="center"/>
    </xf>
    <xf numFmtId="49" fontId="22" fillId="0" borderId="0" xfId="0" applyNumberFormat="1" applyFont="1" applyBorder="1" applyAlignment="1">
      <alignment horizontal="center" vertical="center"/>
    </xf>
    <xf numFmtId="0" fontId="14" fillId="0" borderId="0" xfId="0" applyFont="1" applyFill="1" applyAlignment="1">
      <alignment vertical="center"/>
    </xf>
    <xf numFmtId="0" fontId="14" fillId="0" borderId="0" xfId="0" applyFont="1" applyFill="1" applyAlignment="1">
      <alignment vertical="top"/>
    </xf>
    <xf numFmtId="0" fontId="14" fillId="0" borderId="0" xfId="0" applyFont="1" applyFill="1" applyBorder="1" applyAlignment="1">
      <alignment vertical="center"/>
    </xf>
    <xf numFmtId="0" fontId="14" fillId="0" borderId="0" xfId="0" applyFont="1" applyFill="1" applyBorder="1"/>
    <xf numFmtId="0" fontId="3" fillId="0" borderId="0" xfId="0" applyFont="1" applyBorder="1" applyAlignment="1"/>
    <xf numFmtId="0" fontId="15" fillId="0" borderId="0" xfId="0" applyFont="1" applyBorder="1" applyAlignment="1"/>
    <xf numFmtId="2" fontId="2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/>
    <xf numFmtId="0" fontId="23" fillId="0" borderId="0" xfId="0" applyFont="1" applyBorder="1"/>
    <xf numFmtId="0" fontId="23" fillId="0" borderId="7" xfId="0" applyFont="1" applyBorder="1"/>
    <xf numFmtId="0" fontId="32" fillId="0" borderId="0" xfId="0" applyFont="1" applyBorder="1" applyAlignment="1">
      <alignment horizontal="right"/>
    </xf>
    <xf numFmtId="0" fontId="23" fillId="0" borderId="16" xfId="0" applyFont="1" applyBorder="1"/>
    <xf numFmtId="2" fontId="40" fillId="0" borderId="1" xfId="0" applyNumberFormat="1" applyFont="1" applyBorder="1" applyAlignment="1" applyProtection="1">
      <alignment horizontal="center" vertical="center"/>
      <protection locked="0"/>
    </xf>
    <xf numFmtId="0" fontId="0" fillId="0" borderId="54" xfId="0" applyBorder="1"/>
    <xf numFmtId="1" fontId="0" fillId="0" borderId="0" xfId="0" applyNumberFormat="1" applyBorder="1" applyAlignment="1">
      <alignment horizontal="left" wrapText="1"/>
    </xf>
    <xf numFmtId="0" fontId="0" fillId="0" borderId="0" xfId="0" applyFill="1" applyBorder="1" applyAlignment="1">
      <alignment horizontal="right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5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/>
    <xf numFmtId="0" fontId="3" fillId="0" borderId="0" xfId="0" applyFont="1" applyBorder="1" applyAlignment="1">
      <alignment wrapText="1"/>
    </xf>
    <xf numFmtId="0" fontId="0" fillId="0" borderId="5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5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 shrinkToFit="1"/>
    </xf>
    <xf numFmtId="0" fontId="0" fillId="0" borderId="0" xfId="0" applyBorder="1" applyAlignment="1" applyProtection="1">
      <alignment horizontal="center" vertical="center" shrinkToFit="1"/>
    </xf>
    <xf numFmtId="0" fontId="0" fillId="0" borderId="6" xfId="0" applyBorder="1" applyAlignment="1" applyProtection="1">
      <alignment horizontal="center" vertical="center" shrinkToFi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52" xfId="0" applyBorder="1" applyAlignment="1">
      <alignment horizontal="center"/>
    </xf>
    <xf numFmtId="49" fontId="0" fillId="0" borderId="0" xfId="0" applyNumberFormat="1" applyBorder="1"/>
    <xf numFmtId="0" fontId="6" fillId="0" borderId="51" xfId="0" applyFont="1" applyBorder="1" applyProtection="1">
      <protection locked="0"/>
    </xf>
    <xf numFmtId="0" fontId="0" fillId="0" borderId="0" xfId="0" applyBorder="1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/>
    <xf numFmtId="49" fontId="0" fillId="0" borderId="41" xfId="0" applyNumberFormat="1" applyBorder="1" applyAlignment="1">
      <alignment horizontal="center" vertical="center"/>
    </xf>
    <xf numFmtId="49" fontId="3" fillId="0" borderId="0" xfId="0" applyNumberFormat="1" applyFont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/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0" fillId="0" borderId="13" xfId="0" applyBorder="1" applyAlignment="1">
      <alignment horizontal="left"/>
    </xf>
    <xf numFmtId="0" fontId="0" fillId="0" borderId="35" xfId="0" applyBorder="1" applyAlignment="1">
      <alignment horizontal="left"/>
    </xf>
    <xf numFmtId="0" fontId="6" fillId="0" borderId="0" xfId="0" applyFont="1" applyAlignment="1">
      <alignment vertical="top" wrapText="1"/>
    </xf>
    <xf numFmtId="0" fontId="19" fillId="0" borderId="0" xfId="0" applyFont="1" applyAlignment="1">
      <alignment horizontal="left"/>
    </xf>
    <xf numFmtId="0" fontId="3" fillId="0" borderId="22" xfId="0" applyFont="1" applyBorder="1" applyAlignment="1">
      <alignment horizontal="left" vertical="center"/>
    </xf>
    <xf numFmtId="0" fontId="15" fillId="0" borderId="0" xfId="0" applyFont="1" applyAlignment="1">
      <alignment horizontal="right"/>
    </xf>
    <xf numFmtId="0" fontId="15" fillId="2" borderId="13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right" vertic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15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13" xfId="0" applyBorder="1" applyAlignment="1">
      <alignment horizontal="center"/>
    </xf>
    <xf numFmtId="0" fontId="0" fillId="0" borderId="0" xfId="0" applyAlignment="1"/>
    <xf numFmtId="0" fontId="0" fillId="0" borderId="0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6" fillId="0" borderId="0" xfId="0" applyFont="1" applyAlignment="1">
      <alignment vertical="top" wrapText="1"/>
    </xf>
    <xf numFmtId="0" fontId="15" fillId="2" borderId="13" xfId="0" applyFont="1" applyFill="1" applyBorder="1" applyAlignment="1">
      <alignment horizontal="center"/>
    </xf>
    <xf numFmtId="0" fontId="0" fillId="0" borderId="0" xfId="0"/>
    <xf numFmtId="49" fontId="0" fillId="0" borderId="0" xfId="0" applyNumberFormat="1" applyBorder="1" applyAlignment="1">
      <alignment horizontal="left"/>
    </xf>
    <xf numFmtId="0" fontId="30" fillId="0" borderId="0" xfId="0" applyFont="1" applyBorder="1" applyAlignment="1">
      <alignment horizontal="center" vertical="center"/>
    </xf>
    <xf numFmtId="0" fontId="0" fillId="0" borderId="13" xfId="0" applyBorder="1" applyAlignment="1">
      <alignment wrapText="1"/>
    </xf>
    <xf numFmtId="0" fontId="38" fillId="0" borderId="0" xfId="0" applyFont="1" applyAlignment="1">
      <alignment horizontal="right"/>
    </xf>
    <xf numFmtId="0" fontId="38" fillId="0" borderId="0" xfId="0" applyFont="1" applyAlignment="1">
      <alignment horizontal="right" vertical="center"/>
    </xf>
    <xf numFmtId="0" fontId="41" fillId="0" borderId="0" xfId="0" applyFont="1" applyBorder="1" applyAlignment="1">
      <alignment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/>
    <xf numFmtId="0" fontId="28" fillId="0" borderId="0" xfId="0" applyFont="1" applyBorder="1"/>
    <xf numFmtId="0" fontId="0" fillId="0" borderId="0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5" xfId="0" applyBorder="1" applyAlignment="1">
      <alignment horizontal="center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5" fillId="0" borderId="0" xfId="0" applyFont="1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 vertical="center"/>
    </xf>
    <xf numFmtId="0" fontId="15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right"/>
    </xf>
    <xf numFmtId="0" fontId="0" fillId="0" borderId="0" xfId="0"/>
    <xf numFmtId="0" fontId="25" fillId="0" borderId="5" xfId="0" applyFont="1" applyBorder="1"/>
    <xf numFmtId="0" fontId="25" fillId="0" borderId="0" xfId="0" applyFont="1"/>
    <xf numFmtId="0" fontId="25" fillId="0" borderId="6" xfId="0" applyFont="1" applyBorder="1"/>
    <xf numFmtId="0" fontId="0" fillId="0" borderId="13" xfId="0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2" xfId="0" applyBorder="1"/>
    <xf numFmtId="0" fontId="14" fillId="0" borderId="0" xfId="0" applyFont="1" applyAlignment="1">
      <alignment horizontal="center" vertical="center"/>
    </xf>
    <xf numFmtId="0" fontId="0" fillId="0" borderId="0" xfId="0"/>
    <xf numFmtId="0" fontId="0" fillId="0" borderId="15" xfId="0" applyBorder="1"/>
    <xf numFmtId="0" fontId="0" fillId="0" borderId="0" xfId="0" applyAlignment="1">
      <alignment horizontal="center" vertical="center"/>
    </xf>
    <xf numFmtId="49" fontId="15" fillId="0" borderId="0" xfId="0" applyNumberFormat="1" applyFont="1" applyAlignment="1">
      <alignment horizontal="center"/>
    </xf>
    <xf numFmtId="49" fontId="15" fillId="0" borderId="0" xfId="0" applyNumberFormat="1" applyFont="1" applyAlignment="1">
      <alignment horizontal="right"/>
    </xf>
    <xf numFmtId="49" fontId="0" fillId="0" borderId="0" xfId="0" applyNumberFormat="1" applyAlignment="1"/>
    <xf numFmtId="0" fontId="0" fillId="0" borderId="0" xfId="0" applyBorder="1" applyAlignment="1">
      <alignment vertical="top"/>
    </xf>
    <xf numFmtId="0" fontId="0" fillId="0" borderId="0" xfId="0" applyFont="1" applyBorder="1" applyAlignment="1"/>
    <xf numFmtId="0" fontId="0" fillId="0" borderId="0" xfId="0" applyNumberFormat="1" applyAlignment="1">
      <alignment horizontal="center"/>
    </xf>
    <xf numFmtId="0" fontId="25" fillId="0" borderId="0" xfId="0" applyFont="1" applyBorder="1"/>
    <xf numFmtId="0" fontId="25" fillId="0" borderId="0" xfId="0" applyFont="1" applyFill="1" applyBorder="1"/>
    <xf numFmtId="0" fontId="25" fillId="0" borderId="41" xfId="0" applyFont="1" applyBorder="1"/>
    <xf numFmtId="0" fontId="15" fillId="0" borderId="39" xfId="0" applyFont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>
      <alignment horizontal="center" vertical="center"/>
    </xf>
    <xf numFmtId="0" fontId="26" fillId="2" borderId="10" xfId="0" applyFont="1" applyFill="1" applyBorder="1" applyAlignment="1">
      <alignment vertical="center"/>
    </xf>
    <xf numFmtId="0" fontId="26" fillId="2" borderId="11" xfId="0" applyFont="1" applyFill="1" applyBorder="1" applyAlignment="1">
      <alignment vertical="center"/>
    </xf>
    <xf numFmtId="0" fontId="26" fillId="2" borderId="12" xfId="0" applyFont="1" applyFill="1" applyBorder="1" applyAlignment="1">
      <alignment vertical="center"/>
    </xf>
    <xf numFmtId="0" fontId="15" fillId="0" borderId="56" xfId="0" applyFont="1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left" vertical="center"/>
      <protection locked="0"/>
    </xf>
    <xf numFmtId="0" fontId="15" fillId="0" borderId="24" xfId="0" applyFont="1" applyBorder="1" applyAlignment="1" applyProtection="1">
      <alignment horizontal="center" vertical="center"/>
      <protection locked="0"/>
    </xf>
    <xf numFmtId="0" fontId="15" fillId="0" borderId="55" xfId="0" applyFon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165" fontId="0" fillId="2" borderId="1" xfId="0" applyNumberFormat="1" applyFill="1" applyBorder="1" applyAlignment="1">
      <alignment horizontal="center" vertical="center"/>
    </xf>
    <xf numFmtId="0" fontId="0" fillId="0" borderId="26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168" fontId="42" fillId="0" borderId="1" xfId="0" applyNumberFormat="1" applyFont="1" applyBorder="1" applyAlignment="1" applyProtection="1">
      <alignment horizontal="center" vertical="center"/>
      <protection locked="0"/>
    </xf>
    <xf numFmtId="168" fontId="5" fillId="0" borderId="1" xfId="0" applyNumberFormat="1" applyFont="1" applyBorder="1" applyAlignment="1" applyProtection="1">
      <alignment horizontal="center" vertical="center"/>
      <protection locked="0"/>
    </xf>
    <xf numFmtId="165" fontId="28" fillId="0" borderId="1" xfId="0" applyNumberFormat="1" applyFont="1" applyFill="1" applyBorder="1" applyAlignment="1" applyProtection="1">
      <alignment horizontal="center" vertical="center"/>
      <protection locked="0"/>
    </xf>
    <xf numFmtId="165" fontId="30" fillId="0" borderId="0" xfId="0" applyNumberFormat="1" applyFont="1" applyBorder="1" applyAlignment="1" applyProtection="1">
      <alignment horizontal="center" vertical="center"/>
    </xf>
    <xf numFmtId="0" fontId="0" fillId="0" borderId="0" xfId="0" applyBorder="1" applyProtection="1"/>
    <xf numFmtId="0" fontId="15" fillId="0" borderId="0" xfId="0" applyFont="1" applyBorder="1" applyProtection="1"/>
    <xf numFmtId="49" fontId="31" fillId="0" borderId="0" xfId="0" applyNumberFormat="1" applyFont="1" applyFill="1" applyBorder="1" applyAlignment="1" applyProtection="1">
      <alignment horizontal="center" vertical="center" shrinkToFit="1"/>
    </xf>
    <xf numFmtId="49" fontId="31" fillId="0" borderId="0" xfId="0" applyNumberFormat="1" applyFont="1" applyBorder="1" applyAlignment="1" applyProtection="1">
      <alignment horizontal="center" vertical="center" shrinkToFit="1"/>
    </xf>
    <xf numFmtId="49" fontId="31" fillId="0" borderId="6" xfId="0" applyNumberFormat="1" applyFont="1" applyBorder="1" applyAlignment="1" applyProtection="1">
      <alignment horizontal="center" vertical="center" shrinkToFit="1"/>
    </xf>
    <xf numFmtId="0" fontId="28" fillId="0" borderId="0" xfId="0" applyNumberFormat="1" applyFont="1" applyBorder="1" applyAlignment="1" applyProtection="1">
      <alignment vertical="center"/>
    </xf>
    <xf numFmtId="49" fontId="30" fillId="0" borderId="11" xfId="0" applyNumberFormat="1" applyFont="1" applyBorder="1" applyAlignment="1" applyProtection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166" fontId="0" fillId="0" borderId="0" xfId="0" applyNumberFormat="1" applyAlignment="1">
      <alignment vertical="center"/>
    </xf>
    <xf numFmtId="0" fontId="0" fillId="0" borderId="35" xfId="0" applyBorder="1"/>
    <xf numFmtId="0" fontId="0" fillId="0" borderId="35" xfId="0" applyBorder="1" applyAlignment="1">
      <alignment horizontal="left"/>
    </xf>
    <xf numFmtId="0" fontId="15" fillId="0" borderId="0" xfId="0" applyFont="1" applyBorder="1" applyAlignment="1">
      <alignment horizontal="right"/>
    </xf>
    <xf numFmtId="0" fontId="15" fillId="0" borderId="0" xfId="0" applyFont="1" applyBorder="1" applyAlignment="1">
      <alignment horizontal="left" vertical="top"/>
    </xf>
    <xf numFmtId="0" fontId="0" fillId="0" borderId="35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 vertical="center"/>
    </xf>
    <xf numFmtId="0" fontId="15" fillId="0" borderId="0" xfId="0" applyFont="1" applyAlignment="1">
      <alignment horizontal="right"/>
    </xf>
    <xf numFmtId="0" fontId="5" fillId="0" borderId="0" xfId="0" applyFont="1" applyAlignment="1">
      <alignment horizontal="center" vertical="center"/>
    </xf>
    <xf numFmtId="2" fontId="31" fillId="0" borderId="1" xfId="0" applyNumberFormat="1" applyFont="1" applyBorder="1" applyAlignment="1" applyProtection="1">
      <alignment horizontal="center" vertical="center"/>
      <protection locked="0"/>
    </xf>
    <xf numFmtId="2" fontId="0" fillId="0" borderId="13" xfId="0" applyNumberFormat="1" applyBorder="1" applyAlignment="1">
      <alignment horizontal="left" vertical="center"/>
    </xf>
    <xf numFmtId="0" fontId="0" fillId="0" borderId="19" xfId="0" applyNumberFormat="1" applyBorder="1"/>
    <xf numFmtId="0" fontId="0" fillId="0" borderId="35" xfId="0" applyNumberFormat="1" applyBorder="1" applyAlignment="1">
      <alignment horizontal="left"/>
    </xf>
    <xf numFmtId="0" fontId="0" fillId="0" borderId="57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1" xfId="0" quotePrefix="1" applyBorder="1" applyAlignment="1">
      <alignment horizontal="left"/>
    </xf>
    <xf numFmtId="0" fontId="0" fillId="0" borderId="2" xfId="0" applyBorder="1" applyAlignment="1">
      <alignment horizontal="left"/>
    </xf>
    <xf numFmtId="1" fontId="0" fillId="0" borderId="35" xfId="0" applyNumberFormat="1" applyBorder="1" applyAlignment="1">
      <alignment horizontal="left" wrapText="1"/>
    </xf>
    <xf numFmtId="0" fontId="15" fillId="0" borderId="0" xfId="0" applyFont="1" applyFill="1" applyBorder="1" applyAlignment="1">
      <alignment horizontal="left"/>
    </xf>
    <xf numFmtId="0" fontId="0" fillId="0" borderId="1" xfId="0" applyFon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0" fontId="0" fillId="0" borderId="0" xfId="0" applyFont="1" applyBorder="1" applyAlignment="1">
      <alignment horizontal="left"/>
    </xf>
    <xf numFmtId="0" fontId="15" fillId="0" borderId="0" xfId="0" applyFont="1" applyAlignment="1">
      <alignment horizontal="right" vertical="center"/>
    </xf>
    <xf numFmtId="0" fontId="15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3" fillId="0" borderId="15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/>
    </xf>
    <xf numFmtId="0" fontId="0" fillId="0" borderId="35" xfId="0" applyBorder="1"/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right"/>
    </xf>
    <xf numFmtId="0" fontId="0" fillId="0" borderId="0" xfId="0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1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right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right" vertical="center"/>
    </xf>
    <xf numFmtId="0" fontId="15" fillId="0" borderId="0" xfId="0" applyFont="1" applyAlignment="1">
      <alignment horizontal="center"/>
    </xf>
    <xf numFmtId="0" fontId="3" fillId="0" borderId="15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13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0" xfId="0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19" fillId="0" borderId="0" xfId="0" applyFont="1" applyAlignment="1">
      <alignment horizontal="left"/>
    </xf>
    <xf numFmtId="166" fontId="0" fillId="0" borderId="13" xfId="0" applyNumberFormat="1" applyBorder="1" applyAlignment="1">
      <alignment horizontal="center" vertical="center"/>
    </xf>
    <xf numFmtId="0" fontId="15" fillId="0" borderId="0" xfId="0" applyFont="1" applyAlignment="1">
      <alignment horizontal="right"/>
    </xf>
    <xf numFmtId="0" fontId="5" fillId="0" borderId="0" xfId="0" applyFont="1" applyAlignment="1">
      <alignment horizontal="center" vertical="center"/>
    </xf>
    <xf numFmtId="0" fontId="15" fillId="2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3" xfId="0" applyBorder="1" applyAlignment="1">
      <alignment horizontal="center"/>
    </xf>
    <xf numFmtId="0" fontId="3" fillId="0" borderId="0" xfId="0" applyFont="1" applyAlignment="1">
      <alignment horizontal="right"/>
    </xf>
    <xf numFmtId="0" fontId="0" fillId="0" borderId="0" xfId="0" applyNumberFormat="1" applyAlignment="1">
      <alignment horizontal="center" vertical="center"/>
    </xf>
    <xf numFmtId="168" fontId="0" fillId="0" borderId="13" xfId="0" applyNumberFormat="1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15" fillId="0" borderId="0" xfId="0" applyFont="1" applyBorder="1" applyAlignment="1">
      <alignment horizontal="right"/>
    </xf>
    <xf numFmtId="0" fontId="1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35" xfId="0" applyBorder="1" applyAlignment="1">
      <alignment horizontal="left"/>
    </xf>
    <xf numFmtId="0" fontId="0" fillId="0" borderId="35" xfId="0" applyBorder="1" applyAlignment="1">
      <alignment horizontal="center"/>
    </xf>
    <xf numFmtId="0" fontId="0" fillId="0" borderId="13" xfId="0" applyBorder="1" applyAlignment="1">
      <alignment horizontal="center"/>
    </xf>
    <xf numFmtId="0" fontId="15" fillId="0" borderId="0" xfId="0" applyFont="1" applyAlignment="1">
      <alignment horizontal="right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left" vertical="top"/>
    </xf>
    <xf numFmtId="0" fontId="0" fillId="0" borderId="0" xfId="0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0" fillId="0" borderId="35" xfId="0" applyBorder="1"/>
    <xf numFmtId="0" fontId="0" fillId="0" borderId="35" xfId="0" applyBorder="1" applyAlignment="1">
      <alignment horizontal="center"/>
    </xf>
    <xf numFmtId="0" fontId="15" fillId="0" borderId="17" xfId="0" applyFont="1" applyBorder="1" applyAlignment="1">
      <alignment horizontal="right"/>
    </xf>
    <xf numFmtId="0" fontId="15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/>
    </xf>
    <xf numFmtId="0" fontId="3" fillId="2" borderId="36" xfId="0" applyFont="1" applyFill="1" applyBorder="1" applyAlignment="1">
      <alignment horizontal="center"/>
    </xf>
    <xf numFmtId="0" fontId="3" fillId="0" borderId="0" xfId="0" applyFont="1" applyBorder="1" applyAlignment="1">
      <alignment vertical="center"/>
    </xf>
    <xf numFmtId="0" fontId="3" fillId="0" borderId="0" xfId="0" applyFont="1" applyBorder="1" applyAlignment="1">
      <alignment horizontal="right" vertical="center"/>
    </xf>
    <xf numFmtId="0" fontId="3" fillId="0" borderId="0" xfId="0" applyFont="1" applyBorder="1"/>
    <xf numFmtId="0" fontId="3" fillId="0" borderId="0" xfId="0" applyFont="1" applyBorder="1" applyAlignment="1">
      <alignment vertical="top"/>
    </xf>
    <xf numFmtId="0" fontId="0" fillId="0" borderId="5" xfId="0" applyFill="1" applyBorder="1" applyAlignment="1"/>
    <xf numFmtId="0" fontId="0" fillId="0" borderId="6" xfId="0" applyFill="1" applyBorder="1" applyAlignment="1"/>
    <xf numFmtId="0" fontId="3" fillId="0" borderId="0" xfId="0" applyFont="1" applyBorder="1" applyAlignment="1">
      <alignment horizontal="right"/>
    </xf>
    <xf numFmtId="0" fontId="18" fillId="0" borderId="0" xfId="0" applyFont="1" applyBorder="1" applyAlignment="1">
      <alignment horizontal="center"/>
    </xf>
    <xf numFmtId="0" fontId="0" fillId="0" borderId="0" xfId="0" applyFill="1" applyAlignment="1">
      <alignment horizontal="right"/>
    </xf>
    <xf numFmtId="0" fontId="3" fillId="0" borderId="0" xfId="0" applyFont="1" applyBorder="1" applyAlignment="1" applyProtection="1">
      <alignment horizontal="center"/>
    </xf>
    <xf numFmtId="0" fontId="25" fillId="0" borderId="0" xfId="0" applyFont="1" applyBorder="1"/>
    <xf numFmtId="0" fontId="0" fillId="0" borderId="35" xfId="0" applyBorder="1"/>
    <xf numFmtId="0" fontId="0" fillId="0" borderId="36" xfId="0" applyBorder="1"/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0" fillId="0" borderId="22" xfId="0" applyBorder="1" applyAlignment="1">
      <alignment horizontal="center" vertical="center"/>
    </xf>
    <xf numFmtId="0" fontId="15" fillId="0" borderId="22" xfId="0" applyFont="1" applyBorder="1" applyAlignment="1">
      <alignment horizontal="left" vertical="center"/>
    </xf>
    <xf numFmtId="165" fontId="29" fillId="0" borderId="1" xfId="0" applyNumberFormat="1" applyFont="1" applyBorder="1" applyAlignment="1" applyProtection="1">
      <alignment horizontal="center" vertical="center"/>
      <protection locked="0"/>
    </xf>
    <xf numFmtId="0" fontId="15" fillId="2" borderId="13" xfId="0" applyFont="1" applyFill="1" applyBorder="1" applyAlignment="1">
      <alignment horizontal="right"/>
    </xf>
    <xf numFmtId="0" fontId="15" fillId="0" borderId="50" xfId="0" applyFont="1" applyFill="1" applyBorder="1" applyAlignment="1">
      <alignment horizontal="center" vertical="center"/>
    </xf>
    <xf numFmtId="0" fontId="15" fillId="0" borderId="0" xfId="0" applyFont="1" applyAlignment="1"/>
    <xf numFmtId="0" fontId="3" fillId="0" borderId="0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left" vertical="center"/>
    </xf>
    <xf numFmtId="0" fontId="0" fillId="0" borderId="0" xfId="0" applyFont="1" applyBorder="1"/>
    <xf numFmtId="0" fontId="3" fillId="0" borderId="0" xfId="0" applyFont="1" applyBorder="1" applyAlignment="1">
      <alignment horizontal="center" vertical="top"/>
    </xf>
    <xf numFmtId="0" fontId="0" fillId="0" borderId="13" xfId="0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 vertical="center"/>
    </xf>
    <xf numFmtId="0" fontId="31" fillId="0" borderId="0" xfId="0" applyFont="1" applyBorder="1" applyAlignment="1">
      <alignment horizontal="center"/>
    </xf>
    <xf numFmtId="0" fontId="4" fillId="0" borderId="0" xfId="0" applyFont="1" applyBorder="1"/>
    <xf numFmtId="0" fontId="3" fillId="0" borderId="0" xfId="0" applyFont="1" applyBorder="1" applyAlignment="1">
      <alignment horizontal="left"/>
    </xf>
    <xf numFmtId="0" fontId="3" fillId="0" borderId="5" xfId="0" applyFont="1" applyBorder="1"/>
    <xf numFmtId="165" fontId="0" fillId="0" borderId="0" xfId="0" applyNumberFormat="1" applyBorder="1" applyAlignment="1">
      <alignment horizontal="center" vertical="center"/>
    </xf>
    <xf numFmtId="166" fontId="29" fillId="0" borderId="0" xfId="0" applyNumberFormat="1" applyFont="1" applyBorder="1" applyAlignment="1" applyProtection="1">
      <alignment horizontal="center"/>
    </xf>
    <xf numFmtId="0" fontId="0" fillId="0" borderId="0" xfId="0" applyBorder="1" applyAlignment="1" applyProtection="1">
      <alignment vertical="center"/>
      <protection locked="0"/>
    </xf>
    <xf numFmtId="0" fontId="15" fillId="0" borderId="6" xfId="0" applyFont="1" applyBorder="1" applyAlignment="1">
      <alignment horizontal="left" vertical="center"/>
    </xf>
    <xf numFmtId="0" fontId="15" fillId="0" borderId="6" xfId="0" applyFont="1" applyBorder="1" applyAlignment="1">
      <alignment horizontal="left"/>
    </xf>
    <xf numFmtId="0" fontId="4" fillId="0" borderId="0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vertical="top"/>
    </xf>
    <xf numFmtId="0" fontId="18" fillId="2" borderId="12" xfId="0" applyFont="1" applyFill="1" applyBorder="1" applyAlignment="1">
      <alignment vertical="top"/>
    </xf>
    <xf numFmtId="0" fontId="5" fillId="0" borderId="0" xfId="0" applyFont="1" applyFill="1" applyBorder="1" applyAlignment="1">
      <alignment vertical="center"/>
    </xf>
    <xf numFmtId="0" fontId="0" fillId="0" borderId="0" xfId="0" applyBorder="1" applyAlignment="1" applyProtection="1">
      <alignment horizontal="center" vertical="center"/>
      <protection locked="0"/>
    </xf>
    <xf numFmtId="0" fontId="31" fillId="0" borderId="0" xfId="0" applyFont="1" applyBorder="1"/>
    <xf numFmtId="0" fontId="0" fillId="0" borderId="0" xfId="0" applyBorder="1" applyAlignment="1">
      <alignment horizontal="center"/>
    </xf>
    <xf numFmtId="0" fontId="25" fillId="0" borderId="0" xfId="0" applyFont="1" applyBorder="1"/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15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15" fillId="0" borderId="0" xfId="0" applyFont="1" applyAlignment="1">
      <alignment horizontal="right"/>
    </xf>
    <xf numFmtId="0" fontId="25" fillId="0" borderId="1" xfId="0" applyFont="1" applyBorder="1"/>
    <xf numFmtId="0" fontId="0" fillId="0" borderId="7" xfId="0" applyBorder="1" applyProtection="1"/>
    <xf numFmtId="0" fontId="0" fillId="0" borderId="8" xfId="0" applyBorder="1" applyProtection="1"/>
    <xf numFmtId="0" fontId="0" fillId="0" borderId="8" xfId="0" applyBorder="1" applyAlignment="1" applyProtection="1">
      <alignment vertical="center" wrapText="1"/>
    </xf>
    <xf numFmtId="0" fontId="0" fillId="0" borderId="9" xfId="0" applyBorder="1" applyProtection="1"/>
    <xf numFmtId="0" fontId="0" fillId="0" borderId="5" xfId="0" applyBorder="1" applyProtection="1"/>
    <xf numFmtId="0" fontId="0" fillId="0" borderId="0" xfId="0" applyBorder="1" applyAlignment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6" xfId="0" applyBorder="1" applyProtection="1"/>
    <xf numFmtId="0" fontId="3" fillId="0" borderId="0" xfId="0" applyFont="1" applyBorder="1" applyAlignment="1" applyProtection="1"/>
    <xf numFmtId="0" fontId="4" fillId="0" borderId="6" xfId="0" applyFont="1" applyBorder="1" applyProtection="1"/>
    <xf numFmtId="0" fontId="4" fillId="0" borderId="5" xfId="0" applyFont="1" applyBorder="1" applyAlignment="1" applyProtection="1">
      <alignment horizontal="center" vertical="center"/>
    </xf>
    <xf numFmtId="0" fontId="3" fillId="0" borderId="0" xfId="0" applyFont="1" applyBorder="1" applyProtection="1"/>
    <xf numFmtId="0" fontId="5" fillId="6" borderId="10" xfId="0" applyFont="1" applyFill="1" applyBorder="1" applyProtection="1"/>
    <xf numFmtId="0" fontId="3" fillId="6" borderId="11" xfId="0" applyFont="1" applyFill="1" applyBorder="1" applyProtection="1"/>
    <xf numFmtId="0" fontId="0" fillId="6" borderId="11" xfId="0" applyFill="1" applyBorder="1" applyProtection="1"/>
    <xf numFmtId="0" fontId="5" fillId="6" borderId="11" xfId="0" applyFont="1" applyFill="1" applyBorder="1" applyAlignment="1" applyProtection="1">
      <alignment horizontal="center"/>
    </xf>
    <xf numFmtId="0" fontId="5" fillId="6" borderId="12" xfId="0" applyFont="1" applyFill="1" applyBorder="1" applyProtection="1"/>
    <xf numFmtId="0" fontId="15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vertical="center"/>
    </xf>
    <xf numFmtId="0" fontId="15" fillId="0" borderId="0" xfId="0" applyFont="1" applyBorder="1" applyAlignment="1" applyProtection="1">
      <alignment horizontal="right"/>
    </xf>
    <xf numFmtId="0" fontId="3" fillId="0" borderId="6" xfId="0" applyFont="1" applyBorder="1" applyAlignment="1" applyProtection="1">
      <alignment horizontal="center"/>
    </xf>
    <xf numFmtId="0" fontId="5" fillId="2" borderId="10" xfId="0" applyFont="1" applyFill="1" applyBorder="1" applyAlignment="1" applyProtection="1">
      <alignment horizontal="left" vertical="center"/>
    </xf>
    <xf numFmtId="0" fontId="29" fillId="2" borderId="11" xfId="0" applyFont="1" applyFill="1" applyBorder="1" applyProtection="1"/>
    <xf numFmtId="0" fontId="0" fillId="2" borderId="11" xfId="0" applyFill="1" applyBorder="1" applyProtection="1"/>
    <xf numFmtId="0" fontId="5" fillId="2" borderId="11" xfId="0" applyFont="1" applyFill="1" applyBorder="1" applyAlignment="1" applyProtection="1">
      <alignment horizontal="center"/>
    </xf>
    <xf numFmtId="0" fontId="5" fillId="2" borderId="12" xfId="0" applyFont="1" applyFill="1" applyBorder="1" applyAlignment="1" applyProtection="1">
      <alignment horizontal="left" vertical="center"/>
    </xf>
    <xf numFmtId="0" fontId="15" fillId="0" borderId="5" xfId="0" applyFont="1" applyBorder="1" applyProtection="1"/>
    <xf numFmtId="0" fontId="30" fillId="0" borderId="0" xfId="0" applyFont="1" applyBorder="1" applyAlignment="1" applyProtection="1">
      <alignment horizontal="center" vertical="center"/>
    </xf>
    <xf numFmtId="0" fontId="0" fillId="0" borderId="41" xfId="0" applyBorder="1" applyAlignment="1" applyProtection="1">
      <alignment horizontal="center"/>
    </xf>
    <xf numFmtId="0" fontId="0" fillId="0" borderId="5" xfId="0" applyBorder="1" applyAlignment="1" applyProtection="1">
      <alignment horizontal="right"/>
    </xf>
    <xf numFmtId="0" fontId="0" fillId="0" borderId="0" xfId="0" applyBorder="1" applyAlignment="1" applyProtection="1">
      <alignment horizontal="right"/>
    </xf>
    <xf numFmtId="0" fontId="0" fillId="0" borderId="6" xfId="0" applyFill="1" applyBorder="1" applyProtection="1"/>
    <xf numFmtId="0" fontId="3" fillId="0" borderId="5" xfId="0" applyFont="1" applyBorder="1" applyAlignment="1" applyProtection="1">
      <alignment horizontal="right" vertical="center"/>
    </xf>
    <xf numFmtId="0" fontId="0" fillId="0" borderId="13" xfId="0" applyBorder="1" applyProtection="1"/>
    <xf numFmtId="0" fontId="3" fillId="0" borderId="0" xfId="0" applyFont="1" applyBorder="1" applyAlignment="1" applyProtection="1">
      <alignment horizontal="right" vertical="center"/>
    </xf>
    <xf numFmtId="0" fontId="15" fillId="0" borderId="13" xfId="0" applyFont="1" applyFill="1" applyBorder="1" applyAlignment="1" applyProtection="1">
      <alignment horizontal="center" vertical="center"/>
    </xf>
    <xf numFmtId="0" fontId="15" fillId="0" borderId="13" xfId="0" applyFont="1" applyBorder="1" applyAlignment="1" applyProtection="1">
      <alignment horizontal="center" vertical="center"/>
    </xf>
    <xf numFmtId="0" fontId="15" fillId="0" borderId="6" xfId="0" applyFont="1" applyBorder="1" applyAlignment="1" applyProtection="1">
      <alignment horizontal="center"/>
    </xf>
    <xf numFmtId="0" fontId="3" fillId="0" borderId="0" xfId="0" applyFont="1" applyAlignment="1" applyProtection="1">
      <alignment vertical="top"/>
    </xf>
    <xf numFmtId="0" fontId="0" fillId="0" borderId="10" xfId="0" applyBorder="1" applyAlignment="1" applyProtection="1">
      <alignment horizontal="center" vertical="center"/>
    </xf>
    <xf numFmtId="0" fontId="3" fillId="0" borderId="7" xfId="0" applyFont="1" applyBorder="1" applyAlignment="1" applyProtection="1">
      <alignment horizontal="right" vertical="center"/>
    </xf>
    <xf numFmtId="0" fontId="3" fillId="0" borderId="8" xfId="0" applyFont="1" applyBorder="1" applyAlignment="1" applyProtection="1">
      <alignment horizontal="right" vertical="center"/>
    </xf>
    <xf numFmtId="0" fontId="3" fillId="0" borderId="8" xfId="0" applyFont="1" applyBorder="1" applyAlignment="1" applyProtection="1">
      <alignment vertical="top"/>
    </xf>
    <xf numFmtId="0" fontId="3" fillId="0" borderId="0" xfId="0" applyFont="1" applyBorder="1" applyAlignment="1" applyProtection="1">
      <alignment vertical="top"/>
    </xf>
    <xf numFmtId="0" fontId="3" fillId="0" borderId="0" xfId="0" applyFont="1" applyBorder="1" applyAlignment="1" applyProtection="1">
      <alignment horizontal="right"/>
    </xf>
    <xf numFmtId="0" fontId="0" fillId="0" borderId="6" xfId="0" applyBorder="1" applyAlignment="1" applyProtection="1"/>
    <xf numFmtId="0" fontId="0" fillId="0" borderId="5" xfId="0" applyBorder="1" applyAlignment="1" applyProtection="1"/>
    <xf numFmtId="0" fontId="0" fillId="0" borderId="0" xfId="0" applyBorder="1" applyAlignment="1" applyProtection="1">
      <alignment wrapText="1"/>
    </xf>
    <xf numFmtId="0" fontId="0" fillId="0" borderId="41" xfId="0" applyBorder="1" applyProtection="1"/>
    <xf numFmtId="0" fontId="3" fillId="0" borderId="13" xfId="0" applyFont="1" applyBorder="1" applyAlignment="1" applyProtection="1">
      <alignment vertical="center" wrapText="1"/>
    </xf>
    <xf numFmtId="0" fontId="31" fillId="0" borderId="0" xfId="0" applyFont="1" applyAlignment="1" applyProtection="1"/>
    <xf numFmtId="0" fontId="4" fillId="0" borderId="0" xfId="0" applyFont="1" applyAlignment="1" applyProtection="1"/>
    <xf numFmtId="0" fontId="0" fillId="0" borderId="10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0" fontId="25" fillId="0" borderId="52" xfId="0" applyFont="1" applyBorder="1"/>
    <xf numFmtId="16" fontId="0" fillId="0" borderId="0" xfId="0" applyNumberFormat="1"/>
    <xf numFmtId="0" fontId="0" fillId="0" borderId="12" xfId="0" applyBorder="1"/>
    <xf numFmtId="0" fontId="0" fillId="0" borderId="0" xfId="0" applyBorder="1" applyAlignment="1" applyProtection="1">
      <alignment vertical="center"/>
    </xf>
    <xf numFmtId="0" fontId="0" fillId="2" borderId="22" xfId="0" applyFill="1" applyBorder="1"/>
    <xf numFmtId="0" fontId="38" fillId="2" borderId="22" xfId="0" applyFont="1" applyFill="1" applyBorder="1" applyAlignment="1">
      <alignment horizontal="center" vertical="center"/>
    </xf>
    <xf numFmtId="0" fontId="38" fillId="2" borderId="22" xfId="0" applyFont="1" applyFill="1" applyBorder="1"/>
    <xf numFmtId="0" fontId="38" fillId="2" borderId="22" xfId="0" applyFont="1" applyFill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38" fillId="2" borderId="22" xfId="0" applyFont="1" applyFill="1" applyBorder="1" applyAlignment="1">
      <alignment horizontal="left"/>
    </xf>
    <xf numFmtId="0" fontId="19" fillId="0" borderId="0" xfId="0" applyFont="1" applyAlignment="1"/>
    <xf numFmtId="0" fontId="15" fillId="0" borderId="22" xfId="0" applyFont="1" applyBorder="1" applyAlignment="1">
      <alignment horizontal="right"/>
    </xf>
    <xf numFmtId="165" fontId="0" fillId="0" borderId="22" xfId="0" applyNumberFormat="1" applyBorder="1" applyAlignment="1">
      <alignment horizontal="center" vertical="center"/>
    </xf>
    <xf numFmtId="0" fontId="0" fillId="0" borderId="0" xfId="0" applyFont="1" applyBorder="1" applyAlignment="1">
      <alignment horizontal="left" vertical="center"/>
    </xf>
    <xf numFmtId="0" fontId="0" fillId="0" borderId="10" xfId="0" applyBorder="1"/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right" vertical="center"/>
    </xf>
    <xf numFmtId="0" fontId="0" fillId="0" borderId="0" xfId="0" applyBorder="1" applyAlignment="1">
      <alignment horizontal="center"/>
    </xf>
    <xf numFmtId="0" fontId="3" fillId="2" borderId="22" xfId="0" applyFont="1" applyFill="1" applyBorder="1" applyAlignment="1">
      <alignment horizontal="center"/>
    </xf>
    <xf numFmtId="0" fontId="0" fillId="0" borderId="13" xfId="0" applyBorder="1" applyAlignment="1">
      <alignment horizontal="left"/>
    </xf>
    <xf numFmtId="0" fontId="3" fillId="2" borderId="22" xfId="0" applyFont="1" applyFill="1" applyBorder="1" applyAlignment="1">
      <alignment horizontal="left"/>
    </xf>
    <xf numFmtId="0" fontId="15" fillId="0" borderId="0" xfId="0" applyFont="1" applyBorder="1" applyAlignment="1">
      <alignment horizontal="right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22" xfId="0" applyBorder="1" applyAlignment="1">
      <alignment horizontal="center" vertical="center"/>
    </xf>
    <xf numFmtId="0" fontId="38" fillId="0" borderId="22" xfId="0" applyFont="1" applyBorder="1" applyAlignment="1">
      <alignment horizontal="center"/>
    </xf>
    <xf numFmtId="166" fontId="0" fillId="0" borderId="13" xfId="0" applyNumberFormat="1" applyBorder="1" applyAlignment="1">
      <alignment horizontal="center" vertical="center"/>
    </xf>
    <xf numFmtId="0" fontId="15" fillId="0" borderId="18" xfId="0" applyFont="1" applyBorder="1" applyAlignment="1">
      <alignment horizontal="right" vertical="center"/>
    </xf>
    <xf numFmtId="0" fontId="15" fillId="0" borderId="0" xfId="0" applyFont="1" applyAlignment="1">
      <alignment horizontal="right"/>
    </xf>
    <xf numFmtId="0" fontId="15" fillId="0" borderId="18" xfId="0" applyFont="1" applyBorder="1" applyAlignment="1">
      <alignment horizontal="right"/>
    </xf>
    <xf numFmtId="0" fontId="19" fillId="0" borderId="22" xfId="0" applyFont="1" applyBorder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Border="1"/>
    <xf numFmtId="0" fontId="5" fillId="6" borderId="16" xfId="0" applyFont="1" applyFill="1" applyBorder="1"/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vertical="top"/>
    </xf>
    <xf numFmtId="0" fontId="3" fillId="0" borderId="22" xfId="0" applyFont="1" applyFill="1" applyBorder="1" applyAlignment="1">
      <alignment horizontal="center"/>
    </xf>
    <xf numFmtId="0" fontId="38" fillId="0" borderId="22" xfId="0" applyFont="1" applyFill="1" applyBorder="1" applyAlignment="1">
      <alignment horizontal="left"/>
    </xf>
    <xf numFmtId="0" fontId="0" fillId="0" borderId="0" xfId="0" applyBorder="1" applyAlignment="1" applyProtection="1">
      <protection locked="0"/>
    </xf>
    <xf numFmtId="0" fontId="3" fillId="0" borderId="0" xfId="0" applyFont="1" applyBorder="1" applyAlignment="1" applyProtection="1">
      <alignment horizontal="center" vertical="center"/>
    </xf>
    <xf numFmtId="0" fontId="15" fillId="0" borderId="17" xfId="0" applyFont="1" applyFill="1" applyBorder="1" applyAlignment="1">
      <alignment horizontal="center" vertical="center"/>
    </xf>
    <xf numFmtId="0" fontId="0" fillId="0" borderId="17" xfId="0" applyFill="1" applyBorder="1"/>
    <xf numFmtId="0" fontId="29" fillId="0" borderId="13" xfId="0" applyFont="1" applyBorder="1" applyAlignment="1" applyProtection="1">
      <alignment horizontal="center" vertical="center"/>
      <protection locked="0"/>
    </xf>
    <xf numFmtId="0" fontId="0" fillId="0" borderId="13" xfId="0" applyFont="1" applyBorder="1" applyAlignment="1">
      <alignment horizontal="center" vertical="center"/>
    </xf>
    <xf numFmtId="0" fontId="0" fillId="0" borderId="0" xfId="0" applyFont="1" applyBorder="1" applyAlignment="1">
      <alignment vertical="center" shrinkToFit="1"/>
    </xf>
    <xf numFmtId="0" fontId="0" fillId="0" borderId="15" xfId="0" applyBorder="1" applyAlignment="1">
      <alignment vertical="center"/>
    </xf>
    <xf numFmtId="0" fontId="3" fillId="0" borderId="0" xfId="0" applyFont="1" applyFill="1" applyBorder="1" applyAlignment="1"/>
    <xf numFmtId="0" fontId="3" fillId="0" borderId="0" xfId="0" applyFont="1" applyFill="1" applyBorder="1" applyAlignment="1">
      <alignment horizontal="left"/>
    </xf>
    <xf numFmtId="0" fontId="41" fillId="0" borderId="0" xfId="0" applyFont="1" applyFill="1" applyBorder="1" applyAlignment="1">
      <alignment vertical="top" wrapText="1"/>
    </xf>
    <xf numFmtId="0" fontId="15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horizontal="right" vertical="center" wrapText="1"/>
    </xf>
    <xf numFmtId="0" fontId="41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/>
    <xf numFmtId="0" fontId="15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horizontal="left" vertical="center" wrapText="1"/>
    </xf>
    <xf numFmtId="0" fontId="41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vertical="center"/>
    </xf>
    <xf numFmtId="0" fontId="30" fillId="0" borderId="0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>
      <alignment horizontal="left" vertical="top"/>
    </xf>
    <xf numFmtId="0" fontId="31" fillId="0" borderId="6" xfId="0" applyFont="1" applyBorder="1" applyAlignment="1">
      <alignment horizontal="center"/>
    </xf>
    <xf numFmtId="0" fontId="0" fillId="0" borderId="0" xfId="0" applyBorder="1" applyProtection="1">
      <protection locked="0"/>
    </xf>
    <xf numFmtId="0" fontId="15" fillId="0" borderId="0" xfId="0" applyFont="1" applyAlignment="1">
      <alignment horizontal="right" vertical="center"/>
    </xf>
    <xf numFmtId="0" fontId="5" fillId="0" borderId="0" xfId="0" applyFont="1" applyBorder="1" applyAlignment="1">
      <alignment horizontal="center" vertical="center"/>
    </xf>
    <xf numFmtId="0" fontId="6" fillId="0" borderId="0" xfId="0" applyFont="1" applyAlignment="1">
      <alignment vertical="top" wrapText="1"/>
    </xf>
    <xf numFmtId="0" fontId="0" fillId="0" borderId="0" xfId="0" applyAlignment="1">
      <alignment horizontal="left" vertical="center"/>
    </xf>
    <xf numFmtId="0" fontId="0" fillId="0" borderId="13" xfId="0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15" fillId="0" borderId="0" xfId="0" applyFont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15" fillId="0" borderId="0" xfId="0" applyFont="1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20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0" xfId="0" applyAlignment="1">
      <alignment horizontal="left" vertical="center"/>
    </xf>
    <xf numFmtId="0" fontId="15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15" fillId="0" borderId="0" xfId="0" applyFont="1" applyAlignment="1">
      <alignment horizontal="right"/>
    </xf>
    <xf numFmtId="0" fontId="5" fillId="0" borderId="20" xfId="0" applyFont="1" applyBorder="1" applyAlignment="1">
      <alignment vertical="center"/>
    </xf>
    <xf numFmtId="0" fontId="0" fillId="0" borderId="4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66" fontId="0" fillId="0" borderId="13" xfId="0" quotePrefix="1" applyNumberFormat="1" applyBorder="1" applyAlignment="1">
      <alignment horizontal="center" vertical="center"/>
    </xf>
    <xf numFmtId="0" fontId="0" fillId="0" borderId="20" xfId="0" applyFont="1" applyBorder="1" applyAlignment="1">
      <alignment vertical="top"/>
    </xf>
    <xf numFmtId="166" fontId="0" fillId="7" borderId="13" xfId="0" applyNumberFormat="1" applyFill="1" applyBorder="1" applyAlignment="1">
      <alignment horizontal="center" wrapText="1"/>
    </xf>
    <xf numFmtId="0" fontId="14" fillId="0" borderId="8" xfId="0" applyFont="1" applyBorder="1"/>
    <xf numFmtId="165" fontId="30" fillId="0" borderId="1" xfId="0" applyNumberFormat="1" applyFont="1" applyBorder="1" applyAlignment="1" applyProtection="1">
      <alignment horizontal="center"/>
      <protection locked="0"/>
    </xf>
    <xf numFmtId="0" fontId="3" fillId="0" borderId="0" xfId="0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5" fillId="0" borderId="0" xfId="0" applyFont="1" applyAlignment="1">
      <alignment horizontal="right"/>
    </xf>
    <xf numFmtId="0" fontId="0" fillId="0" borderId="13" xfId="0" applyNumberFormat="1" applyBorder="1" applyAlignment="1">
      <alignment horizontal="center"/>
    </xf>
    <xf numFmtId="0" fontId="0" fillId="0" borderId="13" xfId="0" applyNumberFormat="1" applyBorder="1" applyAlignment="1">
      <alignment horizontal="center" vertical="center"/>
    </xf>
    <xf numFmtId="2" fontId="30" fillId="0" borderId="1" xfId="0" applyNumberFormat="1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>
      <alignment horizontal="left" vertical="center"/>
    </xf>
    <xf numFmtId="0" fontId="14" fillId="0" borderId="0" xfId="0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13" xfId="0" applyNumberFormat="1" applyBorder="1" applyAlignment="1">
      <alignment horizontal="left"/>
    </xf>
    <xf numFmtId="165" fontId="0" fillId="0" borderId="0" xfId="0" applyNumberFormat="1" applyBorder="1"/>
    <xf numFmtId="0" fontId="15" fillId="0" borderId="0" xfId="0" applyFont="1" applyAlignment="1">
      <alignment horizontal="right" vertical="top"/>
    </xf>
    <xf numFmtId="165" fontId="0" fillId="3" borderId="1" xfId="0" quotePrefix="1" applyNumberFormat="1" applyFill="1" applyBorder="1" applyAlignment="1">
      <alignment horizontal="center" vertical="center"/>
    </xf>
    <xf numFmtId="0" fontId="28" fillId="0" borderId="1" xfId="0" applyFont="1" applyBorder="1" applyAlignment="1" applyProtection="1">
      <alignment horizontal="center" vertical="center"/>
    </xf>
    <xf numFmtId="0" fontId="3" fillId="0" borderId="5" xfId="0" applyFont="1" applyBorder="1" applyAlignment="1">
      <alignment horizontal="left"/>
    </xf>
    <xf numFmtId="0" fontId="4" fillId="0" borderId="2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9" fillId="0" borderId="10" xfId="0" applyFont="1" applyBorder="1" applyAlignment="1" applyProtection="1">
      <alignment horizontal="left" vertical="center" shrinkToFit="1"/>
      <protection locked="0"/>
    </xf>
    <xf numFmtId="0" fontId="0" fillId="0" borderId="12" xfId="0" applyBorder="1" applyAlignment="1" applyProtection="1">
      <alignment horizontal="left" vertical="center" shrinkToFit="1"/>
      <protection locked="0"/>
    </xf>
    <xf numFmtId="49" fontId="29" fillId="0" borderId="10" xfId="0" applyNumberFormat="1" applyFont="1" applyBorder="1" applyAlignment="1" applyProtection="1">
      <alignment horizontal="center" vertical="center" shrinkToFit="1"/>
      <protection locked="0"/>
    </xf>
    <xf numFmtId="49" fontId="0" fillId="0" borderId="12" xfId="0" applyNumberFormat="1" applyBorder="1" applyAlignment="1" applyProtection="1">
      <alignment horizontal="center" vertical="center" shrinkToFit="1"/>
      <protection locked="0"/>
    </xf>
    <xf numFmtId="0" fontId="0" fillId="0" borderId="10" xfId="0" applyNumberFormat="1" applyBorder="1" applyAlignment="1" applyProtection="1">
      <alignment horizontal="center" vertical="center"/>
      <protection locked="0"/>
    </xf>
    <xf numFmtId="0" fontId="0" fillId="0" borderId="11" xfId="0" applyNumberFormat="1" applyBorder="1" applyAlignment="1" applyProtection="1">
      <alignment horizontal="center" vertical="center"/>
      <protection locked="0"/>
    </xf>
    <xf numFmtId="0" fontId="0" fillId="0" borderId="12" xfId="0" applyNumberFormat="1" applyBorder="1" applyAlignment="1" applyProtection="1">
      <alignment horizontal="center" vertical="center"/>
      <protection locked="0"/>
    </xf>
    <xf numFmtId="0" fontId="31" fillId="0" borderId="10" xfId="0" applyNumberFormat="1" applyFont="1" applyBorder="1" applyAlignment="1" applyProtection="1">
      <alignment horizontal="center" vertical="center" shrinkToFit="1"/>
      <protection locked="0"/>
    </xf>
    <xf numFmtId="0" fontId="31" fillId="0" borderId="11" xfId="0" applyNumberFormat="1" applyFont="1" applyBorder="1" applyAlignment="1" applyProtection="1">
      <alignment horizontal="center" vertical="center" shrinkToFit="1"/>
      <protection locked="0"/>
    </xf>
    <xf numFmtId="0" fontId="31" fillId="0" borderId="12" xfId="0" applyNumberFormat="1" applyFont="1" applyBorder="1" applyAlignment="1" applyProtection="1">
      <alignment horizontal="center" vertical="center" shrinkToFit="1"/>
      <protection locked="0"/>
    </xf>
    <xf numFmtId="0" fontId="15" fillId="0" borderId="5" xfId="0" applyFont="1" applyBorder="1" applyAlignment="1">
      <alignment horizontal="right"/>
    </xf>
    <xf numFmtId="0" fontId="15" fillId="0" borderId="0" xfId="0" applyFont="1" applyAlignment="1">
      <alignment horizontal="right" vertical="center"/>
    </xf>
    <xf numFmtId="0" fontId="15" fillId="0" borderId="6" xfId="0" applyFont="1" applyBorder="1" applyAlignment="1">
      <alignment horizontal="right" vertical="center"/>
    </xf>
    <xf numFmtId="0" fontId="15" fillId="0" borderId="5" xfId="0" applyFont="1" applyBorder="1" applyAlignment="1">
      <alignment horizontal="right" vertical="center"/>
    </xf>
    <xf numFmtId="0" fontId="31" fillId="0" borderId="2" xfId="0" applyFont="1" applyBorder="1" applyAlignment="1" applyProtection="1">
      <alignment horizontal="center" vertical="center"/>
      <protection locked="0"/>
    </xf>
    <xf numFmtId="0" fontId="31" fillId="0" borderId="3" xfId="0" applyFont="1" applyBorder="1" applyAlignment="1" applyProtection="1">
      <alignment horizontal="center" vertical="center"/>
      <protection locked="0"/>
    </xf>
    <xf numFmtId="0" fontId="31" fillId="0" borderId="4" xfId="0" applyFont="1" applyBorder="1" applyAlignment="1" applyProtection="1">
      <alignment horizontal="center" vertical="center"/>
      <protection locked="0"/>
    </xf>
    <xf numFmtId="0" fontId="31" fillId="0" borderId="7" xfId="0" applyFont="1" applyBorder="1" applyAlignment="1" applyProtection="1">
      <alignment horizontal="center" vertical="center"/>
      <protection locked="0"/>
    </xf>
    <xf numFmtId="0" fontId="31" fillId="0" borderId="8" xfId="0" applyFont="1" applyBorder="1" applyAlignment="1" applyProtection="1">
      <alignment horizontal="center" vertical="center"/>
      <protection locked="0"/>
    </xf>
    <xf numFmtId="0" fontId="31" fillId="0" borderId="9" xfId="0" applyFont="1" applyBorder="1" applyAlignment="1" applyProtection="1">
      <alignment horizontal="center" vertical="center"/>
      <protection locked="0"/>
    </xf>
    <xf numFmtId="49" fontId="29" fillId="0" borderId="12" xfId="0" applyNumberFormat="1" applyFont="1" applyBorder="1" applyAlignment="1" applyProtection="1">
      <alignment horizontal="center" vertical="center" shrinkToFit="1"/>
      <protection locked="0"/>
    </xf>
    <xf numFmtId="0" fontId="31" fillId="0" borderId="10" xfId="0" applyFont="1" applyBorder="1" applyAlignment="1" applyProtection="1">
      <alignment horizontal="center" vertical="center"/>
      <protection locked="0"/>
    </xf>
    <xf numFmtId="0" fontId="31" fillId="0" borderId="11" xfId="0" applyFont="1" applyBorder="1" applyAlignment="1" applyProtection="1">
      <alignment horizontal="center" vertical="center"/>
      <protection locked="0"/>
    </xf>
    <xf numFmtId="0" fontId="31" fillId="0" borderId="12" xfId="0" applyFont="1" applyBorder="1" applyAlignment="1" applyProtection="1">
      <alignment horizontal="center" vertical="center"/>
      <protection locked="0"/>
    </xf>
    <xf numFmtId="49" fontId="30" fillId="0" borderId="10" xfId="0" applyNumberFormat="1" applyFont="1" applyBorder="1" applyAlignment="1" applyProtection="1">
      <alignment horizontal="left" vertical="center"/>
      <protection locked="0"/>
    </xf>
    <xf numFmtId="49" fontId="30" fillId="0" borderId="11" xfId="0" applyNumberFormat="1" applyFont="1" applyBorder="1" applyAlignment="1" applyProtection="1">
      <alignment horizontal="left" vertical="center"/>
      <protection locked="0"/>
    </xf>
    <xf numFmtId="49" fontId="30" fillId="0" borderId="12" xfId="0" applyNumberFormat="1" applyFont="1" applyBorder="1" applyAlignment="1" applyProtection="1">
      <alignment horizontal="left" vertical="center"/>
      <protection locked="0"/>
    </xf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29" fillId="0" borderId="10" xfId="0" applyFont="1" applyBorder="1" applyAlignment="1" applyProtection="1">
      <alignment horizontal="left" vertical="center"/>
      <protection locked="0"/>
    </xf>
    <xf numFmtId="0" fontId="29" fillId="0" borderId="11" xfId="0" applyFont="1" applyBorder="1" applyAlignment="1" applyProtection="1">
      <alignment horizontal="left" vertical="center"/>
      <protection locked="0"/>
    </xf>
    <xf numFmtId="0" fontId="29" fillId="0" borderId="12" xfId="0" applyFont="1" applyBorder="1" applyAlignment="1" applyProtection="1">
      <alignment horizontal="left" vertical="center"/>
      <protection locked="0"/>
    </xf>
    <xf numFmtId="0" fontId="30" fillId="0" borderId="10" xfId="0" applyFont="1" applyBorder="1" applyAlignment="1" applyProtection="1">
      <alignment horizontal="left"/>
      <protection locked="0"/>
    </xf>
    <xf numFmtId="0" fontId="30" fillId="0" borderId="11" xfId="0" applyFont="1" applyBorder="1" applyAlignment="1" applyProtection="1">
      <alignment horizontal="left"/>
      <protection locked="0"/>
    </xf>
    <xf numFmtId="0" fontId="30" fillId="0" borderId="12" xfId="0" applyFont="1" applyBorder="1" applyAlignment="1" applyProtection="1">
      <alignment horizontal="left"/>
      <protection locked="0"/>
    </xf>
    <xf numFmtId="0" fontId="15" fillId="0" borderId="0" xfId="0" applyFont="1" applyBorder="1" applyAlignment="1">
      <alignment horizontal="right" vertical="center" wrapText="1"/>
    </xf>
    <xf numFmtId="0" fontId="30" fillId="0" borderId="10" xfId="0" applyFont="1" applyBorder="1" applyAlignment="1" applyProtection="1">
      <alignment horizontal="left" vertical="center"/>
      <protection locked="0"/>
    </xf>
    <xf numFmtId="0" fontId="30" fillId="0" borderId="11" xfId="0" applyFont="1" applyBorder="1" applyAlignment="1" applyProtection="1">
      <alignment horizontal="left" vertical="center"/>
      <protection locked="0"/>
    </xf>
    <xf numFmtId="0" fontId="30" fillId="0" borderId="12" xfId="0" applyFont="1" applyBorder="1" applyAlignment="1" applyProtection="1">
      <alignment horizontal="left" vertical="center"/>
      <protection locked="0"/>
    </xf>
    <xf numFmtId="49" fontId="30" fillId="0" borderId="10" xfId="0" applyNumberFormat="1" applyFont="1" applyBorder="1" applyAlignment="1" applyProtection="1">
      <alignment horizontal="center" vertical="center"/>
      <protection locked="0"/>
    </xf>
    <xf numFmtId="49" fontId="30" fillId="0" borderId="12" xfId="0" applyNumberFormat="1" applyFont="1" applyBorder="1" applyAlignment="1" applyProtection="1">
      <alignment horizontal="center" vertical="center"/>
      <protection locked="0"/>
    </xf>
    <xf numFmtId="0" fontId="30" fillId="0" borderId="10" xfId="0" applyFont="1" applyBorder="1" applyAlignment="1" applyProtection="1">
      <alignment horizontal="center" vertical="center"/>
      <protection locked="0"/>
    </xf>
    <xf numFmtId="0" fontId="30" fillId="0" borderId="12" xfId="0" applyFont="1" applyBorder="1" applyAlignment="1" applyProtection="1">
      <alignment horizontal="center" vertical="center"/>
      <protection locked="0"/>
    </xf>
    <xf numFmtId="49" fontId="30" fillId="0" borderId="10" xfId="0" applyNumberFormat="1" applyFont="1" applyBorder="1" applyAlignment="1" applyProtection="1">
      <alignment horizontal="center" shrinkToFit="1"/>
      <protection locked="0"/>
    </xf>
    <xf numFmtId="49" fontId="30" fillId="0" borderId="11" xfId="0" applyNumberFormat="1" applyFont="1" applyBorder="1" applyAlignment="1" applyProtection="1">
      <alignment horizontal="center" shrinkToFit="1"/>
      <protection locked="0"/>
    </xf>
    <xf numFmtId="49" fontId="30" fillId="0" borderId="12" xfId="0" applyNumberFormat="1" applyFont="1" applyBorder="1" applyAlignment="1" applyProtection="1">
      <alignment horizontal="center" shrinkToFit="1"/>
      <protection locked="0"/>
    </xf>
    <xf numFmtId="0" fontId="30" fillId="0" borderId="10" xfId="0" applyFont="1" applyBorder="1" applyAlignment="1" applyProtection="1">
      <alignment horizontal="center" shrinkToFit="1"/>
      <protection locked="0"/>
    </xf>
    <xf numFmtId="0" fontId="30" fillId="0" borderId="11" xfId="0" applyFont="1" applyBorder="1" applyAlignment="1" applyProtection="1">
      <alignment horizontal="center" shrinkToFit="1"/>
      <protection locked="0"/>
    </xf>
    <xf numFmtId="0" fontId="30" fillId="0" borderId="12" xfId="0" applyFont="1" applyBorder="1" applyAlignment="1" applyProtection="1">
      <alignment horizontal="center" shrinkToFit="1"/>
      <protection locked="0"/>
    </xf>
    <xf numFmtId="49" fontId="3" fillId="0" borderId="5" xfId="0" applyNumberFormat="1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1" fillId="0" borderId="10" xfId="0" applyFont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0" fontId="4" fillId="2" borderId="1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top"/>
    </xf>
    <xf numFmtId="0" fontId="15" fillId="0" borderId="0" xfId="0" applyFont="1" applyBorder="1" applyAlignment="1">
      <alignment horizontal="center" vertical="top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15" fillId="0" borderId="0" xfId="0" applyFont="1" applyBorder="1" applyAlignment="1">
      <alignment horizontal="left" vertical="top"/>
    </xf>
    <xf numFmtId="0" fontId="3" fillId="0" borderId="0" xfId="0" applyFont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3" fillId="0" borderId="0" xfId="0" applyFont="1" applyBorder="1" applyAlignment="1" applyProtection="1">
      <alignment horizontal="center"/>
    </xf>
    <xf numFmtId="0" fontId="15" fillId="0" borderId="0" xfId="0" applyFont="1" applyBorder="1" applyAlignment="1">
      <alignment horizontal="center" wrapText="1"/>
    </xf>
    <xf numFmtId="0" fontId="14" fillId="0" borderId="0" xfId="0" applyFont="1" applyFill="1" applyBorder="1" applyAlignment="1">
      <alignment horizontal="center" vertical="top" wrapText="1"/>
    </xf>
    <xf numFmtId="0" fontId="14" fillId="0" borderId="6" xfId="0" applyFont="1" applyFill="1" applyBorder="1" applyAlignment="1">
      <alignment horizontal="center" vertical="top" wrapText="1"/>
    </xf>
    <xf numFmtId="0" fontId="14" fillId="0" borderId="0" xfId="0" applyFont="1" applyFill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165" fontId="0" fillId="2" borderId="10" xfId="0" applyNumberFormat="1" applyFill="1" applyBorder="1" applyAlignment="1">
      <alignment horizontal="center" vertical="center"/>
    </xf>
    <xf numFmtId="165" fontId="0" fillId="2" borderId="12" xfId="0" applyNumberFormat="1" applyFill="1" applyBorder="1" applyAlignment="1">
      <alignment horizontal="center" vertical="center"/>
    </xf>
    <xf numFmtId="0" fontId="15" fillId="0" borderId="15" xfId="0" applyFont="1" applyBorder="1" applyAlignment="1">
      <alignment horizontal="center"/>
    </xf>
    <xf numFmtId="0" fontId="15" fillId="0" borderId="0" xfId="0" applyFont="1" applyAlignment="1">
      <alignment horizontal="right" vertical="top" wrapText="1"/>
    </xf>
    <xf numFmtId="0" fontId="15" fillId="0" borderId="15" xfId="0" applyFont="1" applyBorder="1" applyAlignment="1">
      <alignment horizontal="left"/>
    </xf>
    <xf numFmtId="0" fontId="15" fillId="0" borderId="0" xfId="0" applyFont="1" applyAlignment="1">
      <alignment horizontal="left"/>
    </xf>
    <xf numFmtId="0" fontId="0" fillId="0" borderId="0" xfId="0" applyAlignment="1">
      <alignment horizontal="center" vertical="top" wrapText="1"/>
    </xf>
    <xf numFmtId="0" fontId="0" fillId="0" borderId="20" xfId="0" applyBorder="1" applyAlignment="1">
      <alignment horizontal="center" vertical="top" wrapText="1"/>
    </xf>
    <xf numFmtId="0" fontId="14" fillId="0" borderId="0" xfId="0" applyFont="1" applyAlignment="1">
      <alignment horizontal="center"/>
    </xf>
    <xf numFmtId="0" fontId="15" fillId="0" borderId="15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15" fillId="0" borderId="8" xfId="0" applyFont="1" applyBorder="1" applyAlignment="1">
      <alignment horizontal="center" wrapText="1"/>
    </xf>
    <xf numFmtId="0" fontId="15" fillId="0" borderId="0" xfId="0" applyFont="1" applyAlignment="1">
      <alignment horizontal="center"/>
    </xf>
    <xf numFmtId="0" fontId="15" fillId="0" borderId="8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0" borderId="15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center"/>
    </xf>
    <xf numFmtId="0" fontId="3" fillId="0" borderId="5" xfId="0" applyFont="1" applyFill="1" applyBorder="1" applyAlignment="1">
      <alignment horizontal="right" wrapText="1"/>
    </xf>
    <xf numFmtId="0" fontId="5" fillId="0" borderId="0" xfId="0" applyFont="1" applyBorder="1" applyAlignment="1">
      <alignment horizontal="center" vertical="center"/>
    </xf>
    <xf numFmtId="0" fontId="31" fillId="2" borderId="11" xfId="0" applyFont="1" applyFill="1" applyBorder="1" applyAlignment="1">
      <alignment horizontal="center" vertical="center"/>
    </xf>
    <xf numFmtId="0" fontId="31" fillId="2" borderId="12" xfId="0" applyFont="1" applyFill="1" applyBorder="1" applyAlignment="1">
      <alignment horizontal="center" vertical="center"/>
    </xf>
    <xf numFmtId="0" fontId="32" fillId="0" borderId="15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" fillId="0" borderId="15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6" fillId="2" borderId="10" xfId="0" applyFont="1" applyFill="1" applyBorder="1" applyAlignment="1">
      <alignment horizontal="center" vertical="center"/>
    </xf>
    <xf numFmtId="0" fontId="26" fillId="2" borderId="11" xfId="0" applyFont="1" applyFill="1" applyBorder="1" applyAlignment="1">
      <alignment horizontal="center" vertical="center"/>
    </xf>
    <xf numFmtId="0" fontId="26" fillId="2" borderId="12" xfId="0" applyFont="1" applyFill="1" applyBorder="1" applyAlignment="1">
      <alignment horizontal="center" vertical="center"/>
    </xf>
    <xf numFmtId="0" fontId="25" fillId="0" borderId="5" xfId="0" applyFont="1" applyBorder="1"/>
    <xf numFmtId="0" fontId="25" fillId="0" borderId="0" xfId="0" applyFont="1" applyBorder="1"/>
    <xf numFmtId="0" fontId="25" fillId="0" borderId="6" xfId="0" applyFont="1" applyBorder="1"/>
    <xf numFmtId="0" fontId="27" fillId="0" borderId="33" xfId="0" applyFont="1" applyBorder="1" applyAlignment="1">
      <alignment horizontal="center"/>
    </xf>
    <xf numFmtId="0" fontId="27" fillId="0" borderId="29" xfId="0" applyFont="1" applyBorder="1" applyAlignment="1">
      <alignment horizontal="center"/>
    </xf>
    <xf numFmtId="0" fontId="27" fillId="0" borderId="34" xfId="0" applyFont="1" applyBorder="1" applyAlignment="1">
      <alignment horizontal="center"/>
    </xf>
    <xf numFmtId="0" fontId="0" fillId="0" borderId="35" xfId="0" applyBorder="1" applyAlignment="1" applyProtection="1">
      <alignment horizontal="left" vertical="center"/>
      <protection locked="0"/>
    </xf>
    <xf numFmtId="0" fontId="0" fillId="0" borderId="22" xfId="0" applyBorder="1" applyAlignment="1" applyProtection="1">
      <alignment horizontal="left" vertical="center"/>
      <protection locked="0"/>
    </xf>
    <xf numFmtId="0" fontId="0" fillId="0" borderId="36" xfId="0" applyBorder="1" applyAlignment="1" applyProtection="1">
      <alignment horizontal="left" vertical="center"/>
      <protection locked="0"/>
    </xf>
    <xf numFmtId="0" fontId="13" fillId="0" borderId="35" xfId="0" applyFont="1" applyBorder="1" applyAlignment="1" applyProtection="1">
      <alignment horizontal="left" vertical="center"/>
      <protection locked="0"/>
    </xf>
    <xf numFmtId="0" fontId="13" fillId="0" borderId="22" xfId="0" applyFont="1" applyBorder="1" applyAlignment="1" applyProtection="1">
      <alignment horizontal="left" vertical="center"/>
      <protection locked="0"/>
    </xf>
    <xf numFmtId="0" fontId="13" fillId="0" borderId="36" xfId="0" applyFont="1" applyBorder="1" applyAlignment="1" applyProtection="1">
      <alignment horizontal="left" vertical="center"/>
      <protection locked="0"/>
    </xf>
    <xf numFmtId="0" fontId="0" fillId="0" borderId="35" xfId="0" applyFont="1" applyBorder="1" applyAlignment="1" applyProtection="1">
      <alignment horizontal="left" vertical="center"/>
      <protection locked="0"/>
    </xf>
    <xf numFmtId="0" fontId="0" fillId="0" borderId="26" xfId="0" applyBorder="1" applyAlignment="1" applyProtection="1">
      <alignment horizontal="left" vertical="center"/>
      <protection locked="0"/>
    </xf>
    <xf numFmtId="0" fontId="0" fillId="0" borderId="35" xfId="0" applyFont="1" applyBorder="1" applyAlignment="1" applyProtection="1">
      <alignment horizontal="left"/>
      <protection locked="0"/>
    </xf>
    <xf numFmtId="0" fontId="25" fillId="0" borderId="22" xfId="0" applyFont="1" applyBorder="1" applyAlignment="1" applyProtection="1">
      <alignment horizontal="left"/>
      <protection locked="0"/>
    </xf>
    <xf numFmtId="0" fontId="25" fillId="0" borderId="36" xfId="0" applyFont="1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 vertical="center"/>
      <protection locked="0"/>
    </xf>
    <xf numFmtId="0" fontId="0" fillId="0" borderId="15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26" fillId="2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2" borderId="4" xfId="0" applyFont="1" applyFill="1" applyBorder="1" applyAlignment="1">
      <alignment horizontal="center" vertical="center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5" fillId="2" borderId="22" xfId="0" applyFont="1" applyFill="1" applyBorder="1" applyAlignment="1">
      <alignment horizontal="center" vertical="center" shrinkToFit="1"/>
    </xf>
    <xf numFmtId="0" fontId="3" fillId="2" borderId="22" xfId="0" applyFont="1" applyFill="1" applyBorder="1" applyAlignment="1">
      <alignment horizontal="center" vertical="center"/>
    </xf>
    <xf numFmtId="166" fontId="0" fillId="0" borderId="45" xfId="0" applyNumberFormat="1" applyBorder="1" applyAlignment="1">
      <alignment horizontal="center" vertical="center"/>
    </xf>
    <xf numFmtId="166" fontId="0" fillId="0" borderId="30" xfId="0" applyNumberFormat="1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20" xfId="0" applyBorder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19" fillId="0" borderId="0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13" xfId="0" applyBorder="1" applyAlignment="1">
      <alignment horizontal="left"/>
    </xf>
    <xf numFmtId="0" fontId="3" fillId="2" borderId="35" xfId="0" applyFont="1" applyFill="1" applyBorder="1" applyAlignment="1">
      <alignment horizontal="left"/>
    </xf>
    <xf numFmtId="0" fontId="3" fillId="2" borderId="22" xfId="0" applyFont="1" applyFill="1" applyBorder="1" applyAlignment="1">
      <alignment horizontal="left"/>
    </xf>
    <xf numFmtId="0" fontId="3" fillId="2" borderId="36" xfId="0" applyFont="1" applyFill="1" applyBorder="1" applyAlignment="1">
      <alignment horizontal="left"/>
    </xf>
    <xf numFmtId="0" fontId="0" fillId="0" borderId="14" xfId="0" applyFont="1" applyBorder="1" applyAlignment="1">
      <alignment horizontal="left" vertical="top"/>
    </xf>
    <xf numFmtId="0" fontId="0" fillId="0" borderId="15" xfId="0" applyFont="1" applyBorder="1" applyAlignment="1">
      <alignment horizontal="left" vertical="top"/>
    </xf>
    <xf numFmtId="0" fontId="0" fillId="0" borderId="16" xfId="0" applyFont="1" applyBorder="1" applyAlignment="1">
      <alignment horizontal="left" vertical="top"/>
    </xf>
    <xf numFmtId="0" fontId="0" fillId="0" borderId="17" xfId="0" applyFont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0" fillId="0" borderId="18" xfId="0" applyFont="1" applyBorder="1" applyAlignment="1">
      <alignment horizontal="left" vertical="top"/>
    </xf>
    <xf numFmtId="0" fontId="0" fillId="0" borderId="19" xfId="0" applyFont="1" applyBorder="1" applyAlignment="1">
      <alignment horizontal="left" vertical="top"/>
    </xf>
    <xf numFmtId="0" fontId="0" fillId="0" borderId="20" xfId="0" applyFont="1" applyBorder="1" applyAlignment="1">
      <alignment horizontal="left" vertical="top"/>
    </xf>
    <xf numFmtId="0" fontId="0" fillId="0" borderId="21" xfId="0" applyFont="1" applyBorder="1" applyAlignment="1">
      <alignment horizontal="left" vertical="top"/>
    </xf>
    <xf numFmtId="0" fontId="3" fillId="2" borderId="35" xfId="0" applyFont="1" applyFill="1" applyBorder="1" applyAlignment="1">
      <alignment horizontal="left" vertical="center" wrapText="1"/>
    </xf>
    <xf numFmtId="0" fontId="3" fillId="2" borderId="22" xfId="0" applyFont="1" applyFill="1" applyBorder="1" applyAlignment="1">
      <alignment horizontal="left" vertical="center" wrapText="1"/>
    </xf>
    <xf numFmtId="0" fontId="3" fillId="2" borderId="36" xfId="0" applyFont="1" applyFill="1" applyBorder="1" applyAlignment="1">
      <alignment horizontal="left" vertical="center" wrapText="1"/>
    </xf>
    <xf numFmtId="0" fontId="0" fillId="0" borderId="35" xfId="0" applyBorder="1"/>
    <xf numFmtId="0" fontId="0" fillId="0" borderId="36" xfId="0" applyBorder="1"/>
    <xf numFmtId="0" fontId="0" fillId="0" borderId="14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1" fontId="0" fillId="0" borderId="35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30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14" xfId="0" applyFill="1" applyBorder="1" applyAlignment="1">
      <alignment horizontal="left" vertical="top" wrapText="1"/>
    </xf>
    <xf numFmtId="0" fontId="0" fillId="0" borderId="15" xfId="0" applyFill="1" applyBorder="1" applyAlignment="1">
      <alignment horizontal="left" vertical="top" wrapText="1"/>
    </xf>
    <xf numFmtId="0" fontId="0" fillId="0" borderId="16" xfId="0" applyFill="1" applyBorder="1" applyAlignment="1">
      <alignment horizontal="left" vertical="top" wrapText="1"/>
    </xf>
    <xf numFmtId="0" fontId="0" fillId="0" borderId="17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18" xfId="0" applyFill="1" applyBorder="1" applyAlignment="1">
      <alignment horizontal="left" vertical="top" wrapText="1"/>
    </xf>
    <xf numFmtId="0" fontId="0" fillId="0" borderId="19" xfId="0" applyFill="1" applyBorder="1" applyAlignment="1">
      <alignment horizontal="left" vertical="top" wrapText="1"/>
    </xf>
    <xf numFmtId="0" fontId="0" fillId="0" borderId="20" xfId="0" applyFill="1" applyBorder="1" applyAlignment="1">
      <alignment horizontal="left" vertical="top" wrapText="1"/>
    </xf>
    <xf numFmtId="0" fontId="0" fillId="0" borderId="21" xfId="0" applyFill="1" applyBorder="1" applyAlignment="1">
      <alignment horizontal="left" vertical="top" wrapText="1"/>
    </xf>
    <xf numFmtId="0" fontId="36" fillId="0" borderId="0" xfId="0" applyFont="1" applyAlignment="1">
      <alignment shrinkToFit="1"/>
    </xf>
    <xf numFmtId="0" fontId="6" fillId="0" borderId="0" xfId="0" applyFont="1" applyAlignment="1">
      <alignment vertical="top" wrapText="1"/>
    </xf>
    <xf numFmtId="0" fontId="15" fillId="2" borderId="35" xfId="0" applyFont="1" applyFill="1" applyBorder="1" applyAlignment="1">
      <alignment horizontal="center"/>
    </xf>
    <xf numFmtId="0" fontId="15" fillId="2" borderId="36" xfId="0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/>
    </xf>
    <xf numFmtId="0" fontId="36" fillId="0" borderId="0" xfId="0" applyFont="1" applyAlignment="1">
      <alignment vertical="top" shrinkToFit="1"/>
    </xf>
    <xf numFmtId="0" fontId="19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15" fillId="0" borderId="17" xfId="0" applyFont="1" applyBorder="1" applyAlignment="1">
      <alignment horizontal="right"/>
    </xf>
    <xf numFmtId="0" fontId="15" fillId="0" borderId="0" xfId="0" applyFont="1" applyBorder="1" applyAlignment="1">
      <alignment horizontal="right"/>
    </xf>
    <xf numFmtId="0" fontId="0" fillId="0" borderId="14" xfId="0" applyFont="1" applyBorder="1" applyAlignment="1">
      <alignment horizontal="left" vertical="top" wrapText="1"/>
    </xf>
    <xf numFmtId="0" fontId="0" fillId="0" borderId="15" xfId="0" applyFont="1" applyBorder="1" applyAlignment="1">
      <alignment horizontal="left" vertical="top" wrapText="1"/>
    </xf>
    <xf numFmtId="0" fontId="0" fillId="0" borderId="16" xfId="0" applyFont="1" applyBorder="1" applyAlignment="1">
      <alignment horizontal="left" vertical="top" wrapText="1"/>
    </xf>
    <xf numFmtId="0" fontId="0" fillId="0" borderId="17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18" xfId="0" applyFont="1" applyBorder="1" applyAlignment="1">
      <alignment horizontal="left" vertical="top" wrapText="1"/>
    </xf>
    <xf numFmtId="0" fontId="0" fillId="0" borderId="19" xfId="0" applyFont="1" applyBorder="1" applyAlignment="1">
      <alignment horizontal="left" vertical="top" wrapText="1"/>
    </xf>
    <xf numFmtId="0" fontId="0" fillId="0" borderId="20" xfId="0" applyFont="1" applyBorder="1" applyAlignment="1">
      <alignment horizontal="left" vertical="top" wrapText="1"/>
    </xf>
    <xf numFmtId="0" fontId="0" fillId="0" borderId="21" xfId="0" applyFont="1" applyBorder="1" applyAlignment="1">
      <alignment horizontal="left" vertical="top" wrapText="1"/>
    </xf>
    <xf numFmtId="0" fontId="28" fillId="0" borderId="14" xfId="0" applyFont="1" applyBorder="1" applyAlignment="1">
      <alignment horizontal="left" vertical="top" wrapText="1"/>
    </xf>
    <xf numFmtId="0" fontId="28" fillId="0" borderId="15" xfId="0" applyFont="1" applyBorder="1" applyAlignment="1">
      <alignment horizontal="left" vertical="top" wrapText="1"/>
    </xf>
    <xf numFmtId="0" fontId="28" fillId="0" borderId="16" xfId="0" applyFont="1" applyBorder="1" applyAlignment="1">
      <alignment horizontal="left" vertical="top" wrapText="1"/>
    </xf>
    <xf numFmtId="0" fontId="28" fillId="0" borderId="17" xfId="0" applyFont="1" applyBorder="1" applyAlignment="1">
      <alignment horizontal="left" vertical="top" wrapText="1"/>
    </xf>
    <xf numFmtId="0" fontId="28" fillId="0" borderId="0" xfId="0" applyFont="1" applyBorder="1" applyAlignment="1">
      <alignment horizontal="left" vertical="top" wrapText="1"/>
    </xf>
    <xf numFmtId="0" fontId="28" fillId="0" borderId="18" xfId="0" applyFont="1" applyBorder="1" applyAlignment="1">
      <alignment horizontal="left" vertical="top" wrapText="1"/>
    </xf>
    <xf numFmtId="0" fontId="28" fillId="0" borderId="19" xfId="0" applyFont="1" applyBorder="1" applyAlignment="1">
      <alignment horizontal="left" vertical="top" wrapText="1"/>
    </xf>
    <xf numFmtId="0" fontId="28" fillId="0" borderId="20" xfId="0" applyFont="1" applyBorder="1" applyAlignment="1">
      <alignment horizontal="left" vertical="top" wrapText="1"/>
    </xf>
    <xf numFmtId="0" fontId="28" fillId="0" borderId="21" xfId="0" applyFont="1" applyBorder="1" applyAlignment="1">
      <alignment horizontal="left" vertical="top" wrapText="1"/>
    </xf>
    <xf numFmtId="0" fontId="14" fillId="0" borderId="15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38" fillId="0" borderId="0" xfId="0" applyFont="1" applyAlignment="1">
      <alignment horizontal="center"/>
    </xf>
    <xf numFmtId="0" fontId="19" fillId="0" borderId="0" xfId="0" applyFont="1" applyBorder="1" applyAlignment="1">
      <alignment horizontal="center" vertical="top"/>
    </xf>
    <xf numFmtId="0" fontId="15" fillId="0" borderId="31" xfId="0" applyFont="1" applyBorder="1" applyAlignment="1">
      <alignment horizontal="center"/>
    </xf>
    <xf numFmtId="0" fontId="15" fillId="0" borderId="32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0" fillId="0" borderId="1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2" fontId="15" fillId="0" borderId="17" xfId="0" applyNumberFormat="1" applyFont="1" applyBorder="1" applyAlignment="1">
      <alignment horizontal="right"/>
    </xf>
    <xf numFmtId="2" fontId="15" fillId="0" borderId="18" xfId="0" applyNumberFormat="1" applyFont="1" applyBorder="1" applyAlignment="1">
      <alignment horizontal="right"/>
    </xf>
    <xf numFmtId="0" fontId="0" fillId="0" borderId="0" xfId="0" applyBorder="1" applyAlignment="1">
      <alignment horizontal="left"/>
    </xf>
    <xf numFmtId="0" fontId="1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0" fontId="38" fillId="0" borderId="15" xfId="0" applyFont="1" applyBorder="1" applyAlignment="1">
      <alignment horizontal="center"/>
    </xf>
    <xf numFmtId="0" fontId="38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14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0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31" fillId="0" borderId="0" xfId="0" applyFont="1" applyAlignment="1">
      <alignment horizontal="center"/>
    </xf>
    <xf numFmtId="0" fontId="0" fillId="0" borderId="15" xfId="0" applyBorder="1" applyAlignment="1">
      <alignment horizontal="left"/>
    </xf>
    <xf numFmtId="0" fontId="0" fillId="0" borderId="13" xfId="0" applyBorder="1" applyAlignment="1">
      <alignment horizontal="center"/>
    </xf>
    <xf numFmtId="0" fontId="3" fillId="0" borderId="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right" wrapText="1"/>
    </xf>
    <xf numFmtId="0" fontId="3" fillId="0" borderId="0" xfId="0" applyFont="1" applyAlignment="1">
      <alignment horizontal="right" wrapText="1"/>
    </xf>
    <xf numFmtId="0" fontId="14" fillId="0" borderId="35" xfId="0" applyFont="1" applyBorder="1" applyAlignment="1">
      <alignment horizontal="left"/>
    </xf>
    <xf numFmtId="0" fontId="14" fillId="0" borderId="22" xfId="0" applyFont="1" applyBorder="1" applyAlignment="1">
      <alignment horizontal="left"/>
    </xf>
    <xf numFmtId="0" fontId="14" fillId="0" borderId="36" xfId="0" applyFont="1" applyBorder="1" applyAlignment="1">
      <alignment horizontal="left"/>
    </xf>
    <xf numFmtId="3" fontId="14" fillId="0" borderId="35" xfId="0" applyNumberFormat="1" applyFont="1" applyBorder="1" applyAlignment="1">
      <alignment horizontal="left"/>
    </xf>
    <xf numFmtId="3" fontId="14" fillId="0" borderId="22" xfId="0" applyNumberFormat="1" applyFont="1" applyBorder="1" applyAlignment="1">
      <alignment horizontal="left"/>
    </xf>
    <xf numFmtId="3" fontId="14" fillId="0" borderId="36" xfId="0" applyNumberFormat="1" applyFont="1" applyBorder="1" applyAlignment="1">
      <alignment horizontal="left"/>
    </xf>
    <xf numFmtId="2" fontId="14" fillId="0" borderId="35" xfId="0" applyNumberFormat="1" applyFont="1" applyBorder="1" applyAlignment="1">
      <alignment horizontal="left"/>
    </xf>
    <xf numFmtId="2" fontId="14" fillId="0" borderId="22" xfId="0" applyNumberFormat="1" applyFont="1" applyBorder="1" applyAlignment="1">
      <alignment horizontal="left"/>
    </xf>
    <xf numFmtId="2" fontId="14" fillId="0" borderId="36" xfId="0" applyNumberFormat="1" applyFont="1" applyBorder="1" applyAlignment="1">
      <alignment horizontal="left"/>
    </xf>
    <xf numFmtId="0" fontId="14" fillId="0" borderId="19" xfId="0" applyFont="1" applyBorder="1" applyAlignment="1">
      <alignment horizontal="left"/>
    </xf>
    <xf numFmtId="0" fontId="14" fillId="0" borderId="20" xfId="0" applyFont="1" applyBorder="1" applyAlignment="1">
      <alignment horizontal="left"/>
    </xf>
    <xf numFmtId="0" fontId="14" fillId="0" borderId="21" xfId="0" applyFont="1" applyBorder="1" applyAlignment="1">
      <alignment horizontal="left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0" fillId="0" borderId="35" xfId="0" applyBorder="1" applyAlignment="1">
      <alignment horizontal="left" shrinkToFit="1"/>
    </xf>
    <xf numFmtId="0" fontId="0" fillId="0" borderId="22" xfId="0" applyBorder="1" applyAlignment="1">
      <alignment horizontal="left" shrinkToFit="1"/>
    </xf>
    <xf numFmtId="0" fontId="0" fillId="0" borderId="36" xfId="0" applyBorder="1" applyAlignment="1">
      <alignment horizontal="left" shrinkToFit="1"/>
    </xf>
    <xf numFmtId="0" fontId="4" fillId="2" borderId="10" xfId="0" applyFont="1" applyFill="1" applyBorder="1" applyAlignment="1" applyProtection="1">
      <alignment horizontal="center" vertical="center"/>
    </xf>
    <xf numFmtId="0" fontId="4" fillId="2" borderId="11" xfId="0" applyFont="1" applyFill="1" applyBorder="1" applyAlignment="1" applyProtection="1">
      <alignment horizontal="center" vertical="center"/>
    </xf>
    <xf numFmtId="0" fontId="4" fillId="2" borderId="12" xfId="0" applyFont="1" applyFill="1" applyBorder="1" applyAlignment="1" applyProtection="1">
      <alignment horizontal="center" vertical="center"/>
    </xf>
    <xf numFmtId="0" fontId="15" fillId="0" borderId="0" xfId="0" applyFont="1" applyBorder="1" applyAlignment="1" applyProtection="1">
      <alignment horizontal="right"/>
    </xf>
    <xf numFmtId="0" fontId="38" fillId="0" borderId="0" xfId="0" applyFont="1" applyBorder="1" applyAlignment="1" applyProtection="1">
      <alignment horizontal="center"/>
    </xf>
    <xf numFmtId="0" fontId="5" fillId="2" borderId="31" xfId="0" applyFont="1" applyFill="1" applyBorder="1" applyAlignment="1" applyProtection="1">
      <alignment horizontal="left"/>
    </xf>
    <xf numFmtId="0" fontId="5" fillId="2" borderId="58" xfId="0" applyFont="1" applyFill="1" applyBorder="1" applyAlignment="1" applyProtection="1">
      <alignment horizontal="left"/>
    </xf>
    <xf numFmtId="0" fontId="5" fillId="2" borderId="32" xfId="0" applyFont="1" applyFill="1" applyBorder="1" applyAlignment="1" applyProtection="1">
      <alignment horizontal="left"/>
    </xf>
    <xf numFmtId="0" fontId="0" fillId="0" borderId="13" xfId="0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Alignment="1" applyProtection="1">
      <alignment horizontal="left" vertical="center"/>
    </xf>
    <xf numFmtId="1" fontId="0" fillId="0" borderId="0" xfId="0" applyNumberForma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5" fillId="6" borderId="10" xfId="0" applyFont="1" applyFill="1" applyBorder="1" applyAlignment="1" applyProtection="1">
      <alignment horizontal="left"/>
    </xf>
    <xf numFmtId="0" fontId="5" fillId="6" borderId="11" xfId="0" applyFont="1" applyFill="1" applyBorder="1" applyAlignment="1" applyProtection="1">
      <alignment horizontal="left"/>
    </xf>
    <xf numFmtId="0" fontId="5" fillId="6" borderId="12" xfId="0" applyFont="1" applyFill="1" applyBorder="1" applyAlignment="1" applyProtection="1">
      <alignment horizontal="left"/>
    </xf>
    <xf numFmtId="0" fontId="18" fillId="6" borderId="10" xfId="0" applyFont="1" applyFill="1" applyBorder="1" applyAlignment="1">
      <alignment horizontal="left"/>
    </xf>
    <xf numFmtId="0" fontId="18" fillId="6" borderId="11" xfId="0" applyFont="1" applyFill="1" applyBorder="1" applyAlignment="1">
      <alignment horizontal="left"/>
    </xf>
    <xf numFmtId="0" fontId="18" fillId="6" borderId="12" xfId="0" applyFont="1" applyFill="1" applyBorder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2" borderId="12" xfId="0" applyFont="1" applyFill="1" applyBorder="1" applyAlignment="1">
      <alignment horizontal="center"/>
    </xf>
    <xf numFmtId="0" fontId="3" fillId="2" borderId="35" xfId="0" applyFont="1" applyFill="1" applyBorder="1" applyAlignment="1">
      <alignment horizontal="right" vertical="center"/>
    </xf>
    <xf numFmtId="0" fontId="3" fillId="2" borderId="22" xfId="0" applyFont="1" applyFill="1" applyBorder="1" applyAlignment="1">
      <alignment horizontal="right" vertical="center"/>
    </xf>
    <xf numFmtId="0" fontId="3" fillId="2" borderId="13" xfId="0" applyFont="1" applyFill="1" applyBorder="1" applyAlignment="1">
      <alignment horizontal="right" vertical="center"/>
    </xf>
    <xf numFmtId="0" fontId="28" fillId="0" borderId="13" xfId="0" applyFont="1" applyBorder="1" applyAlignment="1" applyProtection="1">
      <alignment horizontal="left" vertical="center"/>
      <protection locked="0"/>
    </xf>
    <xf numFmtId="0" fontId="18" fillId="2" borderId="2" xfId="0" applyFont="1" applyFill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5" fillId="2" borderId="13" xfId="0" applyFont="1" applyFill="1" applyBorder="1" applyAlignment="1">
      <alignment horizontal="center"/>
    </xf>
    <xf numFmtId="0" fontId="5" fillId="2" borderId="45" xfId="0" applyFont="1" applyFill="1" applyBorder="1" applyAlignment="1">
      <alignment horizontal="center"/>
    </xf>
    <xf numFmtId="0" fontId="5" fillId="2" borderId="35" xfId="0" applyFont="1" applyFill="1" applyBorder="1" applyAlignment="1">
      <alignment horizontal="center"/>
    </xf>
    <xf numFmtId="0" fontId="5" fillId="2" borderId="22" xfId="0" applyFont="1" applyFill="1" applyBorder="1" applyAlignment="1">
      <alignment horizontal="center"/>
    </xf>
    <xf numFmtId="0" fontId="5" fillId="2" borderId="36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5" fillId="2" borderId="15" xfId="0" applyFont="1" applyFill="1" applyBorder="1" applyAlignment="1">
      <alignment horizontal="center"/>
    </xf>
    <xf numFmtId="0" fontId="5" fillId="2" borderId="16" xfId="0" applyFont="1" applyFill="1" applyBorder="1" applyAlignment="1">
      <alignment horizontal="center"/>
    </xf>
    <xf numFmtId="0" fontId="0" fillId="0" borderId="10" xfId="0" applyBorder="1" applyAlignment="1" applyProtection="1">
      <alignment horizontal="left" vertical="center"/>
    </xf>
    <xf numFmtId="0" fontId="0" fillId="0" borderId="11" xfId="0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/>
    </xf>
    <xf numFmtId="0" fontId="3" fillId="0" borderId="5" xfId="0" applyFont="1" applyFill="1" applyBorder="1" applyAlignment="1">
      <alignment horizontal="center" vertical="top" wrapText="1"/>
    </xf>
    <xf numFmtId="0" fontId="0" fillId="0" borderId="35" xfId="0" applyBorder="1" applyAlignment="1" applyProtection="1">
      <alignment horizontal="left"/>
      <protection locked="0"/>
    </xf>
    <xf numFmtId="0" fontId="0" fillId="0" borderId="22" xfId="0" applyBorder="1" applyAlignment="1" applyProtection="1">
      <alignment horizontal="left"/>
      <protection locked="0"/>
    </xf>
    <xf numFmtId="0" fontId="0" fillId="0" borderId="36" xfId="0" applyBorder="1" applyAlignment="1" applyProtection="1">
      <alignment horizontal="left"/>
      <protection locked="0"/>
    </xf>
    <xf numFmtId="2" fontId="29" fillId="0" borderId="10" xfId="0" applyNumberFormat="1" applyFont="1" applyBorder="1" applyAlignment="1" applyProtection="1">
      <alignment horizontal="center" vertical="center"/>
      <protection locked="0"/>
    </xf>
    <xf numFmtId="2" fontId="29" fillId="0" borderId="11" xfId="0" applyNumberFormat="1" applyFont="1" applyBorder="1" applyAlignment="1" applyProtection="1">
      <alignment horizontal="center" vertical="center"/>
      <protection locked="0"/>
    </xf>
    <xf numFmtId="2" fontId="29" fillId="0" borderId="12" xfId="0" applyNumberFormat="1" applyFont="1" applyBorder="1" applyAlignment="1" applyProtection="1">
      <alignment horizontal="center" vertical="center"/>
      <protection locked="0"/>
    </xf>
    <xf numFmtId="0" fontId="3" fillId="2" borderId="35" xfId="0" applyFont="1" applyFill="1" applyBorder="1" applyAlignment="1">
      <alignment horizontal="right"/>
    </xf>
    <xf numFmtId="0" fontId="3" fillId="2" borderId="22" xfId="0" applyFont="1" applyFill="1" applyBorder="1" applyAlignment="1">
      <alignment horizontal="right"/>
    </xf>
    <xf numFmtId="2" fontId="29" fillId="0" borderId="31" xfId="0" applyNumberFormat="1" applyFont="1" applyBorder="1" applyAlignment="1" applyProtection="1">
      <alignment horizontal="center" vertical="center"/>
      <protection locked="0"/>
    </xf>
    <xf numFmtId="2" fontId="29" fillId="0" borderId="44" xfId="0" applyNumberFormat="1" applyFont="1" applyBorder="1" applyAlignment="1" applyProtection="1">
      <alignment horizontal="center" vertical="center"/>
      <protection locked="0"/>
    </xf>
    <xf numFmtId="2" fontId="29" fillId="0" borderId="32" xfId="0" applyNumberFormat="1" applyFont="1" applyBorder="1" applyAlignment="1" applyProtection="1">
      <alignment horizontal="center" vertical="center"/>
      <protection locked="0"/>
    </xf>
    <xf numFmtId="0" fontId="5" fillId="0" borderId="0" xfId="0" applyFont="1" applyBorder="1" applyAlignment="1">
      <alignment horizontal="center" vertical="center" wrapText="1"/>
    </xf>
    <xf numFmtId="0" fontId="3" fillId="2" borderId="36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0" fontId="3" fillId="2" borderId="36" xfId="0" applyFont="1" applyFill="1" applyBorder="1" applyAlignment="1">
      <alignment horizontal="center"/>
    </xf>
    <xf numFmtId="1" fontId="5" fillId="0" borderId="0" xfId="0" applyNumberFormat="1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29" fillId="0" borderId="10" xfId="0" applyFont="1" applyBorder="1" applyAlignment="1" applyProtection="1">
      <alignment horizontal="center" vertical="center"/>
      <protection locked="0"/>
    </xf>
    <xf numFmtId="0" fontId="29" fillId="0" borderId="11" xfId="0" applyFont="1" applyBorder="1" applyAlignment="1" applyProtection="1">
      <alignment horizontal="center" vertical="center"/>
      <protection locked="0"/>
    </xf>
    <xf numFmtId="0" fontId="29" fillId="0" borderId="12" xfId="0" applyFont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/>
      <protection locked="0"/>
    </xf>
    <xf numFmtId="0" fontId="3" fillId="0" borderId="17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5" fillId="2" borderId="35" xfId="0" applyFont="1" applyFill="1" applyBorder="1" applyAlignment="1">
      <alignment horizontal="right"/>
    </xf>
    <xf numFmtId="0" fontId="15" fillId="2" borderId="36" xfId="0" applyFont="1" applyFill="1" applyBorder="1" applyAlignment="1">
      <alignment horizontal="right"/>
    </xf>
    <xf numFmtId="1" fontId="29" fillId="0" borderId="10" xfId="0" applyNumberFormat="1" applyFont="1" applyBorder="1" applyAlignment="1" applyProtection="1">
      <alignment horizontal="center" vertical="center"/>
      <protection locked="0"/>
    </xf>
    <xf numFmtId="0" fontId="18" fillId="2" borderId="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0" fontId="18" fillId="2" borderId="4" xfId="0" applyFont="1" applyFill="1" applyBorder="1" applyAlignment="1">
      <alignment horizontal="center"/>
    </xf>
    <xf numFmtId="0" fontId="18" fillId="2" borderId="7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165" fontId="29" fillId="0" borderId="10" xfId="0" applyNumberFormat="1" applyFont="1" applyBorder="1" applyAlignment="1" applyProtection="1">
      <alignment horizontal="center" vertical="center"/>
      <protection locked="0"/>
    </xf>
    <xf numFmtId="165" fontId="29" fillId="0" borderId="11" xfId="0" applyNumberFormat="1" applyFont="1" applyBorder="1" applyAlignment="1" applyProtection="1">
      <alignment horizontal="center" vertical="center"/>
      <protection locked="0"/>
    </xf>
    <xf numFmtId="165" fontId="29" fillId="0" borderId="12" xfId="0" applyNumberFormat="1" applyFont="1" applyBorder="1" applyAlignment="1" applyProtection="1">
      <alignment horizontal="center" vertical="center"/>
      <protection locked="0"/>
    </xf>
    <xf numFmtId="166" fontId="29" fillId="0" borderId="10" xfId="0" applyNumberFormat="1" applyFont="1" applyBorder="1" applyAlignment="1" applyProtection="1">
      <alignment horizontal="center"/>
      <protection locked="0"/>
    </xf>
    <xf numFmtId="166" fontId="29" fillId="0" borderId="12" xfId="0" applyNumberFormat="1" applyFont="1" applyBorder="1" applyAlignment="1" applyProtection="1">
      <alignment horizontal="center"/>
      <protection locked="0"/>
    </xf>
    <xf numFmtId="0" fontId="29" fillId="0" borderId="10" xfId="0" applyFont="1" applyBorder="1" applyAlignment="1" applyProtection="1">
      <alignment horizontal="center" vertical="center" shrinkToFit="1"/>
      <protection locked="0"/>
    </xf>
    <xf numFmtId="0" fontId="29" fillId="0" borderId="11" xfId="0" applyFont="1" applyBorder="1" applyAlignment="1" applyProtection="1">
      <alignment horizontal="center" vertical="center" shrinkToFit="1"/>
      <protection locked="0"/>
    </xf>
    <xf numFmtId="0" fontId="29" fillId="0" borderId="12" xfId="0" applyFont="1" applyBorder="1" applyAlignment="1" applyProtection="1">
      <alignment horizontal="center" vertical="center" shrinkToFit="1"/>
      <protection locked="0"/>
    </xf>
    <xf numFmtId="165" fontId="29" fillId="0" borderId="10" xfId="0" applyNumberFormat="1" applyFont="1" applyBorder="1" applyAlignment="1">
      <alignment horizontal="center" vertical="center"/>
    </xf>
    <xf numFmtId="165" fontId="29" fillId="0" borderId="12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15" fillId="0" borderId="3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3" fillId="7" borderId="39" xfId="0" applyFont="1" applyFill="1" applyBorder="1" applyAlignment="1">
      <alignment horizontal="center" vertical="center" shrinkToFit="1"/>
    </xf>
    <xf numFmtId="0" fontId="3" fillId="7" borderId="22" xfId="0" applyFont="1" applyFill="1" applyBorder="1" applyAlignment="1">
      <alignment horizontal="center" vertical="center" shrinkToFit="1"/>
    </xf>
    <xf numFmtId="0" fontId="3" fillId="7" borderId="51" xfId="0" applyFont="1" applyFill="1" applyBorder="1" applyAlignment="1">
      <alignment horizontal="center" vertical="center" shrinkToFit="1"/>
    </xf>
    <xf numFmtId="166" fontId="29" fillId="0" borderId="10" xfId="0" applyNumberFormat="1" applyFont="1" applyBorder="1" applyAlignment="1" applyProtection="1">
      <alignment horizontal="center" vertical="center"/>
      <protection locked="0"/>
    </xf>
    <xf numFmtId="166" fontId="29" fillId="0" borderId="12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2" fontId="29" fillId="0" borderId="10" xfId="0" applyNumberFormat="1" applyFont="1" applyBorder="1" applyAlignment="1" applyProtection="1">
      <alignment horizontal="center" vertical="center" shrinkToFit="1"/>
      <protection locked="0"/>
    </xf>
    <xf numFmtId="0" fontId="29" fillId="0" borderId="11" xfId="0" applyNumberFormat="1" applyFont="1" applyBorder="1" applyAlignment="1" applyProtection="1">
      <alignment horizontal="center" vertical="center" shrinkToFit="1"/>
      <protection locked="0"/>
    </xf>
    <xf numFmtId="0" fontId="29" fillId="0" borderId="12" xfId="0" applyNumberFormat="1" applyFont="1" applyBorder="1" applyAlignment="1" applyProtection="1">
      <alignment horizontal="center" vertical="center" shrinkToFit="1"/>
      <protection locked="0"/>
    </xf>
    <xf numFmtId="12" fontId="29" fillId="0" borderId="10" xfId="0" applyNumberFormat="1" applyFont="1" applyBorder="1" applyAlignment="1" applyProtection="1">
      <alignment horizontal="center" vertical="center"/>
      <protection locked="0"/>
    </xf>
    <xf numFmtId="0" fontId="29" fillId="0" borderId="12" xfId="0" applyNumberFormat="1" applyFont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18" fillId="6" borderId="2" xfId="0" applyFont="1" applyFill="1" applyBorder="1" applyAlignment="1">
      <alignment horizontal="center"/>
    </xf>
    <xf numFmtId="0" fontId="18" fillId="6" borderId="3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67" fontId="29" fillId="0" borderId="10" xfId="0" applyNumberFormat="1" applyFont="1" applyBorder="1" applyAlignment="1" applyProtection="1">
      <alignment horizontal="center" vertical="center"/>
      <protection locked="0"/>
    </xf>
    <xf numFmtId="167" fontId="29" fillId="0" borderId="12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right" vertical="center"/>
    </xf>
    <xf numFmtId="0" fontId="30" fillId="7" borderId="14" xfId="0" applyFont="1" applyFill="1" applyBorder="1" applyAlignment="1">
      <alignment horizontal="center" vertical="center"/>
    </xf>
    <xf numFmtId="0" fontId="30" fillId="7" borderId="15" xfId="0" applyFont="1" applyFill="1" applyBorder="1" applyAlignment="1">
      <alignment horizontal="center" vertical="center"/>
    </xf>
    <xf numFmtId="0" fontId="30" fillId="7" borderId="16" xfId="0" applyFont="1" applyFill="1" applyBorder="1" applyAlignment="1">
      <alignment horizontal="center" vertical="center"/>
    </xf>
    <xf numFmtId="0" fontId="30" fillId="7" borderId="19" xfId="0" applyFont="1" applyFill="1" applyBorder="1" applyAlignment="1">
      <alignment horizontal="center" vertical="center"/>
    </xf>
    <xf numFmtId="0" fontId="30" fillId="7" borderId="20" xfId="0" applyFont="1" applyFill="1" applyBorder="1" applyAlignment="1">
      <alignment horizontal="center" vertical="center"/>
    </xf>
    <xf numFmtId="0" fontId="30" fillId="7" borderId="21" xfId="0" applyFont="1" applyFill="1" applyBorder="1" applyAlignment="1">
      <alignment horizontal="center" vertical="center"/>
    </xf>
    <xf numFmtId="1" fontId="30" fillId="7" borderId="35" xfId="0" applyNumberFormat="1" applyFont="1" applyFill="1" applyBorder="1" applyAlignment="1">
      <alignment horizontal="center" vertical="center"/>
    </xf>
    <xf numFmtId="1" fontId="30" fillId="7" borderId="36" xfId="0" applyNumberFormat="1" applyFont="1" applyFill="1" applyBorder="1" applyAlignment="1">
      <alignment horizontal="center" vertical="center"/>
    </xf>
    <xf numFmtId="0" fontId="0" fillId="0" borderId="35" xfId="0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0" fillId="0" borderId="36" xfId="0" applyBorder="1" applyAlignment="1" applyProtection="1">
      <alignment horizontal="center"/>
      <protection locked="0"/>
    </xf>
    <xf numFmtId="0" fontId="4" fillId="5" borderId="2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0" fillId="0" borderId="10" xfId="0" applyFont="1" applyBorder="1" applyAlignment="1">
      <alignment horizontal="center" vertical="center" shrinkToFit="1"/>
    </xf>
    <xf numFmtId="0" fontId="0" fillId="0" borderId="11" xfId="0" applyFont="1" applyBorder="1" applyAlignment="1">
      <alignment horizontal="center" vertical="center" shrinkToFit="1"/>
    </xf>
    <xf numFmtId="0" fontId="0" fillId="0" borderId="12" xfId="0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/>
    </xf>
    <xf numFmtId="0" fontId="38" fillId="0" borderId="22" xfId="0" applyFont="1" applyBorder="1" applyAlignment="1">
      <alignment horizontal="center"/>
    </xf>
    <xf numFmtId="0" fontId="44" fillId="0" borderId="15" xfId="0" applyFont="1" applyBorder="1" applyAlignment="1">
      <alignment horizontal="center" vertical="center"/>
    </xf>
    <xf numFmtId="0" fontId="44" fillId="0" borderId="20" xfId="0" applyFont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0" fillId="0" borderId="10" xfId="0" applyBorder="1" applyAlignment="1" applyProtection="1">
      <alignment horizontal="left" vertical="top"/>
      <protection locked="0"/>
    </xf>
    <xf numFmtId="0" fontId="0" fillId="0" borderId="12" xfId="0" applyBorder="1" applyAlignment="1" applyProtection="1">
      <alignment horizontal="left" vertical="top"/>
      <protection locked="0"/>
    </xf>
    <xf numFmtId="0" fontId="0" fillId="0" borderId="22" xfId="0" applyBorder="1" applyAlignment="1">
      <alignment horizontal="center"/>
    </xf>
    <xf numFmtId="0" fontId="38" fillId="0" borderId="22" xfId="0" applyFont="1" applyBorder="1" applyAlignment="1">
      <alignment horizontal="center" vertical="center"/>
    </xf>
    <xf numFmtId="1" fontId="0" fillId="0" borderId="35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0" fontId="0" fillId="0" borderId="15" xfId="0" applyBorder="1" applyAlignment="1">
      <alignment horizontal="center" wrapText="1"/>
    </xf>
    <xf numFmtId="0" fontId="5" fillId="2" borderId="22" xfId="0" applyFont="1" applyFill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18" fillId="2" borderId="22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0" fillId="0" borderId="0" xfId="0" applyAlignment="1">
      <alignment horizontal="left" vertical="center" wrapText="1"/>
    </xf>
    <xf numFmtId="0" fontId="15" fillId="0" borderId="20" xfId="0" applyFont="1" applyBorder="1" applyAlignment="1">
      <alignment horizontal="right" vertical="center"/>
    </xf>
    <xf numFmtId="0" fontId="38" fillId="2" borderId="22" xfId="0" applyFont="1" applyFill="1" applyBorder="1" applyAlignment="1">
      <alignment horizontal="center" vertical="center"/>
    </xf>
    <xf numFmtId="0" fontId="38" fillId="2" borderId="22" xfId="0" applyFont="1" applyFill="1" applyBorder="1" applyAlignment="1">
      <alignment horizontal="center"/>
    </xf>
    <xf numFmtId="0" fontId="15" fillId="0" borderId="22" xfId="0" applyFont="1" applyBorder="1" applyAlignment="1">
      <alignment horizontal="left" vertical="center"/>
    </xf>
    <xf numFmtId="0" fontId="3" fillId="0" borderId="22" xfId="0" applyFont="1" applyFill="1" applyBorder="1" applyAlignment="1">
      <alignment horizontal="center" vertical="center"/>
    </xf>
    <xf numFmtId="0" fontId="18" fillId="2" borderId="22" xfId="0" applyFont="1" applyFill="1" applyBorder="1" applyAlignment="1">
      <alignment horizontal="center"/>
    </xf>
    <xf numFmtId="0" fontId="15" fillId="0" borderId="20" xfId="0" applyFont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5" fillId="2" borderId="22" xfId="0" applyFont="1" applyFill="1" applyBorder="1" applyAlignment="1">
      <alignment horizontal="left"/>
    </xf>
    <xf numFmtId="0" fontId="0" fillId="0" borderId="17" xfId="0" applyBorder="1" applyAlignment="1">
      <alignment horizontal="center"/>
    </xf>
    <xf numFmtId="0" fontId="19" fillId="0" borderId="22" xfId="0" applyFont="1" applyBorder="1" applyAlignment="1">
      <alignment horizontal="left"/>
    </xf>
    <xf numFmtId="165" fontId="0" fillId="0" borderId="35" xfId="0" applyNumberFormat="1" applyBorder="1" applyAlignment="1">
      <alignment horizontal="center" vertical="center"/>
    </xf>
    <xf numFmtId="165" fontId="0" fillId="0" borderId="36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left" vertical="top"/>
    </xf>
    <xf numFmtId="0" fontId="3" fillId="0" borderId="1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15" fillId="2" borderId="13" xfId="0" applyFont="1" applyFill="1" applyBorder="1" applyAlignment="1">
      <alignment horizontal="center"/>
    </xf>
    <xf numFmtId="2" fontId="0" fillId="0" borderId="36" xfId="0" applyNumberForma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left" vertical="center"/>
    </xf>
    <xf numFmtId="0" fontId="18" fillId="2" borderId="22" xfId="0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15" fillId="0" borderId="0" xfId="0" applyFont="1" applyAlignment="1">
      <alignment horizontal="right" vertical="center" wrapText="1"/>
    </xf>
    <xf numFmtId="166" fontId="0" fillId="0" borderId="13" xfId="0" applyNumberFormat="1" applyBorder="1" applyAlignment="1">
      <alignment horizontal="center" vertical="center"/>
    </xf>
    <xf numFmtId="0" fontId="15" fillId="0" borderId="18" xfId="0" applyFont="1" applyBorder="1" applyAlignment="1">
      <alignment horizontal="right" vertical="center"/>
    </xf>
    <xf numFmtId="0" fontId="15" fillId="0" borderId="0" xfId="0" applyFont="1" applyAlignment="1">
      <alignment horizontal="right"/>
    </xf>
    <xf numFmtId="0" fontId="15" fillId="0" borderId="18" xfId="0" applyFont="1" applyBorder="1" applyAlignment="1">
      <alignment horizontal="right"/>
    </xf>
    <xf numFmtId="0" fontId="3" fillId="2" borderId="22" xfId="0" applyFont="1" applyFill="1" applyBorder="1" applyAlignment="1">
      <alignment horizontal="left" vertical="center"/>
    </xf>
    <xf numFmtId="0" fontId="0" fillId="0" borderId="35" xfId="0" applyFont="1" applyBorder="1" applyAlignment="1">
      <alignment horizontal="left" vertical="center"/>
    </xf>
    <xf numFmtId="0" fontId="0" fillId="0" borderId="36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/>
    </xf>
    <xf numFmtId="0" fontId="15" fillId="2" borderId="1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0" fillId="0" borderId="16" xfId="0" applyBorder="1" applyAlignment="1">
      <alignment horizontal="left"/>
    </xf>
    <xf numFmtId="0" fontId="0" fillId="0" borderId="50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center"/>
    </xf>
  </cellXfs>
  <cellStyles count="4">
    <cellStyle name="Comma" xfId="2" builtinId="3"/>
    <cellStyle name="Hyperlink" xfId="3" builtinId="8"/>
    <cellStyle name="Normal" xfId="0" builtinId="0"/>
    <cellStyle name="Percent" xfId="1" builtinId="5"/>
  </cellStyles>
  <dxfs count="490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color theme="1"/>
      </font>
    </dxf>
    <dxf>
      <font>
        <b val="0"/>
        <i val="0"/>
        <color theme="1"/>
      </font>
    </dxf>
    <dxf>
      <font>
        <b val="0"/>
        <i val="0"/>
        <color theme="1"/>
      </font>
    </dxf>
    <dxf>
      <font>
        <b val="0"/>
        <i val="0"/>
        <color theme="1"/>
      </font>
    </dxf>
    <dxf>
      <font>
        <b val="0"/>
        <i val="0"/>
        <color theme="1"/>
      </font>
    </dxf>
    <dxf>
      <font>
        <b val="0"/>
        <i val="0"/>
        <color theme="1"/>
      </font>
    </dxf>
    <dxf>
      <font>
        <b val="0"/>
        <i val="0"/>
        <color theme="1"/>
      </font>
    </dxf>
    <dxf>
      <font>
        <b val="0"/>
        <i val="0"/>
        <color theme="1"/>
      </font>
    </dxf>
    <dxf>
      <font>
        <b val="0"/>
        <i val="0"/>
        <color theme="1"/>
      </font>
    </dxf>
    <dxf>
      <font>
        <b val="0"/>
        <i val="0"/>
        <color theme="1"/>
      </font>
    </dxf>
    <dxf>
      <font>
        <b val="0"/>
        <i val="0"/>
        <color theme="1"/>
      </font>
    </dxf>
    <dxf>
      <font>
        <b val="0"/>
        <i val="0"/>
        <color theme="1"/>
      </font>
    </dxf>
    <dxf>
      <font>
        <b val="0"/>
        <i val="0"/>
        <color theme="1"/>
      </font>
    </dxf>
    <dxf>
      <font>
        <b val="0"/>
        <i val="0"/>
        <color theme="1"/>
      </font>
    </dxf>
    <dxf>
      <font>
        <b val="0"/>
        <i val="0"/>
        <color theme="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7030A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auto="1"/>
      </font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Lines="10" dropStyle="combo" dx="22" fmlaLink="Unformatted!F4" fmlaRange="Data!$F$2:$F$11" noThreeD="1" sel="3" val="0"/>
</file>

<file path=xl/ctrlProps/ctrlProp2.xml><?xml version="1.0" encoding="utf-8"?>
<formControlPr xmlns="http://schemas.microsoft.com/office/spreadsheetml/2009/9/main" objectType="Drop" dropLines="14" dropStyle="combo" dx="22" fmlaLink="Unformatted!F5" fmlaRange="Data!D2:D15" noThreeD="1" sel="1" val="0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Radio" checked="Checked" firstButton="1" fmlaLink="Unformatted!$F$22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Drop" dropStyle="combo" dx="22" fmlaLink="Unformatted!$F$23" fmlaRange="Data!$BY$2:$BY$3" noThreeD="1" sel="1" val="0"/>
</file>

<file path=xl/ctrlProps/ctrlProp7.xml><?xml version="1.0" encoding="utf-8"?>
<formControlPr xmlns="http://schemas.microsoft.com/office/spreadsheetml/2009/9/main" objectType="Drop" dropStyle="combo" dx="22" fmlaLink="Unformatted!$F$29" fmlaRange="Data!$CA$2:$CA$9" noThreeD="1" sel="2" val="0"/>
</file>

<file path=xl/ctrlProps/ctrlProp8.xml><?xml version="1.0" encoding="utf-8"?>
<formControlPr xmlns="http://schemas.microsoft.com/office/spreadsheetml/2009/9/main" objectType="Drop" dropStyle="combo" dx="22" fmlaLink="Unformatted!$F$30" fmlaRange="Data!$CC$2:$CC$7" noThreeD="1" sel="4" val="0"/>
</file>

<file path=xl/ctrlProps/ctrlProp9.xml><?xml version="1.0" encoding="utf-8"?>
<formControlPr xmlns="http://schemas.microsoft.com/office/spreadsheetml/2009/9/main" objectType="Drop" dropStyle="combo" dx="22" fmlaLink="Unformatted!$F$31" fmlaRange="Data!$CC$2:$CC$7" noThreeD="1" sel="3" val="0"/>
</file>

<file path=xl/ctrlProps/ctrlProp10.xml><?xml version="1.0" encoding="utf-8"?>
<formControlPr xmlns="http://schemas.microsoft.com/office/spreadsheetml/2009/9/main" objectType="Drop" dropStyle="combo" dx="22" fmlaLink="Unformatted!$F$19" fmlaRange="Data!$J$2:$J$7" noThreeD="1" sel="5" val="0"/>
</file>

<file path=xl/ctrlProps/ctrlProp11.xml><?xml version="1.0" encoding="utf-8"?>
<formControlPr xmlns="http://schemas.microsoft.com/office/spreadsheetml/2009/9/main" objectType="Drop" dropLines="12" dropStyle="combo" dx="22" fmlaLink="Unformatted!$F$21" fmlaRange="Data!$H$2:$H$12" noThreeD="1" sel="6" val="0"/>
</file>

<file path=xl/ctrlProps/ctrlProp12.xml><?xml version="1.0" encoding="utf-8"?>
<formControlPr xmlns="http://schemas.microsoft.com/office/spreadsheetml/2009/9/main" objectType="Radio" firstButton="1" fmlaLink="Unformatted!F48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CheckBox" checked="Checked" fmlaLink="Unformatted!E50" lockText="1" noThreeD="1"/>
</file>

<file path=xl/ctrlProps/ctrlProp15.xml><?xml version="1.0" encoding="utf-8"?>
<formControlPr xmlns="http://schemas.microsoft.com/office/spreadsheetml/2009/9/main" objectType="CheckBox" fmlaLink="Unformatted!E51" lockText="1" noThreeD="1"/>
</file>

<file path=xl/ctrlProps/ctrlProp16.xml><?xml version="1.0" encoding="utf-8"?>
<formControlPr xmlns="http://schemas.microsoft.com/office/spreadsheetml/2009/9/main" objectType="CheckBox" fmlaLink="Unformatted!E49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CheckBox" fmlaLink="Unformatted!F65" lockText="1" noThreeD="1"/>
</file>

<file path=xl/ctrlProps/ctrlProp19.xml><?xml version="1.0" encoding="utf-8"?>
<formControlPr xmlns="http://schemas.microsoft.com/office/spreadsheetml/2009/9/main" objectType="CheckBox" fmlaLink="Unformatted!F63" lockText="1" noThreeD="1"/>
</file>

<file path=xl/ctrlProps/ctrlProp20.xml><?xml version="1.0" encoding="utf-8"?>
<formControlPr xmlns="http://schemas.microsoft.com/office/spreadsheetml/2009/9/main" objectType="CheckBox" fmlaLink="Unformatted!G63" lockText="1" noThreeD="1"/>
</file>

<file path=xl/ctrlProps/ctrlProp21.xml><?xml version="1.0" encoding="utf-8"?>
<formControlPr xmlns="http://schemas.microsoft.com/office/spreadsheetml/2009/9/main" objectType="Radio" firstButton="1" fmlaLink="Unformatted!$F$57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CheckBox" fmlaLink="Unformatted!$E$52" noThreeD="1"/>
</file>

<file path=xl/ctrlProps/ctrlProp26.xml><?xml version="1.0" encoding="utf-8"?>
<formControlPr xmlns="http://schemas.microsoft.com/office/spreadsheetml/2009/9/main" objectType="CheckBox" fmlaLink="Unformatted!$H$63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CheckBox" fmlaLink="Unformatted!$E$53" lockText="1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Radio" firstButton="1" fmlaLink="Unformatted!F56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Drop" dropLines="5" dropStyle="combo" dx="22" fmlaLink="Unformatted!$F$80" fmlaRange="Data!$CY$2:$CY$6" noThreeD="1" sel="1" val="0"/>
</file>

<file path=xl/ctrlProps/ctrlProp33.xml><?xml version="1.0" encoding="utf-8"?>
<formControlPr xmlns="http://schemas.microsoft.com/office/spreadsheetml/2009/9/main" objectType="Drop" dropLines="15" dropStyle="combo" dx="22" fmlaLink="Unformatted!$F$79" fmlaRange="Data!$DA$2:$DA$166" noThreeD="1" sel="1" val="0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CheckBox" checked="Checked" fmlaLink="Unformatted!$E$70" lockText="1" noThreeD="1"/>
</file>

<file path=xl/ctrlProps/ctrlProp36.xml><?xml version="1.0" encoding="utf-8"?>
<formControlPr xmlns="http://schemas.microsoft.com/office/spreadsheetml/2009/9/main" objectType="CheckBox" fmlaLink="Unformatted!$E$72" lockText="1" noThreeD="1"/>
</file>

<file path=xl/ctrlProps/ctrlProp37.xml><?xml version="1.0" encoding="utf-8"?>
<formControlPr xmlns="http://schemas.microsoft.com/office/spreadsheetml/2009/9/main" objectType="CheckBox" fmlaLink="Unformatted!$E$71" lockText="1" noThreeD="1"/>
</file>

<file path=xl/ctrlProps/ctrlProp38.xml><?xml version="1.0" encoding="utf-8"?>
<formControlPr xmlns="http://schemas.microsoft.com/office/spreadsheetml/2009/9/main" objectType="CheckBox" fmlaLink="Unformatted!$E$73" lockText="1" noThreeD="1"/>
</file>

<file path=xl/ctrlProps/ctrlProp39.xml><?xml version="1.0" encoding="utf-8"?>
<formControlPr xmlns="http://schemas.microsoft.com/office/spreadsheetml/2009/9/main" objectType="CheckBox" fmlaLink="Unformatted!$E$69" lockText="1" noThreeD="1"/>
</file>

<file path=xl/ctrlProps/ctrlProp40.xml><?xml version="1.0" encoding="utf-8"?>
<formControlPr xmlns="http://schemas.microsoft.com/office/spreadsheetml/2009/9/main" objectType="CheckBox" fmlaLink="Unformatted!$E$74" lockText="1" noThreeD="1"/>
</file>

<file path=xl/ctrlProps/ctrlProp41.xml><?xml version="1.0" encoding="utf-8"?>
<formControlPr xmlns="http://schemas.microsoft.com/office/spreadsheetml/2009/9/main" objectType="Drop" dropLines="3" dropStyle="combo" dx="22" fmlaLink="Unformatted!$F$64" fmlaRange="Data!$P$2:$P$4" noThreeD="1" sel="1" val="0"/>
</file>

<file path=xl/ctrlProps/ctrlProp42.xml><?xml version="1.0" encoding="utf-8"?>
<formControlPr xmlns="http://schemas.microsoft.com/office/spreadsheetml/2009/9/main" objectType="Drop" dropStyle="combo" dx="22" fmlaLink="Unformatted!$F$62" fmlaRange="Data!$CW$2:$CW$6" noThreeD="1" sel="1" val="0"/>
</file>

<file path=xl/ctrlProps/ctrlProp43.xml><?xml version="1.0" encoding="utf-8"?>
<formControlPr xmlns="http://schemas.microsoft.com/office/spreadsheetml/2009/9/main" objectType="Radio" firstButton="1" fmlaLink="Unformatted!$F$61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checked="Checked" lockText="1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Radio" firstButton="1" fmlaLink="Unformatted!$F$76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Drop" dropLines="3" dropStyle="combo" dx="22" fmlaLink="Unformatted!F96" fmlaRange="Data!$P$2:$P$4" noThreeD="1" sel="1" val="0"/>
</file>

<file path=xl/ctrlProps/ctrlProp51.xml><?xml version="1.0" encoding="utf-8"?>
<formControlPr xmlns="http://schemas.microsoft.com/office/spreadsheetml/2009/9/main" objectType="Drop" dropStyle="combo" dx="22" fmlaLink="Unformatted!$F$90" fmlaRange="Data!$DG$2:$DG$7" noThreeD="1" sel="1" val="0"/>
</file>

<file path=xl/ctrlProps/ctrlProp52.xml><?xml version="1.0" encoding="utf-8"?>
<formControlPr xmlns="http://schemas.microsoft.com/office/spreadsheetml/2009/9/main" objectType="Drop" dropLines="3" dropStyle="combo" dx="22" fmlaLink="Unformatted!$F$105" fmlaRange="Data!$P$2:$P$4" noThreeD="1" sel="1" val="0"/>
</file>

<file path=xl/ctrlProps/ctrlProp53.xml><?xml version="1.0" encoding="utf-8"?>
<formControlPr xmlns="http://schemas.microsoft.com/office/spreadsheetml/2009/9/main" objectType="Drop" dropStyle="combo" dx="22" fmlaLink="Unformatted!$F$104" fmlaRange="Data!$DG$2:$DG$7" noThreeD="1" sel="1" val="0"/>
</file>

<file path=xl/ctrlProps/ctrlProp54.xml><?xml version="1.0" encoding="utf-8"?>
<formControlPr xmlns="http://schemas.microsoft.com/office/spreadsheetml/2009/9/main" objectType="Drop" dropLines="3" dropStyle="combo" dx="22" fmlaLink="Unformatted!$F$112" fmlaRange="Data!$P$2:$P$4" noThreeD="1" sel="1" val="0"/>
</file>

<file path=xl/ctrlProps/ctrlProp55.xml><?xml version="1.0" encoding="utf-8"?>
<formControlPr xmlns="http://schemas.microsoft.com/office/spreadsheetml/2009/9/main" objectType="Drop" dropStyle="combo" dx="22" fmlaLink="Unformatted!$F$111" fmlaRange="Data!$DG$2:$DG$7" noThreeD="1" sel="1" val="0"/>
</file>

<file path=xl/ctrlProps/ctrlProp56.xml><?xml version="1.0" encoding="utf-8"?>
<formControlPr xmlns="http://schemas.microsoft.com/office/spreadsheetml/2009/9/main" objectType="Drop" dropLines="3" dropStyle="combo" dx="22" fmlaLink="Unformatted!$F$121" fmlaRange="Data!$DM$2:$DM$4" noThreeD="1" sel="1" val="0"/>
</file>

<file path=xl/ctrlProps/ctrlProp57.xml><?xml version="1.0" encoding="utf-8"?>
<formControlPr xmlns="http://schemas.microsoft.com/office/spreadsheetml/2009/9/main" objectType="Drop" dropStyle="combo" dx="22" fmlaLink="Unformatted!$F$120" fmlaRange="Data!$DG$2:$DG$7" noThreeD="1" sel="1" val="0"/>
</file>

<file path=xl/ctrlProps/ctrlProp58.xml><?xml version="1.0" encoding="utf-8"?>
<formControlPr xmlns="http://schemas.microsoft.com/office/spreadsheetml/2009/9/main" objectType="Drop" dropStyle="combo" dx="22" fmlaLink="Unformatted!$F$94" fmlaRange="Data!$DK$2:$DK$5" noThreeD="1" sel="1" val="0"/>
</file>

<file path=xl/ctrlProps/ctrlProp59.xml><?xml version="1.0" encoding="utf-8"?>
<formControlPr xmlns="http://schemas.microsoft.com/office/spreadsheetml/2009/9/main" objectType="Drop" dropLines="3" dropStyle="combo" dx="22" fmlaLink="Unformatted!$F$122" fmlaRange="Data!$P$2:$P$4" noThreeD="1" sel="1" val="0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GBox" noThreeD="1"/>
</file>

<file path=xl/ctrlProps/ctrlProp62.xml><?xml version="1.0" encoding="utf-8"?>
<formControlPr xmlns="http://schemas.microsoft.com/office/spreadsheetml/2009/9/main" objectType="Drop" dropStyle="combo" dx="22" fmlaLink="Unformatted!F92" fmlaRange="Data!$DI$2:$DI$5" noThreeD="1" sel="1" val="0"/>
</file>

<file path=xl/ctrlProps/ctrlProp63.xml><?xml version="1.0" encoding="utf-8"?>
<formControlPr xmlns="http://schemas.microsoft.com/office/spreadsheetml/2009/9/main" objectType="GBox" noThreeD="1"/>
</file>

<file path=xl/ctrlProps/ctrlProp64.xml><?xml version="1.0" encoding="utf-8"?>
<formControlPr xmlns="http://schemas.microsoft.com/office/spreadsheetml/2009/9/main" objectType="Radio" firstButton="1" fmlaLink="Unformatted!F99" lockText="1" noThreeD="1"/>
</file>

<file path=xl/ctrlProps/ctrlProp65.xml><?xml version="1.0" encoding="utf-8"?>
<formControlPr xmlns="http://schemas.microsoft.com/office/spreadsheetml/2009/9/main" objectType="Radio" checked="Checked" lockText="1" noThreeD="1"/>
</file>

<file path=xl/ctrlProps/ctrlProp66.xml><?xml version="1.0" encoding="utf-8"?>
<formControlPr xmlns="http://schemas.microsoft.com/office/spreadsheetml/2009/9/main" objectType="GBox" noThreeD="1"/>
</file>

<file path=xl/ctrlProps/ctrlProp67.xml><?xml version="1.0" encoding="utf-8"?>
<formControlPr xmlns="http://schemas.microsoft.com/office/spreadsheetml/2009/9/main" objectType="Radio" firstButton="1" fmlaLink="Unformatted!$F$106" lockText="1" noThreeD="1"/>
</file>

<file path=xl/ctrlProps/ctrlProp68.xml><?xml version="1.0" encoding="utf-8"?>
<formControlPr xmlns="http://schemas.microsoft.com/office/spreadsheetml/2009/9/main" objectType="Radio" checked="Checked" lockText="1" noThreeD="1"/>
</file>

<file path=xl/ctrlProps/ctrlProp69.xml><?xml version="1.0" encoding="utf-8"?>
<formControlPr xmlns="http://schemas.microsoft.com/office/spreadsheetml/2009/9/main" objectType="GBox" noThreeD="1"/>
</file>

<file path=xl/ctrlProps/ctrlProp70.xml><?xml version="1.0" encoding="utf-8"?>
<formControlPr xmlns="http://schemas.microsoft.com/office/spreadsheetml/2009/9/main" objectType="Radio" firstButton="1" fmlaLink="Unformatted!F115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GBox" noThreeD="1"/>
</file>

<file path=xl/ctrlProps/ctrlProp73.xml><?xml version="1.0" encoding="utf-8"?>
<formControlPr xmlns="http://schemas.microsoft.com/office/spreadsheetml/2009/9/main" objectType="Radio" firstButton="1" fmlaLink="Unformatted!F85" lockText="1" noThreeD="1"/>
</file>

<file path=xl/ctrlProps/ctrlProp74.xml><?xml version="1.0" encoding="utf-8"?>
<formControlPr xmlns="http://schemas.microsoft.com/office/spreadsheetml/2009/9/main" objectType="Radio" checked="Checked" lockText="1" noThreeD="1"/>
</file>

<file path=xl/ctrlProps/ctrlProp75.xml><?xml version="1.0" encoding="utf-8"?>
<formControlPr xmlns="http://schemas.microsoft.com/office/spreadsheetml/2009/9/main" objectType="GBox" noThreeD="1"/>
</file>

<file path=xl/ctrlProps/ctrlProp76.xml><?xml version="1.0" encoding="utf-8"?>
<formControlPr xmlns="http://schemas.microsoft.com/office/spreadsheetml/2009/9/main" objectType="Radio" firstButton="1" fmlaLink="Unformatted!F128" lockText="1" noThreeD="1"/>
</file>

<file path=xl/ctrlProps/ctrlProp77.xml><?xml version="1.0" encoding="utf-8"?>
<formControlPr xmlns="http://schemas.microsoft.com/office/spreadsheetml/2009/9/main" objectType="Radio" lockText="1" noThreeD="1"/>
</file>

<file path=xl/ctrlProps/ctrlProp78.xml><?xml version="1.0" encoding="utf-8"?>
<formControlPr xmlns="http://schemas.microsoft.com/office/spreadsheetml/2009/9/main" objectType="Drop" dropLines="5" dropStyle="combo" dx="22" fmlaLink="Unformatted!F129" fmlaRange="Data!$R$2:$R$6" noThreeD="1" sel="1" val="0"/>
</file>

<file path=xl/ctrlProps/ctrlProp79.xml><?xml version="1.0" encoding="utf-8"?>
<formControlPr xmlns="http://schemas.microsoft.com/office/spreadsheetml/2009/9/main" objectType="GBox" noThreeD="1"/>
</file>

<file path=xl/ctrlProps/ctrlProp80.xml><?xml version="1.0" encoding="utf-8"?>
<formControlPr xmlns="http://schemas.microsoft.com/office/spreadsheetml/2009/9/main" objectType="Drop" dropLines="9" dropStyle="combo" dx="22" fmlaLink="Unformatted!$E$134" fmlaRange="Data!$V$2:$V$10" noThreeD="1" sel="1" val="0"/>
</file>

<file path=xl/ctrlProps/ctrlProp81.xml><?xml version="1.0" encoding="utf-8"?>
<formControlPr xmlns="http://schemas.microsoft.com/office/spreadsheetml/2009/9/main" objectType="Drop" dropLines="9" dropStyle="combo" dx="22" fmlaLink="Unformatted!$F$134" fmlaRange="Data!$V$2:$V$10" noThreeD="1" sel="1" val="0"/>
</file>

<file path=xl/ctrlProps/ctrlProp82.xml><?xml version="1.0" encoding="utf-8"?>
<formControlPr xmlns="http://schemas.microsoft.com/office/spreadsheetml/2009/9/main" objectType="Drop" dropLines="9" dropStyle="combo" dx="22" fmlaLink="Unformatted!$G$134" fmlaRange="Data!$V$2:$V$10" noThreeD="1" sel="1" val="0"/>
</file>

<file path=xl/ctrlProps/ctrlProp83.xml><?xml version="1.0" encoding="utf-8"?>
<formControlPr xmlns="http://schemas.microsoft.com/office/spreadsheetml/2009/9/main" objectType="Drop" dropLines="9" dropStyle="combo" dx="22" fmlaLink="Unformatted!$I$134" fmlaRange="Data!$V$2:$V$10" noThreeD="1" sel="1" val="0"/>
</file>

<file path=xl/ctrlProps/ctrlProp84.xml><?xml version="1.0" encoding="utf-8"?>
<formControlPr xmlns="http://schemas.microsoft.com/office/spreadsheetml/2009/9/main" objectType="Drop" dropLines="9" dropStyle="combo" dx="22" fmlaLink="Unformatted!$J$134" fmlaRange="Data!$V$2:$V$10" noThreeD="1" sel="1" val="0"/>
</file>

<file path=xl/ctrlProps/ctrlProp85.xml><?xml version="1.0" encoding="utf-8"?>
<formControlPr xmlns="http://schemas.microsoft.com/office/spreadsheetml/2009/9/main" objectType="Drop" dropLines="9" dropStyle="combo" dx="22" fmlaLink="Unformatted!$K$134" fmlaRange="Data!$V$2:$V$10" noThreeD="1" sel="1" val="0"/>
</file>

<file path=xl/ctrlProps/ctrlProp86.xml><?xml version="1.0" encoding="utf-8"?>
<formControlPr xmlns="http://schemas.microsoft.com/office/spreadsheetml/2009/9/main" objectType="Drop" dropLines="9" dropStyle="combo" dx="22" fmlaLink="Unformatted!$L$134" fmlaRange="Data!$V$2:$V$10" noThreeD="1" sel="1" val="0"/>
</file>

<file path=xl/ctrlProps/ctrlProp87.xml><?xml version="1.0" encoding="utf-8"?>
<formControlPr xmlns="http://schemas.microsoft.com/office/spreadsheetml/2009/9/main" objectType="Radio" firstButton="1" fmlaLink="Unformatted!$F$132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Drop" dropStyle="combo" dx="22" fmlaLink="Unformatted!F130" fmlaRange="Data!$T$2:$T$6" noThreeD="1" sel="1" val="0"/>
</file>

<file path=xl/ctrlProps/ctrlProp94.xml><?xml version="1.0" encoding="utf-8"?>
<formControlPr xmlns="http://schemas.microsoft.com/office/spreadsheetml/2009/9/main" objectType="Drop" dropLines="5" dropStyle="combo" dx="22" fmlaLink="Unformatted!F127" fmlaRange="Data!$X$2:$X$6" noThreeD="1" sel="1" val="0"/>
</file>

<file path=xl/ctrlProps/ctrlProp95.xml><?xml version="1.0" encoding="utf-8"?>
<formControlPr xmlns="http://schemas.microsoft.com/office/spreadsheetml/2009/9/main" objectType="GBox" noThreeD="1"/>
</file>

<file path=xl/ctrlProps/ctrlProp96.xml><?xml version="1.0" encoding="utf-8"?>
<formControlPr xmlns="http://schemas.microsoft.com/office/spreadsheetml/2009/9/main" objectType="CheckBox" fmlaLink="Unformatted!$E$146" lockText="1" noThreeD="1"/>
</file>

<file path=xl/ctrlProps/ctrlProp97.xml><?xml version="1.0" encoding="utf-8"?>
<formControlPr xmlns="http://schemas.microsoft.com/office/spreadsheetml/2009/9/main" objectType="CheckBox" fmlaLink="Unformatted!$E$145" lockText="1" noThreeD="1"/>
</file>

<file path=xl/ctrlProps/ctrlProp98.xml><?xml version="1.0" encoding="utf-8"?>
<formControlPr xmlns="http://schemas.microsoft.com/office/spreadsheetml/2009/9/main" objectType="CheckBox" fmlaLink="Unformatted!$E149" lockText="1" noThreeD="1"/>
</file>

<file path=xl/ctrlProps/ctrlProp99.xml><?xml version="1.0" encoding="utf-8"?>
<formControlPr xmlns="http://schemas.microsoft.com/office/spreadsheetml/2009/9/main" objectType="CheckBox" fmlaLink="Unformatted!$E150" lockText="1" noThreeD="1"/>
</file>

<file path=xl/ctrlProps/ctrlProp100.xml><?xml version="1.0" encoding="utf-8"?>
<formControlPr xmlns="http://schemas.microsoft.com/office/spreadsheetml/2009/9/main" objectType="CheckBox" fmlaLink="Unformatted!$E148" lockText="1" noThreeD="1"/>
</file>

<file path=xl/ctrlProps/ctrlProp101.xml><?xml version="1.0" encoding="utf-8"?>
<formControlPr xmlns="http://schemas.microsoft.com/office/spreadsheetml/2009/9/main" objectType="CheckBox" fmlaLink="Unformatted!$E152" lockText="1" noThreeD="1"/>
</file>

<file path=xl/ctrlProps/ctrlProp102.xml><?xml version="1.0" encoding="utf-8"?>
<formControlPr xmlns="http://schemas.microsoft.com/office/spreadsheetml/2009/9/main" objectType="CheckBox" fmlaLink="Unformatted!$E151" lockText="1" noThreeD="1"/>
</file>

<file path=xl/ctrlProps/ctrlProp103.xml><?xml version="1.0" encoding="utf-8"?>
<formControlPr xmlns="http://schemas.microsoft.com/office/spreadsheetml/2009/9/main" objectType="CheckBox" fmlaLink="Unformatted!$E147" lockText="1" noThreeD="1"/>
</file>

<file path=xl/ctrlProps/ctrlProp104.xml><?xml version="1.0" encoding="utf-8"?>
<formControlPr xmlns="http://schemas.microsoft.com/office/spreadsheetml/2009/9/main" objectType="Drop" dropLines="14" dropStyle="combo" dx="22" fmlaLink="Unformatted!$F$140" fmlaRange="Data!$DC$2:$DC$15" noThreeD="1" sel="1" val="0"/>
</file>

<file path=xl/ctrlProps/ctrlProp105.xml><?xml version="1.0" encoding="utf-8"?>
<formControlPr xmlns="http://schemas.microsoft.com/office/spreadsheetml/2009/9/main" objectType="Drop" dropLines="9" dropStyle="combo" dx="22" fmlaLink="Unformatted!$F$142" fmlaRange="Data!$DE$2:$DE$10" noThreeD="1" sel="1" val="0"/>
</file>

<file path=xl/ctrlProps/ctrlProp106.xml><?xml version="1.0" encoding="utf-8"?>
<formControlPr xmlns="http://schemas.microsoft.com/office/spreadsheetml/2009/9/main" objectType="GBox" noThreeD="1"/>
</file>

<file path=xl/ctrlProps/ctrlProp107.xml><?xml version="1.0" encoding="utf-8"?>
<formControlPr xmlns="http://schemas.microsoft.com/office/spreadsheetml/2009/9/main" objectType="CheckBox" fmlaLink="Unformatted!$F$144" lockText="1" noThreeD="1"/>
</file>

<file path=xl/ctrlProps/ctrlProp108.xml><?xml version="1.0" encoding="utf-8"?>
<formControlPr xmlns="http://schemas.microsoft.com/office/spreadsheetml/2009/9/main" objectType="Radio" firstButton="1" fmlaLink="Unformatted!F141" lockText="1" noThreeD="1"/>
</file>

<file path=xl/ctrlProps/ctrlProp109.xml><?xml version="1.0" encoding="utf-8"?>
<formControlPr xmlns="http://schemas.microsoft.com/office/spreadsheetml/2009/9/main" objectType="Radio" lockText="1" noThreeD="1"/>
</file>

<file path=xl/ctrlProps/ctrlProp110.xml><?xml version="1.0" encoding="utf-8"?>
<formControlPr xmlns="http://schemas.microsoft.com/office/spreadsheetml/2009/9/main" objectType="CheckBox" fmlaLink="Unformatted!F143" lockText="1" noThreeD="1"/>
</file>

<file path=xl/ctrlProps/ctrlProp111.xml><?xml version="1.0" encoding="utf-8"?>
<formControlPr xmlns="http://schemas.microsoft.com/office/spreadsheetml/2009/9/main" objectType="Drop" dropLines="4" dropStyle="combo" dx="22" fmlaLink="Unformatted!$F164" fmlaRange="Data!$AI$2:$AI$5" noThreeD="1" sel="1" val="0"/>
</file>

<file path=xl/ctrlProps/ctrlProp112.xml><?xml version="1.0" encoding="utf-8"?>
<formControlPr xmlns="http://schemas.microsoft.com/office/spreadsheetml/2009/9/main" objectType="Drop" dropLines="6" dropStyle="combo" dx="22" fmlaLink="Unformatted!I160" fmlaRange="Data!$AL$2:$AL$7" noThreeD="1" sel="1" val="0"/>
</file>

<file path=xl/ctrlProps/ctrlProp113.xml><?xml version="1.0" encoding="utf-8"?>
<formControlPr xmlns="http://schemas.microsoft.com/office/spreadsheetml/2009/9/main" objectType="Drop" dropLines="6" dropStyle="combo" dx="22" fmlaLink="Unformatted!$I$161" fmlaRange="Data!$AL$2:$AL$7" noThreeD="1" sel="1" val="0"/>
</file>

<file path=xl/ctrlProps/ctrlProp114.xml><?xml version="1.0" encoding="utf-8"?>
<formControlPr xmlns="http://schemas.microsoft.com/office/spreadsheetml/2009/9/main" objectType="Drop" dropLines="6" dropStyle="combo" dx="22" fmlaLink="Unformatted!$I$162" fmlaRange="Data!$AL$2:$AL$7" noThreeD="1" sel="1" val="0"/>
</file>

<file path=xl/ctrlProps/ctrlProp115.xml><?xml version="1.0" encoding="utf-8"?>
<formControlPr xmlns="http://schemas.microsoft.com/office/spreadsheetml/2009/9/main" objectType="CheckBox" fmlaLink="Unformatted!E179" lockText="1" noThreeD="1"/>
</file>

<file path=xl/ctrlProps/ctrlProp116.xml><?xml version="1.0" encoding="utf-8"?>
<formControlPr xmlns="http://schemas.microsoft.com/office/spreadsheetml/2009/9/main" objectType="CheckBox" fmlaLink="Unformatted!I180" lockText="1" noThreeD="1"/>
</file>

<file path=xl/ctrlProps/ctrlProp117.xml><?xml version="1.0" encoding="utf-8"?>
<formControlPr xmlns="http://schemas.microsoft.com/office/spreadsheetml/2009/9/main" objectType="CheckBox" fmlaLink="Unformatted!K180" lockText="1" noThreeD="1"/>
</file>

<file path=xl/ctrlProps/ctrlProp118.xml><?xml version="1.0" encoding="utf-8"?>
<formControlPr xmlns="http://schemas.microsoft.com/office/spreadsheetml/2009/9/main" objectType="CheckBox" fmlaLink="Unformatted!J180" lockText="1" noThreeD="1"/>
</file>

<file path=xl/ctrlProps/ctrlProp119.xml><?xml version="1.0" encoding="utf-8"?>
<formControlPr xmlns="http://schemas.microsoft.com/office/spreadsheetml/2009/9/main" objectType="CheckBox" fmlaLink="Unformatted!L180" lockText="1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GBox" noThreeD="1"/>
</file>

<file path=xl/ctrlProps/ctrlProp122.xml><?xml version="1.0" encoding="utf-8"?>
<formControlPr xmlns="http://schemas.microsoft.com/office/spreadsheetml/2009/9/main" objectType="GBox" noThreeD="1"/>
</file>

<file path=xl/ctrlProps/ctrlProp123.xml><?xml version="1.0" encoding="utf-8"?>
<formControlPr xmlns="http://schemas.microsoft.com/office/spreadsheetml/2009/9/main" objectType="Drop" dropLines="6" dropStyle="combo" dx="22" fmlaLink="Unformatted!$I$157" fmlaRange="Data!$AL$2:$AL$7" noThreeD="1" sel="1" val="0"/>
</file>

<file path=xl/ctrlProps/ctrlProp124.xml><?xml version="1.0" encoding="utf-8"?>
<formControlPr xmlns="http://schemas.microsoft.com/office/spreadsheetml/2009/9/main" objectType="CheckBox" fmlaLink="Unformatted!$E$178" lockText="1" noThreeD="1"/>
</file>

<file path=xl/ctrlProps/ctrlProp125.xml><?xml version="1.0" encoding="utf-8"?>
<formControlPr xmlns="http://schemas.microsoft.com/office/spreadsheetml/2009/9/main" objectType="GBox" noThreeD="1"/>
</file>

<file path=xl/ctrlProps/ctrlProp126.xml><?xml version="1.0" encoding="utf-8"?>
<formControlPr xmlns="http://schemas.microsoft.com/office/spreadsheetml/2009/9/main" objectType="CheckBox" fmlaLink="Unformatted!E175" lockText="1" noThreeD="1"/>
</file>

<file path=xl/ctrlProps/ctrlProp127.xml><?xml version="1.0" encoding="utf-8"?>
<formControlPr xmlns="http://schemas.microsoft.com/office/spreadsheetml/2009/9/main" objectType="Drop" dropLines="4" dropStyle="combo" dx="22" fmlaLink="Unformatted!F196" fmlaRange="Data!$DQ$1:$DQ$4" noThreeD="1" sel="1" val="0"/>
</file>

<file path=xl/ctrlProps/ctrlProp128.xml><?xml version="1.0" encoding="utf-8"?>
<formControlPr xmlns="http://schemas.microsoft.com/office/spreadsheetml/2009/9/main" objectType="CheckBox" fmlaLink="Unformatted!$E$190" lockText="1" noThreeD="1"/>
</file>

<file path=xl/ctrlProps/ctrlProp129.xml><?xml version="1.0" encoding="utf-8"?>
<formControlPr xmlns="http://schemas.microsoft.com/office/spreadsheetml/2009/9/main" objectType="CheckBox" fmlaLink="Unformatted!$E$191" lockText="1" noThreeD="1"/>
</file>

<file path=xl/ctrlProps/ctrlProp130.xml><?xml version="1.0" encoding="utf-8"?>
<formControlPr xmlns="http://schemas.microsoft.com/office/spreadsheetml/2009/9/main" objectType="CheckBox" fmlaLink="Unformatted!$E$192" lockText="1" noThreeD="1"/>
</file>

<file path=xl/ctrlProps/ctrlProp131.xml><?xml version="1.0" encoding="utf-8"?>
<formControlPr xmlns="http://schemas.microsoft.com/office/spreadsheetml/2009/9/main" objectType="Drop" dropLines="3" dropStyle="combo" dx="22" fmlaLink="Unformatted!F197" fmlaRange="Data!$P$2:$P$4" noThreeD="1" sel="1" val="0"/>
</file>

<file path=xl/ctrlProps/ctrlProp132.xml><?xml version="1.0" encoding="utf-8"?>
<formControlPr xmlns="http://schemas.microsoft.com/office/spreadsheetml/2009/9/main" objectType="CheckBox" fmlaLink="Unformatted!$E$193" lockText="1" noThreeD="1"/>
</file>

<file path=xl/ctrlProps/ctrlProp133.xml><?xml version="1.0" encoding="utf-8"?>
<formControlPr xmlns="http://schemas.microsoft.com/office/spreadsheetml/2009/9/main" objectType="Drop" dropLines="4" dropStyle="combo" dx="22" fmlaLink="Unformatted!F200" fmlaRange="Data!$AX$2:$AX$5" noThreeD="1" sel="1" val="0"/>
</file>

<file path=xl/ctrlProps/ctrlProp134.xml><?xml version="1.0" encoding="utf-8"?>
<formControlPr xmlns="http://schemas.microsoft.com/office/spreadsheetml/2009/9/main" objectType="Drop" dropLines="4" dropStyle="combo" dx="22" fmlaLink="Unformatted!G216" fmlaRange="Data!$AR$2:$AR$5" noThreeD="1" sel="1" val="0"/>
</file>

<file path=xl/ctrlProps/ctrlProp135.xml><?xml version="1.0" encoding="utf-8"?>
<formControlPr xmlns="http://schemas.microsoft.com/office/spreadsheetml/2009/9/main" objectType="Drop" dropLines="4" dropStyle="combo" dx="22" fmlaLink="Unformatted!G217" fmlaRange="Data!$AR$2:$AR$5" noThreeD="1" sel="1" val="0"/>
</file>

<file path=xl/ctrlProps/ctrlProp136.xml><?xml version="1.0" encoding="utf-8"?>
<formControlPr xmlns="http://schemas.microsoft.com/office/spreadsheetml/2009/9/main" objectType="Drop" dropLines="5" dropStyle="combo" dx="22" fmlaLink="Unformatted!$F$199" fmlaRange="Data!$AP$2:$AP$6" noThreeD="1" sel="1" val="0"/>
</file>

<file path=xl/ctrlProps/ctrlProp137.xml><?xml version="1.0" encoding="utf-8"?>
<formControlPr xmlns="http://schemas.microsoft.com/office/spreadsheetml/2009/9/main" objectType="CheckBox" fmlaLink="Unformatted!$E$194" lockText="1" noThreeD="1"/>
</file>

<file path=xl/ctrlProps/ctrlProp138.xml><?xml version="1.0" encoding="utf-8"?>
<formControlPr xmlns="http://schemas.microsoft.com/office/spreadsheetml/2009/9/main" objectType="CheckBox" fmlaLink="Unformatted!$E$195" lockText="1" noThreeD="1"/>
</file>

<file path=xl/ctrlProps/ctrlProp139.xml><?xml version="1.0" encoding="utf-8"?>
<formControlPr xmlns="http://schemas.microsoft.com/office/spreadsheetml/2009/9/main" objectType="Drop" dropStyle="combo" dx="22" fmlaLink="Unformatted!$J$217" fmlaRange="Data!$AT$2:$AT$5" noThreeD="1" sel="1" val="0"/>
</file>

<file path=xl/ctrlProps/ctrlProp140.xml><?xml version="1.0" encoding="utf-8"?>
<formControlPr xmlns="http://schemas.microsoft.com/office/spreadsheetml/2009/9/main" objectType="Drop" dropStyle="combo" dx="22" fmlaLink="Unformatted!$J$216" fmlaRange="Data!$AT$2:$AT$5" noThreeD="1" sel="1" val="0"/>
</file>

<file path=xl/ctrlProps/ctrlProp141.xml><?xml version="1.0" encoding="utf-8"?>
<formControlPr xmlns="http://schemas.microsoft.com/office/spreadsheetml/2009/9/main" objectType="CheckBox" fmlaLink="Unformatted!$E$218" lockText="1" noThreeD="1"/>
</file>

<file path=xl/ctrlProps/ctrlProp142.xml><?xml version="1.0" encoding="utf-8"?>
<formControlPr xmlns="http://schemas.microsoft.com/office/spreadsheetml/2009/9/main" objectType="GBox" noThreeD="1"/>
</file>

<file path=xl/ctrlProps/ctrlProp143.xml><?xml version="1.0" encoding="utf-8"?>
<formControlPr xmlns="http://schemas.microsoft.com/office/spreadsheetml/2009/9/main" objectType="CheckBox" fmlaLink="Unformatted!$F$212" lockText="1" noThreeD="1"/>
</file>

<file path=xl/ctrlProps/ctrlProp144.xml><?xml version="1.0" encoding="utf-8"?>
<formControlPr xmlns="http://schemas.microsoft.com/office/spreadsheetml/2009/9/main" objectType="CheckBox" fmlaLink="Unformatted!$G$212" lockText="1" noThreeD="1"/>
</file>

<file path=xl/ctrlProps/ctrlProp145.xml><?xml version="1.0" encoding="utf-8"?>
<formControlPr xmlns="http://schemas.microsoft.com/office/spreadsheetml/2009/9/main" objectType="CheckBox" fmlaLink="Unformatted!$H$212" lockText="1" noThreeD="1"/>
</file>

<file path=xl/ctrlProps/ctrlProp146.xml><?xml version="1.0" encoding="utf-8"?>
<formControlPr xmlns="http://schemas.microsoft.com/office/spreadsheetml/2009/9/main" objectType="CheckBox" fmlaLink="Unformatted!$J$212" lockText="1" noThreeD="1"/>
</file>

<file path=xl/ctrlProps/ctrlProp147.xml><?xml version="1.0" encoding="utf-8"?>
<formControlPr xmlns="http://schemas.microsoft.com/office/spreadsheetml/2009/9/main" objectType="CheckBox" fmlaLink="Unformatted!$I$212" lockText="1" noThreeD="1"/>
</file>

<file path=xl/ctrlProps/ctrlProp148.xml><?xml version="1.0" encoding="utf-8"?>
<formControlPr xmlns="http://schemas.microsoft.com/office/spreadsheetml/2009/9/main" objectType="CheckBox" fmlaLink="Unformatted!$K$212" lockText="1" noThreeD="1"/>
</file>

<file path=xl/ctrlProps/ctrlProp149.xml><?xml version="1.0" encoding="utf-8"?>
<formControlPr xmlns="http://schemas.microsoft.com/office/spreadsheetml/2009/9/main" objectType="GBox" noThreeD="1"/>
</file>

<file path=xl/ctrlProps/ctrlProp150.xml><?xml version="1.0" encoding="utf-8"?>
<formControlPr xmlns="http://schemas.microsoft.com/office/spreadsheetml/2009/9/main" objectType="CheckBox" fmlaLink="Unformatted!$F$213" lockText="1" noThreeD="1"/>
</file>

<file path=xl/ctrlProps/ctrlProp151.xml><?xml version="1.0" encoding="utf-8"?>
<formControlPr xmlns="http://schemas.microsoft.com/office/spreadsheetml/2009/9/main" objectType="CheckBox" fmlaLink="Unformatted!$G$213" lockText="1" noThreeD="1"/>
</file>

<file path=xl/ctrlProps/ctrlProp152.xml><?xml version="1.0" encoding="utf-8"?>
<formControlPr xmlns="http://schemas.microsoft.com/office/spreadsheetml/2009/9/main" objectType="CheckBox" fmlaLink="Unformatted!$H$213" lockText="1" noThreeD="1"/>
</file>

<file path=xl/ctrlProps/ctrlProp153.xml><?xml version="1.0" encoding="utf-8"?>
<formControlPr xmlns="http://schemas.microsoft.com/office/spreadsheetml/2009/9/main" objectType="CheckBox" fmlaLink="Unformatted!$J$213" lockText="1" noThreeD="1"/>
</file>

<file path=xl/ctrlProps/ctrlProp154.xml><?xml version="1.0" encoding="utf-8"?>
<formControlPr xmlns="http://schemas.microsoft.com/office/spreadsheetml/2009/9/main" objectType="CheckBox" fmlaLink="Unformatted!$I$213" lockText="1" noThreeD="1"/>
</file>

<file path=xl/ctrlProps/ctrlProp155.xml><?xml version="1.0" encoding="utf-8"?>
<formControlPr xmlns="http://schemas.microsoft.com/office/spreadsheetml/2009/9/main" objectType="CheckBox" fmlaLink="Unformatted!$K$213" lockText="1" noThreeD="1"/>
</file>

<file path=xl/ctrlProps/ctrlProp156.xml><?xml version="1.0" encoding="utf-8"?>
<formControlPr xmlns="http://schemas.microsoft.com/office/spreadsheetml/2009/9/main" objectType="GBox" noThreeD="1"/>
</file>

<file path=xl/ctrlProps/ctrlProp157.xml><?xml version="1.0" encoding="utf-8"?>
<formControlPr xmlns="http://schemas.microsoft.com/office/spreadsheetml/2009/9/main" objectType="CheckBox" fmlaLink="Unformatted!$F$214" lockText="1" noThreeD="1"/>
</file>

<file path=xl/ctrlProps/ctrlProp158.xml><?xml version="1.0" encoding="utf-8"?>
<formControlPr xmlns="http://schemas.microsoft.com/office/spreadsheetml/2009/9/main" objectType="CheckBox" fmlaLink="Unformatted!$G$214" lockText="1" noThreeD="1"/>
</file>

<file path=xl/ctrlProps/ctrlProp159.xml><?xml version="1.0" encoding="utf-8"?>
<formControlPr xmlns="http://schemas.microsoft.com/office/spreadsheetml/2009/9/main" objectType="CheckBox" fmlaLink="Unformatted!$H$214" lockText="1" noThreeD="1"/>
</file>

<file path=xl/ctrlProps/ctrlProp160.xml><?xml version="1.0" encoding="utf-8"?>
<formControlPr xmlns="http://schemas.microsoft.com/office/spreadsheetml/2009/9/main" objectType="CheckBox" fmlaLink="Unformatted!$J$214" lockText="1" noThreeD="1"/>
</file>

<file path=xl/ctrlProps/ctrlProp161.xml><?xml version="1.0" encoding="utf-8"?>
<formControlPr xmlns="http://schemas.microsoft.com/office/spreadsheetml/2009/9/main" objectType="CheckBox" fmlaLink="Unformatted!$I$214" lockText="1" noThreeD="1"/>
</file>

<file path=xl/ctrlProps/ctrlProp162.xml><?xml version="1.0" encoding="utf-8"?>
<formControlPr xmlns="http://schemas.microsoft.com/office/spreadsheetml/2009/9/main" objectType="CheckBox" fmlaLink="Unformatted!$K$214" lockText="1" noThreeD="1"/>
</file>

<file path=xl/ctrlProps/ctrlProp163.xml><?xml version="1.0" encoding="utf-8"?>
<formControlPr xmlns="http://schemas.microsoft.com/office/spreadsheetml/2009/9/main" objectType="GBox" noThreeD="1"/>
</file>

<file path=xl/ctrlProps/ctrlProp164.xml><?xml version="1.0" encoding="utf-8"?>
<formControlPr xmlns="http://schemas.microsoft.com/office/spreadsheetml/2009/9/main" objectType="CheckBox" fmlaLink="Unformatted!$F$215" lockText="1" noThreeD="1"/>
</file>

<file path=xl/ctrlProps/ctrlProp165.xml><?xml version="1.0" encoding="utf-8"?>
<formControlPr xmlns="http://schemas.microsoft.com/office/spreadsheetml/2009/9/main" objectType="CheckBox" fmlaLink="Unformatted!$G$215" lockText="1" noThreeD="1"/>
</file>

<file path=xl/ctrlProps/ctrlProp166.xml><?xml version="1.0" encoding="utf-8"?>
<formControlPr xmlns="http://schemas.microsoft.com/office/spreadsheetml/2009/9/main" objectType="CheckBox" fmlaLink="Unformatted!$H$215" lockText="1" noThreeD="1"/>
</file>

<file path=xl/ctrlProps/ctrlProp167.xml><?xml version="1.0" encoding="utf-8"?>
<formControlPr xmlns="http://schemas.microsoft.com/office/spreadsheetml/2009/9/main" objectType="CheckBox" fmlaLink="Unformatted!$J$215" lockText="1" noThreeD="1"/>
</file>

<file path=xl/ctrlProps/ctrlProp168.xml><?xml version="1.0" encoding="utf-8"?>
<formControlPr xmlns="http://schemas.microsoft.com/office/spreadsheetml/2009/9/main" objectType="CheckBox" fmlaLink="Unformatted!$I$215" lockText="1" noThreeD="1"/>
</file>

<file path=xl/ctrlProps/ctrlProp169.xml><?xml version="1.0" encoding="utf-8"?>
<formControlPr xmlns="http://schemas.microsoft.com/office/spreadsheetml/2009/9/main" objectType="CheckBox" fmlaLink="Unformatted!$K$215" lockText="1" noThreeD="1"/>
</file>

<file path=xl/ctrlProps/ctrlProp170.xml><?xml version="1.0" encoding="utf-8"?>
<formControlPr xmlns="http://schemas.microsoft.com/office/spreadsheetml/2009/9/main" objectType="Radio" firstButton="1" fmlaLink="Unformatted!$L$212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GBox" noThreeD="1"/>
</file>

<file path=xl/ctrlProps/ctrlProp173.xml><?xml version="1.0" encoding="utf-8"?>
<formControlPr xmlns="http://schemas.microsoft.com/office/spreadsheetml/2009/9/main" objectType="Radio" firstButton="1" fmlaLink="Unformatted!$L$213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GBox" noThreeD="1"/>
</file>

<file path=xl/ctrlProps/ctrlProp176.xml><?xml version="1.0" encoding="utf-8"?>
<formControlPr xmlns="http://schemas.microsoft.com/office/spreadsheetml/2009/9/main" objectType="Radio" firstButton="1" fmlaLink="Unformatted!$L$214" lockText="1" noThreeD="1"/>
</file>

<file path=xl/ctrlProps/ctrlProp177.xml><?xml version="1.0" encoding="utf-8"?>
<formControlPr xmlns="http://schemas.microsoft.com/office/spreadsheetml/2009/9/main" objectType="Radio" lockText="1" noThreeD="1"/>
</file>

<file path=xl/ctrlProps/ctrlProp178.xml><?xml version="1.0" encoding="utf-8"?>
<formControlPr xmlns="http://schemas.microsoft.com/office/spreadsheetml/2009/9/main" objectType="GBox" noThreeD="1"/>
</file>

<file path=xl/ctrlProps/ctrlProp179.xml><?xml version="1.0" encoding="utf-8"?>
<formControlPr xmlns="http://schemas.microsoft.com/office/spreadsheetml/2009/9/main" objectType="Radio" firstButton="1" fmlaLink="Unformatted!$L$215" lockText="1" noThreeD="1"/>
</file>

<file path=xl/ctrlProps/ctrlProp180.xml><?xml version="1.0" encoding="utf-8"?>
<formControlPr xmlns="http://schemas.microsoft.com/office/spreadsheetml/2009/9/main" objectType="Radio" lockText="1" noThreeD="1"/>
</file>

<file path=xl/ctrlProps/ctrlProp181.xml><?xml version="1.0" encoding="utf-8"?>
<formControlPr xmlns="http://schemas.microsoft.com/office/spreadsheetml/2009/9/main" objectType="GBox" noThreeD="1"/>
</file>

<file path=xl/ctrlProps/ctrlProp182.xml><?xml version="1.0" encoding="utf-8"?>
<formControlPr xmlns="http://schemas.microsoft.com/office/spreadsheetml/2009/9/main" objectType="Radio" firstButton="1" fmlaLink="Unformatted!$F$223" lockText="1" noThreeD="1"/>
</file>

<file path=xl/ctrlProps/ctrlProp183.xml><?xml version="1.0" encoding="utf-8"?>
<formControlPr xmlns="http://schemas.microsoft.com/office/spreadsheetml/2009/9/main" objectType="Radio" lockText="1" noThreeD="1"/>
</file>

<file path=xl/ctrlProps/ctrlProp184.xml><?xml version="1.0" encoding="utf-8"?>
<formControlPr xmlns="http://schemas.microsoft.com/office/spreadsheetml/2009/9/main" objectType="Radio" lockText="1" noThreeD="1"/>
</file>

<file path=xl/ctrlProps/ctrlProp185.xml><?xml version="1.0" encoding="utf-8"?>
<formControlPr xmlns="http://schemas.microsoft.com/office/spreadsheetml/2009/9/main" objectType="GBox" noThreeD="1"/>
</file>

<file path=xl/ctrlProps/ctrlProp186.xml><?xml version="1.0" encoding="utf-8"?>
<formControlPr xmlns="http://schemas.microsoft.com/office/spreadsheetml/2009/9/main" objectType="GBox" noThreeD="1"/>
</file>

<file path=xl/ctrlProps/ctrlProp187.xml><?xml version="1.0" encoding="utf-8"?>
<formControlPr xmlns="http://schemas.microsoft.com/office/spreadsheetml/2009/9/main" objectType="Radio" firstButton="1" fmlaLink="Unformatted!$F$232" lockText="1" noThreeD="1"/>
</file>

<file path=xl/ctrlProps/ctrlProp188.xml><?xml version="1.0" encoding="utf-8"?>
<formControlPr xmlns="http://schemas.microsoft.com/office/spreadsheetml/2009/9/main" objectType="Radio" lockText="1" noThreeD="1"/>
</file>

<file path=xl/ctrlProps/ctrlProp189.xml><?xml version="1.0" encoding="utf-8"?>
<formControlPr xmlns="http://schemas.microsoft.com/office/spreadsheetml/2009/9/main" objectType="CheckBox" fmlaLink="Unformatted!$E$231" lockText="1" noThreeD="1"/>
</file>

<file path=xl/ctrlProps/ctrlProp190.xml><?xml version="1.0" encoding="utf-8"?>
<formControlPr xmlns="http://schemas.microsoft.com/office/spreadsheetml/2009/9/main" objectType="CheckBox" fmlaLink="Unformatted!$H$231" lockText="1" noThreeD="1"/>
</file>

<file path=xl/ctrlProps/ctrlProp191.xml><?xml version="1.0" encoding="utf-8"?>
<formControlPr xmlns="http://schemas.microsoft.com/office/spreadsheetml/2009/9/main" objectType="CheckBox" fmlaLink="Unformatted!$F$231" lockText="1" noThreeD="1"/>
</file>

<file path=xl/ctrlProps/ctrlProp192.xml><?xml version="1.0" encoding="utf-8"?>
<formControlPr xmlns="http://schemas.microsoft.com/office/spreadsheetml/2009/9/main" objectType="CheckBox" fmlaLink="Unformatted!$G$231" lockText="1" noThreeD="1"/>
</file>

<file path=xl/ctrlProps/ctrlProp193.xml><?xml version="1.0" encoding="utf-8"?>
<formControlPr xmlns="http://schemas.microsoft.com/office/spreadsheetml/2009/9/main" objectType="CheckBox" fmlaLink="Unformatted!$I$231" lockText="1" noThreeD="1"/>
</file>

<file path=xl/ctrlProps/ctrlProp194.xml><?xml version="1.0" encoding="utf-8"?>
<formControlPr xmlns="http://schemas.microsoft.com/office/spreadsheetml/2009/9/main" objectType="CheckBox" fmlaLink="Unformatted!$J$231" lockText="1" noThreeD="1"/>
</file>

<file path=xl/ctrlProps/ctrlProp195.xml><?xml version="1.0" encoding="utf-8"?>
<formControlPr xmlns="http://schemas.microsoft.com/office/spreadsheetml/2009/9/main" objectType="GBox" noThreeD="1"/>
</file>

<file path=xl/ctrlProps/ctrlProp196.xml><?xml version="1.0" encoding="utf-8"?>
<formControlPr xmlns="http://schemas.microsoft.com/office/spreadsheetml/2009/9/main" objectType="Radio" firstButton="1" fmlaLink="Unformatted!$F$198" lockText="1" noThreeD="1"/>
</file>

<file path=xl/ctrlProps/ctrlProp197.xml><?xml version="1.0" encoding="utf-8"?>
<formControlPr xmlns="http://schemas.microsoft.com/office/spreadsheetml/2009/9/main" objectType="Radio" lockText="1" noThreeD="1"/>
</file>

<file path=xl/ctrlProps/ctrlProp198.xml><?xml version="1.0" encoding="utf-8"?>
<formControlPr xmlns="http://schemas.microsoft.com/office/spreadsheetml/2009/9/main" objectType="Radio" lockText="1" noThreeD="1"/>
</file>

<file path=xl/ctrlProps/ctrlProp199.xml><?xml version="1.0" encoding="utf-8"?>
<formControlPr xmlns="http://schemas.microsoft.com/office/spreadsheetml/2009/9/main" objectType="Radio" lockText="1" noThreeD="1"/>
</file>

<file path=xl/ctrlProps/ctrlProp200.xml><?xml version="1.0" encoding="utf-8"?>
<formControlPr xmlns="http://schemas.microsoft.com/office/spreadsheetml/2009/9/main" objectType="Drop" dropStyle="combo" dx="22" fmlaLink="Unformatted!$F$285" fmlaRange="Data!$P$2:$P$4" noThreeD="1" sel="1" val="0"/>
</file>

<file path=xl/ctrlProps/ctrlProp201.xml><?xml version="1.0" encoding="utf-8"?>
<formControlPr xmlns="http://schemas.microsoft.com/office/spreadsheetml/2009/9/main" objectType="Drop" dropStyle="combo" dx="22" fmlaLink="Unformatted!F295" fmlaRange="Data!$P$2:$P$4" noThreeD="1" sel="1" val="0"/>
</file>

<file path=xl/ctrlProps/ctrlProp202.xml><?xml version="1.0" encoding="utf-8"?>
<formControlPr xmlns="http://schemas.microsoft.com/office/spreadsheetml/2009/9/main" objectType="Drop" dropStyle="combo" dx="22" fmlaLink="Unformatted!F290" fmlaRange="Data!$P$2:$P$4" noThreeD="1" sel="1" val="0"/>
</file>

<file path=xl/ctrlProps/ctrlProp203.xml><?xml version="1.0" encoding="utf-8"?>
<formControlPr xmlns="http://schemas.microsoft.com/office/spreadsheetml/2009/9/main" objectType="Drop" dropStyle="combo" dx="22" fmlaLink="Unformatted!F300" fmlaRange="Data!$P$2:$P$4" noThreeD="1" sel="1" val="0"/>
</file>

<file path=xl/ctrlProps/ctrlProp204.xml><?xml version="1.0" encoding="utf-8"?>
<formControlPr xmlns="http://schemas.microsoft.com/office/spreadsheetml/2009/9/main" objectType="GBox" noThreeD="1"/>
</file>

<file path=xl/ctrlProps/ctrlProp205.xml><?xml version="1.0" encoding="utf-8"?>
<formControlPr xmlns="http://schemas.microsoft.com/office/spreadsheetml/2009/9/main" objectType="Radio" firstButton="1" fmlaLink="Unformatted!F243" lockText="1" noThreeD="1"/>
</file>

<file path=xl/ctrlProps/ctrlProp206.xml><?xml version="1.0" encoding="utf-8"?>
<formControlPr xmlns="http://schemas.microsoft.com/office/spreadsheetml/2009/9/main" objectType="Radio" lockText="1" noThreeD="1"/>
</file>

<file path=xl/ctrlProps/ctrlProp207.xml><?xml version="1.0" encoding="utf-8"?>
<formControlPr xmlns="http://schemas.microsoft.com/office/spreadsheetml/2009/9/main" objectType="GBox" noThreeD="1"/>
</file>

<file path=xl/ctrlProps/ctrlProp208.xml><?xml version="1.0" encoding="utf-8"?>
<formControlPr xmlns="http://schemas.microsoft.com/office/spreadsheetml/2009/9/main" objectType="Radio" firstButton="1" fmlaLink="Unformatted!F247" lockText="1" noThreeD="1"/>
</file>

<file path=xl/ctrlProps/ctrlProp209.xml><?xml version="1.0" encoding="utf-8"?>
<formControlPr xmlns="http://schemas.microsoft.com/office/spreadsheetml/2009/9/main" objectType="Radio" lockText="1" noThreeD="1"/>
</file>

<file path=xl/ctrlProps/ctrlProp210.xml><?xml version="1.0" encoding="utf-8"?>
<formControlPr xmlns="http://schemas.microsoft.com/office/spreadsheetml/2009/9/main" objectType="GBox" noThreeD="1"/>
</file>

<file path=xl/ctrlProps/ctrlProp211.xml><?xml version="1.0" encoding="utf-8"?>
<formControlPr xmlns="http://schemas.microsoft.com/office/spreadsheetml/2009/9/main" objectType="Radio" firstButton="1" fmlaLink="Unformatted!F251" lockText="1" noThreeD="1"/>
</file>

<file path=xl/ctrlProps/ctrlProp212.xml><?xml version="1.0" encoding="utf-8"?>
<formControlPr xmlns="http://schemas.microsoft.com/office/spreadsheetml/2009/9/main" objectType="Radio" lockText="1" noThreeD="1"/>
</file>

<file path=xl/ctrlProps/ctrlProp213.xml><?xml version="1.0" encoding="utf-8"?>
<formControlPr xmlns="http://schemas.microsoft.com/office/spreadsheetml/2009/9/main" objectType="GBox" noThreeD="1"/>
</file>

<file path=xl/ctrlProps/ctrlProp214.xml><?xml version="1.0" encoding="utf-8"?>
<formControlPr xmlns="http://schemas.microsoft.com/office/spreadsheetml/2009/9/main" objectType="Radio" firstButton="1" fmlaLink="Unformatted!F255" lockText="1" noThreeD="1"/>
</file>

<file path=xl/ctrlProps/ctrlProp215.xml><?xml version="1.0" encoding="utf-8"?>
<formControlPr xmlns="http://schemas.microsoft.com/office/spreadsheetml/2009/9/main" objectType="Radio" lockText="1" noThreeD="1"/>
</file>

<file path=xl/ctrlProps/ctrlProp216.xml><?xml version="1.0" encoding="utf-8"?>
<formControlPr xmlns="http://schemas.microsoft.com/office/spreadsheetml/2009/9/main" objectType="GBox" noThreeD="1"/>
</file>

<file path=xl/ctrlProps/ctrlProp217.xml><?xml version="1.0" encoding="utf-8"?>
<formControlPr xmlns="http://schemas.microsoft.com/office/spreadsheetml/2009/9/main" objectType="Radio" firstButton="1" fmlaLink="Unformatted!F259" lockText="1" noThreeD="1"/>
</file>

<file path=xl/ctrlProps/ctrlProp218.xml><?xml version="1.0" encoding="utf-8"?>
<formControlPr xmlns="http://schemas.microsoft.com/office/spreadsheetml/2009/9/main" objectType="Radio" lockText="1" noThreeD="1"/>
</file>

<file path=xl/ctrlProps/ctrlProp219.xml><?xml version="1.0" encoding="utf-8"?>
<formControlPr xmlns="http://schemas.microsoft.com/office/spreadsheetml/2009/9/main" objectType="GBox" noThreeD="1"/>
</file>

<file path=xl/ctrlProps/ctrlProp220.xml><?xml version="1.0" encoding="utf-8"?>
<formControlPr xmlns="http://schemas.microsoft.com/office/spreadsheetml/2009/9/main" objectType="Radio" firstButton="1" fmlaLink="Unformatted!F263" lockText="1" noThreeD="1"/>
</file>

<file path=xl/ctrlProps/ctrlProp221.xml><?xml version="1.0" encoding="utf-8"?>
<formControlPr xmlns="http://schemas.microsoft.com/office/spreadsheetml/2009/9/main" objectType="Radio" lockText="1" noThreeD="1"/>
</file>

<file path=xl/ctrlProps/ctrlProp222.xml><?xml version="1.0" encoding="utf-8"?>
<formControlPr xmlns="http://schemas.microsoft.com/office/spreadsheetml/2009/9/main" objectType="GBox" noThreeD="1"/>
</file>

<file path=xl/ctrlProps/ctrlProp223.xml><?xml version="1.0" encoding="utf-8"?>
<formControlPr xmlns="http://schemas.microsoft.com/office/spreadsheetml/2009/9/main" objectType="Radio" firstButton="1" fmlaLink="Unformatted!F267" lockText="1" noThreeD="1"/>
</file>

<file path=xl/ctrlProps/ctrlProp224.xml><?xml version="1.0" encoding="utf-8"?>
<formControlPr xmlns="http://schemas.microsoft.com/office/spreadsheetml/2009/9/main" objectType="Radio" lockText="1" noThreeD="1"/>
</file>

<file path=xl/ctrlProps/ctrlProp225.xml><?xml version="1.0" encoding="utf-8"?>
<formControlPr xmlns="http://schemas.microsoft.com/office/spreadsheetml/2009/9/main" objectType="GBox" noThreeD="1"/>
</file>

<file path=xl/ctrlProps/ctrlProp226.xml><?xml version="1.0" encoding="utf-8"?>
<formControlPr xmlns="http://schemas.microsoft.com/office/spreadsheetml/2009/9/main" objectType="Radio" firstButton="1" fmlaLink="Unformatted!F271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GBox" noThreeD="1"/>
</file>

<file path=xl/ctrlProps/ctrlProp229.xml><?xml version="1.0" encoding="utf-8"?>
<formControlPr xmlns="http://schemas.microsoft.com/office/spreadsheetml/2009/9/main" objectType="Radio" firstButton="1" fmlaLink="Unformatted!F275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GBox" noThreeD="1"/>
</file>

<file path=xl/ctrlProps/ctrlProp232.xml><?xml version="1.0" encoding="utf-8"?>
<formControlPr xmlns="http://schemas.microsoft.com/office/spreadsheetml/2009/9/main" objectType="Radio" firstButton="1" fmlaLink="Unformatted!F279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GBox" noThreeD="1"/>
</file>

<file path=xl/ctrlProps/ctrlProp235.xml><?xml version="1.0" encoding="utf-8"?>
<formControlPr xmlns="http://schemas.microsoft.com/office/spreadsheetml/2009/9/main" objectType="Radio" firstButton="1" fmlaLink="Unformatted!$F$287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GBox" noThreeD="1"/>
</file>

<file path=xl/ctrlProps/ctrlProp238.xml><?xml version="1.0" encoding="utf-8"?>
<formControlPr xmlns="http://schemas.microsoft.com/office/spreadsheetml/2009/9/main" objectType="Radio" firstButton="1" fmlaLink="Unformatted!F292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GBox" noThreeD="1"/>
</file>

<file path=xl/ctrlProps/ctrlProp241.xml><?xml version="1.0" encoding="utf-8"?>
<formControlPr xmlns="http://schemas.microsoft.com/office/spreadsheetml/2009/9/main" objectType="Radio" firstButton="1" fmlaLink="Unformatted!F297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GBox" noThreeD="1"/>
</file>

<file path=xl/ctrlProps/ctrlProp244.xml><?xml version="1.0" encoding="utf-8"?>
<formControlPr xmlns="http://schemas.microsoft.com/office/spreadsheetml/2009/9/main" objectType="Radio" firstButton="1" fmlaLink="Unformatted!F302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Drop" dropLines="3" dropStyle="combo" dx="22" fmlaLink="Unformatted!$E$312" fmlaRange="Data!$BD$2:$BD$4" noThreeD="1" sel="1" val="0"/>
</file>

<file path=xl/ctrlProps/ctrlProp247.xml><?xml version="1.0" encoding="utf-8"?>
<formControlPr xmlns="http://schemas.microsoft.com/office/spreadsheetml/2009/9/main" objectType="Drop" dropLines="3" dropStyle="combo" dx="22" fmlaLink="Unformatted!$F$312" fmlaRange="Data!$BD$2:$BD$4" noThreeD="1" sel="1" val="0"/>
</file>

<file path=xl/ctrlProps/ctrlProp248.xml><?xml version="1.0" encoding="utf-8"?>
<formControlPr xmlns="http://schemas.microsoft.com/office/spreadsheetml/2009/9/main" objectType="Drop" dropLines="9" dropStyle="combo" dx="22" fmlaLink="Unformatted!$F$307" fmlaRange="Data!$BF$2:$BF$10" noThreeD="1" sel="2" val="0"/>
</file>

<file path=xl/ctrlProps/ctrlProp249.xml><?xml version="1.0" encoding="utf-8"?>
<formControlPr xmlns="http://schemas.microsoft.com/office/spreadsheetml/2009/9/main" objectType="Drop" dropLines="6" dropStyle="combo" dx="22" fmlaLink="Unformatted!$F$308" fmlaRange="Data!$BH$2:$BH$7" noThreeD="1" sel="1" val="0"/>
</file>

<file path=xl/ctrlProps/ctrlProp250.xml><?xml version="1.0" encoding="utf-8"?>
<formControlPr xmlns="http://schemas.microsoft.com/office/spreadsheetml/2009/9/main" objectType="GBox" noThreeD="1"/>
</file>

<file path=xl/ctrlProps/ctrlProp251.xml><?xml version="1.0" encoding="utf-8"?>
<formControlPr xmlns="http://schemas.microsoft.com/office/spreadsheetml/2009/9/main" objectType="GBox" noThreeD="1"/>
</file>

<file path=xl/ctrlProps/ctrlProp252.xml><?xml version="1.0" encoding="utf-8"?>
<formControlPr xmlns="http://schemas.microsoft.com/office/spreadsheetml/2009/9/main" objectType="GBox" noThreeD="1"/>
</file>

<file path=xl/ctrlProps/ctrlProp253.xml><?xml version="1.0" encoding="utf-8"?>
<formControlPr xmlns="http://schemas.microsoft.com/office/spreadsheetml/2009/9/main" objectType="CheckBox" fmlaLink="Unformatted!$F$314" lockText="1" noThreeD="1"/>
</file>

<file path=xl/ctrlProps/ctrlProp254.xml><?xml version="1.0" encoding="utf-8"?>
<formControlPr xmlns="http://schemas.microsoft.com/office/spreadsheetml/2009/9/main" objectType="Drop" dropLines="3" dropStyle="combo" dx="22" fmlaLink="Unformatted!$F$318" fmlaRange="Data!$BD$2:$BD$4" noThreeD="1" sel="1" val="0"/>
</file>

<file path=xl/ctrlProps/ctrlProp255.xml><?xml version="1.0" encoding="utf-8"?>
<formControlPr xmlns="http://schemas.microsoft.com/office/spreadsheetml/2009/9/main" objectType="Drop" dropLines="3" dropStyle="combo" dx="22" fmlaLink="Unformatted!$F$322" fmlaRange="Data!$BD$2:$BD$4" noThreeD="1" sel="1" val="0"/>
</file>

<file path=xl/ctrlProps/ctrlProp256.xml><?xml version="1.0" encoding="utf-8"?>
<formControlPr xmlns="http://schemas.microsoft.com/office/spreadsheetml/2009/9/main" objectType="CheckBox" fmlaLink="Unformatted!E323" lockText="1" noThreeD="1"/>
</file>

<file path=xl/ctrlProps/ctrlProp257.xml><?xml version="1.0" encoding="utf-8"?>
<formControlPr xmlns="http://schemas.microsoft.com/office/spreadsheetml/2009/9/main" objectType="CheckBox" checked="Checked" fmlaLink="Unformatted!$E$326" lockText="1" noThreeD="1"/>
</file>

<file path=xl/ctrlProps/ctrlProp258.xml><?xml version="1.0" encoding="utf-8"?>
<formControlPr xmlns="http://schemas.microsoft.com/office/spreadsheetml/2009/9/main" objectType="CheckBox" checked="Checked" fmlaLink="Unformatted!$E$327" lockText="1" noThreeD="1"/>
</file>

<file path=xl/ctrlProps/ctrlProp259.xml><?xml version="1.0" encoding="utf-8"?>
<formControlPr xmlns="http://schemas.microsoft.com/office/spreadsheetml/2009/9/main" objectType="CheckBox" checked="Checked" fmlaLink="Unformatted!$E$333" lockText="1" noThreeD="1"/>
</file>

<file path=xl/ctrlProps/ctrlProp260.xml><?xml version="1.0" encoding="utf-8"?>
<formControlPr xmlns="http://schemas.microsoft.com/office/spreadsheetml/2009/9/main" objectType="CheckBox" checked="Checked" fmlaLink="Unformatted!$E$329" lockText="1" noThreeD="1"/>
</file>

<file path=xl/ctrlProps/ctrlProp261.xml><?xml version="1.0" encoding="utf-8"?>
<formControlPr xmlns="http://schemas.microsoft.com/office/spreadsheetml/2009/9/main" objectType="CheckBox" checked="Checked" fmlaLink="Unformatted!$E$330" lockText="1" noThreeD="1"/>
</file>

<file path=xl/ctrlProps/ctrlProp262.xml><?xml version="1.0" encoding="utf-8"?>
<formControlPr xmlns="http://schemas.microsoft.com/office/spreadsheetml/2009/9/main" objectType="CheckBox" checked="Checked" fmlaLink="Unformatted!$E$332" lockText="1" noThreeD="1"/>
</file>

<file path=xl/ctrlProps/ctrlProp263.xml><?xml version="1.0" encoding="utf-8"?>
<formControlPr xmlns="http://schemas.microsoft.com/office/spreadsheetml/2009/9/main" objectType="CheckBox" checked="Checked" fmlaLink="Unformatted!$E$328" lockText="1" noThreeD="1"/>
</file>

<file path=xl/ctrlProps/ctrlProp264.xml><?xml version="1.0" encoding="utf-8"?>
<formControlPr xmlns="http://schemas.microsoft.com/office/spreadsheetml/2009/9/main" objectType="CheckBox" checked="Checked" fmlaLink="Unformatted!$E$334" lockText="1" noThreeD="1"/>
</file>

<file path=xl/ctrlProps/ctrlProp265.xml><?xml version="1.0" encoding="utf-8"?>
<formControlPr xmlns="http://schemas.microsoft.com/office/spreadsheetml/2009/9/main" objectType="CheckBox" checked="Checked" fmlaLink="Unformatted!$E$335" lockText="1" noThreeD="1"/>
</file>

<file path=xl/ctrlProps/ctrlProp266.xml><?xml version="1.0" encoding="utf-8"?>
<formControlPr xmlns="http://schemas.microsoft.com/office/spreadsheetml/2009/9/main" objectType="CheckBox" checked="Checked" fmlaLink="Unformatted!$E$336" lockText="1" noThreeD="1"/>
</file>

<file path=xl/ctrlProps/ctrlProp267.xml><?xml version="1.0" encoding="utf-8"?>
<formControlPr xmlns="http://schemas.microsoft.com/office/spreadsheetml/2009/9/main" objectType="CheckBox" checked="Checked" fmlaLink="Unformatted!$E$185465" lockText="1" noThreeD="1"/>
</file>

<file path=xl/ctrlProps/ctrlProp268.xml><?xml version="1.0" encoding="utf-8"?>
<formControlPr xmlns="http://schemas.microsoft.com/office/spreadsheetml/2009/9/main" objectType="CheckBox" checked="Checked" fmlaLink="Unformatted!$E$339" lockText="1" noThreeD="1"/>
</file>

<file path=xl/ctrlProps/ctrlProp269.xml><?xml version="1.0" encoding="utf-8"?>
<formControlPr xmlns="http://schemas.microsoft.com/office/spreadsheetml/2009/9/main" objectType="CheckBox" fmlaLink="Unformatted!$E$331" lockText="1" noThreeD="1"/>
</file>

<file path=xl/ctrlProps/ctrlProp270.xml><?xml version="1.0" encoding="utf-8"?>
<formControlPr xmlns="http://schemas.microsoft.com/office/spreadsheetml/2009/9/main" objectType="CheckBox" fmlaLink="Unformatted!$E$342" lockText="1" noThreeD="1"/>
</file>

<file path=xl/ctrlProps/ctrlProp271.xml><?xml version="1.0" encoding="utf-8"?>
<formControlPr xmlns="http://schemas.microsoft.com/office/spreadsheetml/2009/9/main" objectType="CheckBox" fmlaLink="Unformatted!$E$343" lockText="1" noThreeD="1"/>
</file>

<file path=xl/ctrlProps/ctrlProp272.xml><?xml version="1.0" encoding="utf-8"?>
<formControlPr xmlns="http://schemas.microsoft.com/office/spreadsheetml/2009/9/main" objectType="CheckBox" fmlaLink="Unformatted!$E$344" lockText="1" noThreeD="1"/>
</file>

<file path=xl/ctrlProps/ctrlProp273.xml><?xml version="1.0" encoding="utf-8"?>
<formControlPr xmlns="http://schemas.microsoft.com/office/spreadsheetml/2009/9/main" objectType="CheckBox" fmlaLink="Unformatted!$E$345" lockText="1" noThreeD="1"/>
</file>

<file path=xl/ctrlProps/ctrlProp274.xml><?xml version="1.0" encoding="utf-8"?>
<formControlPr xmlns="http://schemas.microsoft.com/office/spreadsheetml/2009/9/main" objectType="CheckBox" fmlaLink="Unformatted!E346" lockText="1" noThreeD="1"/>
</file>

<file path=xl/ctrlProps/ctrlProp275.xml><?xml version="1.0" encoding="utf-8"?>
<formControlPr xmlns="http://schemas.microsoft.com/office/spreadsheetml/2009/9/main" objectType="CheckBox" fmlaLink="Unformatted!$E$348" lockText="1" noThreeD="1"/>
</file>

<file path=xl/ctrlProps/ctrlProp276.xml><?xml version="1.0" encoding="utf-8"?>
<formControlPr xmlns="http://schemas.microsoft.com/office/spreadsheetml/2009/9/main" objectType="CheckBox" fmlaLink="Unformatted!$E$349" lockText="1" noThreeD="1"/>
</file>

<file path=xl/ctrlProps/ctrlProp277.xml><?xml version="1.0" encoding="utf-8"?>
<formControlPr xmlns="http://schemas.microsoft.com/office/spreadsheetml/2009/9/main" objectType="CheckBox" fmlaLink="Unformatted!E354" lockText="1" noThreeD="1"/>
</file>

<file path=xl/ctrlProps/ctrlProp278.xml><?xml version="1.0" encoding="utf-8"?>
<formControlPr xmlns="http://schemas.microsoft.com/office/spreadsheetml/2009/9/main" objectType="CheckBox" fmlaLink="Unformatted!$E$356" lockText="1" noThreeD="1"/>
</file>

<file path=xl/ctrlProps/ctrlProp279.xml><?xml version="1.0" encoding="utf-8"?>
<formControlPr xmlns="http://schemas.microsoft.com/office/spreadsheetml/2009/9/main" objectType="CheckBox" fmlaLink="Unformatted!$E$357" lockText="1" noThreeD="1"/>
</file>

<file path=xl/ctrlProps/ctrlProp280.xml><?xml version="1.0" encoding="utf-8"?>
<formControlPr xmlns="http://schemas.microsoft.com/office/spreadsheetml/2009/9/main" objectType="CheckBox" fmlaLink="Unformatted!$E$351" lockText="1" noThreeD="1"/>
</file>

<file path=xl/ctrlProps/ctrlProp281.xml><?xml version="1.0" encoding="utf-8"?>
<formControlPr xmlns="http://schemas.microsoft.com/office/spreadsheetml/2009/9/main" objectType="CheckBox" fmlaLink="Unformatted!$E$352" lockText="1" noThreeD="1"/>
</file>

<file path=xl/ctrlProps/ctrlProp282.xml><?xml version="1.0" encoding="utf-8"?>
<formControlPr xmlns="http://schemas.microsoft.com/office/spreadsheetml/2009/9/main" objectType="CheckBox" fmlaLink="Unformatted!$E$338" lockText="1" noThreeD="1"/>
</file>

<file path=xl/ctrlProps/ctrlProp283.xml><?xml version="1.0" encoding="utf-8"?>
<formControlPr xmlns="http://schemas.microsoft.com/office/spreadsheetml/2009/9/main" objectType="CheckBox" fmlaLink="Unformatted!$E$353" lockText="1" noThreeD="1"/>
</file>

<file path=xl/ctrlProps/ctrlProp284.xml><?xml version="1.0" encoding="utf-8"?>
<formControlPr xmlns="http://schemas.microsoft.com/office/spreadsheetml/2009/9/main" objectType="CheckBox" fmlaLink="Unformatted!E347" lockText="1" noThreeD="1"/>
</file>

<file path=xl/ctrlProps/ctrlProp285.xml><?xml version="1.0" encoding="utf-8"?>
<formControlPr xmlns="http://schemas.microsoft.com/office/spreadsheetml/2009/9/main" objectType="CheckBox" fmlaLink="Unformatted!$E150" lockText="1" noThreeD="1"/>
</file>

<file path=xl/ctrlProps/ctrlProp286.xml><?xml version="1.0" encoding="utf-8"?>
<formControlPr xmlns="http://schemas.microsoft.com/office/spreadsheetml/2009/9/main" objectType="CheckBox" fmlaLink="Unformatted!E337" lockText="1" noThreeD="1"/>
</file>

<file path=xl/ctrlProps/ctrlProp287.xml><?xml version="1.0" encoding="utf-8"?>
<formControlPr xmlns="http://schemas.microsoft.com/office/spreadsheetml/2009/9/main" objectType="CheckBox" fmlaLink="Unformatted!$E147" lockText="1" noThreeD="1"/>
</file>

<file path=xl/ctrlProps/ctrlProp288.xml><?xml version="1.0" encoding="utf-8"?>
<formControlPr xmlns="http://schemas.microsoft.com/office/spreadsheetml/2009/9/main" objectType="CheckBox" fmlaLink="Unformatted!$E151" lockText="1" noThreeD="1"/>
</file>

<file path=xl/ctrlProps/ctrlProp289.xml><?xml version="1.0" encoding="utf-8"?>
<formControlPr xmlns="http://schemas.microsoft.com/office/spreadsheetml/2009/9/main" objectType="CheckBox" fmlaLink="Unformatted!$E$49" lockText="1" noThreeD="1"/>
</file>

<file path=xl/ctrlProps/ctrlProp290.xml><?xml version="1.0" encoding="utf-8"?>
<formControlPr xmlns="http://schemas.microsoft.com/office/spreadsheetml/2009/9/main" objectType="CheckBox" checked="Checked" fmlaLink="Unformatted!$E$50" lockText="1" noThreeD="1"/>
</file>

<file path=xl/ctrlProps/ctrlProp291.xml><?xml version="1.0" encoding="utf-8"?>
<formControlPr xmlns="http://schemas.microsoft.com/office/spreadsheetml/2009/9/main" objectType="CheckBox" fmlaLink="Unformatted!$E$51" lockText="1" noThreeD="1"/>
</file>

<file path=xl/ctrlProps/ctrlProp292.xml><?xml version="1.0" encoding="utf-8"?>
<formControlPr xmlns="http://schemas.microsoft.com/office/spreadsheetml/2009/9/main" objectType="CheckBox" fmlaLink="Unformatted!G56" lockText="1" noThreeD="1"/>
</file>

<file path=xl/ctrlProps/ctrlProp293.xml><?xml version="1.0" encoding="utf-8"?>
<formControlPr xmlns="http://schemas.microsoft.com/office/spreadsheetml/2009/9/main" objectType="CheckBox" fmlaLink="Unformatted!$E$192" lockText="1" noThreeD="1"/>
</file>

<file path=xl/ctrlProps/ctrlProp294.xml><?xml version="1.0" encoding="utf-8"?>
<formControlPr xmlns="http://schemas.microsoft.com/office/spreadsheetml/2009/9/main" objectType="CheckBox" fmlaLink="Unformatted!$E$193" lockText="1" noThreeD="1"/>
</file>

<file path=xl/ctrlProps/ctrlProp295.xml><?xml version="1.0" encoding="utf-8"?>
<formControlPr xmlns="http://schemas.microsoft.com/office/spreadsheetml/2009/9/main" objectType="CheckBox" fmlaLink="Unformatted!$E$191" lockText="1" noThreeD="1"/>
</file>

<file path=xl/ctrlProps/ctrlProp296.xml><?xml version="1.0" encoding="utf-8"?>
<formControlPr xmlns="http://schemas.microsoft.com/office/spreadsheetml/2009/9/main" objectType="CheckBox" fmlaLink="Unformatted!$E$190" lockText="1" noThreeD="1"/>
</file>

<file path=xl/ctrlProps/ctrlProp297.xml><?xml version="1.0" encoding="utf-8"?>
<formControlPr xmlns="http://schemas.microsoft.com/office/spreadsheetml/2009/9/main" objectType="CheckBox" fmlaLink="Unformatted!I180" lockText="1" noThreeD="1"/>
</file>

<file path=xl/ctrlProps/ctrlProp298.xml><?xml version="1.0" encoding="utf-8"?>
<formControlPr xmlns="http://schemas.microsoft.com/office/spreadsheetml/2009/9/main" objectType="CheckBox" fmlaLink="Unformatted!K180" lockText="1" noThreeD="1"/>
</file>

<file path=xl/ctrlProps/ctrlProp299.xml><?xml version="1.0" encoding="utf-8"?>
<formControlPr xmlns="http://schemas.microsoft.com/office/spreadsheetml/2009/9/main" objectType="CheckBox" fmlaLink="Unformatted!J180" lockText="1" noThreeD="1"/>
</file>

<file path=xl/ctrlProps/ctrlProp300.xml><?xml version="1.0" encoding="utf-8"?>
<formControlPr xmlns="http://schemas.microsoft.com/office/spreadsheetml/2009/9/main" objectType="CheckBox" fmlaLink="Unformatted!L180" lockText="1" noThreeD="1"/>
</file>

<file path=xl/ctrlProps/ctrlProp301.xml><?xml version="1.0" encoding="utf-8"?>
<formControlPr xmlns="http://schemas.microsoft.com/office/spreadsheetml/2009/9/main" objectType="CheckBox" fmlaLink="Unformatted!$E$342" lockText="1" noThreeD="1"/>
</file>

<file path=xl/ctrlProps/ctrlProp302.xml><?xml version="1.0" encoding="utf-8"?>
<formControlPr xmlns="http://schemas.microsoft.com/office/spreadsheetml/2009/9/main" objectType="CheckBox" fmlaLink="Unformatted!$E$343" lockText="1" noThreeD="1"/>
</file>

<file path=xl/ctrlProps/ctrlProp303.xml><?xml version="1.0" encoding="utf-8"?>
<formControlPr xmlns="http://schemas.microsoft.com/office/spreadsheetml/2009/9/main" objectType="CheckBox" fmlaLink="Unformatted!$E$344" lockText="1" noThreeD="1"/>
</file>

<file path=xl/ctrlProps/ctrlProp304.xml><?xml version="1.0" encoding="utf-8"?>
<formControlPr xmlns="http://schemas.microsoft.com/office/spreadsheetml/2009/9/main" objectType="CheckBox" fmlaLink="Unformatted!$E$345" lockText="1" noThreeD="1"/>
</file>

<file path=xl/ctrlProps/ctrlProp305.xml><?xml version="1.0" encoding="utf-8"?>
<formControlPr xmlns="http://schemas.microsoft.com/office/spreadsheetml/2009/9/main" objectType="CheckBox" fmlaLink="Unformatted!$E$346" lockText="1" noThreeD="1"/>
</file>

<file path=xl/ctrlProps/ctrlProp306.xml><?xml version="1.0" encoding="utf-8"?>
<formControlPr xmlns="http://schemas.microsoft.com/office/spreadsheetml/2009/9/main" objectType="CheckBox" fmlaLink="Unformatted!$E$348" lockText="1" noThreeD="1"/>
</file>

<file path=xl/ctrlProps/ctrlProp307.xml><?xml version="1.0" encoding="utf-8"?>
<formControlPr xmlns="http://schemas.microsoft.com/office/spreadsheetml/2009/9/main" objectType="CheckBox" fmlaLink="Unformatted!$E$349" lockText="1" noThreeD="1"/>
</file>

<file path=xl/ctrlProps/ctrlProp308.xml><?xml version="1.0" encoding="utf-8"?>
<formControlPr xmlns="http://schemas.microsoft.com/office/spreadsheetml/2009/9/main" objectType="CheckBox" fmlaLink="Unformatted!$E$350" lockText="1" noThreeD="1"/>
</file>

<file path=xl/ctrlProps/ctrlProp309.xml><?xml version="1.0" encoding="utf-8"?>
<formControlPr xmlns="http://schemas.microsoft.com/office/spreadsheetml/2009/9/main" objectType="CheckBox" fmlaLink="Unformatted!$E$351" lockText="1" noThreeD="1"/>
</file>

<file path=xl/ctrlProps/ctrlProp310.xml><?xml version="1.0" encoding="utf-8"?>
<formControlPr xmlns="http://schemas.microsoft.com/office/spreadsheetml/2009/9/main" objectType="CheckBox" fmlaLink="Unformatted!$E$356" lockText="1" noThreeD="1"/>
</file>

<file path=xl/ctrlProps/ctrlProp311.xml><?xml version="1.0" encoding="utf-8"?>
<formControlPr xmlns="http://schemas.microsoft.com/office/spreadsheetml/2009/9/main" objectType="CheckBox" fmlaLink="Unformatted!$E$357" lockText="1" noThreeD="1"/>
</file>

<file path=xl/ctrlProps/ctrlProp312.xml><?xml version="1.0" encoding="utf-8"?>
<formControlPr xmlns="http://schemas.microsoft.com/office/spreadsheetml/2009/9/main" objectType="CheckBox" fmlaLink="Unformatted!$E$194" lockText="1" noThreeD="1"/>
</file>

<file path=xl/ctrlProps/ctrlProp313.xml><?xml version="1.0" encoding="utf-8"?>
<formControlPr xmlns="http://schemas.microsoft.com/office/spreadsheetml/2009/9/main" objectType="CheckBox" fmlaLink="Unformatted!$E$195" lockText="1" noThreeD="1"/>
</file>

<file path=xl/ctrlProps/ctrlProp314.xml><?xml version="1.0" encoding="utf-8"?>
<formControlPr xmlns="http://schemas.microsoft.com/office/spreadsheetml/2009/9/main" objectType="CheckBox" fmlaLink="Unformatted!$E$52" noThreeD="1"/>
</file>

<file path=xl/ctrlProps/ctrlProp315.xml><?xml version="1.0" encoding="utf-8"?>
<formControlPr xmlns="http://schemas.microsoft.com/office/spreadsheetml/2009/9/main" objectType="CheckBox" fmlaLink="Unformatted!$E$231" lockText="1" noThreeD="1"/>
</file>

<file path=xl/ctrlProps/ctrlProp316.xml><?xml version="1.0" encoding="utf-8"?>
<formControlPr xmlns="http://schemas.microsoft.com/office/spreadsheetml/2009/9/main" objectType="CheckBox" fmlaLink="Unformatted!$G$231" lockText="1" noThreeD="1"/>
</file>

<file path=xl/ctrlProps/ctrlProp317.xml><?xml version="1.0" encoding="utf-8"?>
<formControlPr xmlns="http://schemas.microsoft.com/office/spreadsheetml/2009/9/main" objectType="CheckBox" fmlaLink="Unformatted!$I$231" lockText="1" noThreeD="1"/>
</file>

<file path=xl/ctrlProps/ctrlProp318.xml><?xml version="1.0" encoding="utf-8"?>
<formControlPr xmlns="http://schemas.microsoft.com/office/spreadsheetml/2009/9/main" objectType="CheckBox" fmlaLink="Unformatted!$F$231" lockText="1" noThreeD="1"/>
</file>

<file path=xl/ctrlProps/ctrlProp319.xml><?xml version="1.0" encoding="utf-8"?>
<formControlPr xmlns="http://schemas.microsoft.com/office/spreadsheetml/2009/9/main" objectType="CheckBox" fmlaLink="Unformatted!$H$231" lockText="1" noThreeD="1"/>
</file>

<file path=xl/ctrlProps/ctrlProp320.xml><?xml version="1.0" encoding="utf-8"?>
<formControlPr xmlns="http://schemas.microsoft.com/office/spreadsheetml/2009/9/main" objectType="CheckBox" fmlaLink="Unformatted!$J$231" lockText="1" noThreeD="1"/>
</file>

<file path=xl/ctrlProps/ctrlProp321.xml><?xml version="1.0" encoding="utf-8"?>
<formControlPr xmlns="http://schemas.microsoft.com/office/spreadsheetml/2009/9/main" objectType="CheckBox" fmlaLink="Unformatted!$E$218" lockText="1" noThreeD="1"/>
</file>

<file path=xl/ctrlProps/ctrlProp322.xml><?xml version="1.0" encoding="utf-8"?>
<formControlPr xmlns="http://schemas.microsoft.com/office/spreadsheetml/2009/9/main" objectType="CheckBox" fmlaLink="Unformatted!$E$178" lockText="1" noThreeD="1"/>
</file>

<file path=xl/ctrlProps/ctrlProp323.xml><?xml version="1.0" encoding="utf-8"?>
<formControlPr xmlns="http://schemas.microsoft.com/office/spreadsheetml/2009/9/main" objectType="CheckBox" checked="Checked" fmlaLink="Unformatted!$E$326" lockText="1" noThreeD="1"/>
</file>

<file path=xl/ctrlProps/ctrlProp324.xml><?xml version="1.0" encoding="utf-8"?>
<formControlPr xmlns="http://schemas.microsoft.com/office/spreadsheetml/2009/9/main" objectType="CheckBox" checked="Checked" fmlaLink="Unformatted!$E$327" lockText="1" noThreeD="1"/>
</file>

<file path=xl/ctrlProps/ctrlProp325.xml><?xml version="1.0" encoding="utf-8"?>
<formControlPr xmlns="http://schemas.microsoft.com/office/spreadsheetml/2009/9/main" objectType="CheckBox" checked="Checked" fmlaLink="Unformatted!$E$333" lockText="1" noThreeD="1"/>
</file>

<file path=xl/ctrlProps/ctrlProp326.xml><?xml version="1.0" encoding="utf-8"?>
<formControlPr xmlns="http://schemas.microsoft.com/office/spreadsheetml/2009/9/main" objectType="CheckBox" checked="Checked" fmlaLink="Unformatted!$E$329" lockText="1" noThreeD="1"/>
</file>

<file path=xl/ctrlProps/ctrlProp327.xml><?xml version="1.0" encoding="utf-8"?>
<formControlPr xmlns="http://schemas.microsoft.com/office/spreadsheetml/2009/9/main" objectType="CheckBox" checked="Checked" fmlaLink="Unformatted!$E$330" lockText="1" noThreeD="1"/>
</file>

<file path=xl/ctrlProps/ctrlProp328.xml><?xml version="1.0" encoding="utf-8"?>
<formControlPr xmlns="http://schemas.microsoft.com/office/spreadsheetml/2009/9/main" objectType="CheckBox" checked="Checked" fmlaLink="Unformatted!$E$332" lockText="1" noThreeD="1"/>
</file>

<file path=xl/ctrlProps/ctrlProp329.xml><?xml version="1.0" encoding="utf-8"?>
<formControlPr xmlns="http://schemas.microsoft.com/office/spreadsheetml/2009/9/main" objectType="CheckBox" checked="Checked" fmlaLink="Unformatted!$E$328" lockText="1" noThreeD="1"/>
</file>

<file path=xl/ctrlProps/ctrlProp330.xml><?xml version="1.0" encoding="utf-8"?>
<formControlPr xmlns="http://schemas.microsoft.com/office/spreadsheetml/2009/9/main" objectType="CheckBox" checked="Checked" fmlaLink="Unformatted!$E$334" lockText="1" noThreeD="1"/>
</file>

<file path=xl/ctrlProps/ctrlProp331.xml><?xml version="1.0" encoding="utf-8"?>
<formControlPr xmlns="http://schemas.microsoft.com/office/spreadsheetml/2009/9/main" objectType="CheckBox" checked="Checked" fmlaLink="Unformatted!$E$335" lockText="1" noThreeD="1"/>
</file>

<file path=xl/ctrlProps/ctrlProp332.xml><?xml version="1.0" encoding="utf-8"?>
<formControlPr xmlns="http://schemas.microsoft.com/office/spreadsheetml/2009/9/main" objectType="CheckBox" checked="Checked" fmlaLink="Unformatted!$E$336" lockText="1" noThreeD="1"/>
</file>

<file path=xl/ctrlProps/ctrlProp333.xml><?xml version="1.0" encoding="utf-8"?>
<formControlPr xmlns="http://schemas.microsoft.com/office/spreadsheetml/2009/9/main" objectType="CheckBox" checked="Checked" fmlaLink="Unformatted!$E$340" lockText="1" noThreeD="1"/>
</file>

<file path=xl/ctrlProps/ctrlProp334.xml><?xml version="1.0" encoding="utf-8"?>
<formControlPr xmlns="http://schemas.microsoft.com/office/spreadsheetml/2009/9/main" objectType="CheckBox" checked="Checked" fmlaLink="Unformatted!$E$339" lockText="1" noThreeD="1"/>
</file>

<file path=xl/ctrlProps/ctrlProp335.xml><?xml version="1.0" encoding="utf-8"?>
<formControlPr xmlns="http://schemas.microsoft.com/office/spreadsheetml/2009/9/main" objectType="CheckBox" fmlaLink="Unformatted!$E$331" lockText="1" noThreeD="1"/>
</file>

<file path=xl/ctrlProps/ctrlProp336.xml><?xml version="1.0" encoding="utf-8"?>
<formControlPr xmlns="http://schemas.microsoft.com/office/spreadsheetml/2009/9/main" objectType="CheckBox" fmlaLink="Unformatted!$E$337" lockText="1" noThreeD="1"/>
</file>

<file path=xl/ctrlProps/ctrlProp337.xml><?xml version="1.0" encoding="utf-8"?>
<formControlPr xmlns="http://schemas.microsoft.com/office/spreadsheetml/2009/9/main" objectType="CheckBox" fmlaLink="Unformatted!$E$338" lockText="1" noThreeD="1"/>
</file>

<file path=xl/ctrlProps/ctrlProp338.xml><?xml version="1.0" encoding="utf-8"?>
<formControlPr xmlns="http://schemas.microsoft.com/office/spreadsheetml/2009/9/main" objectType="CheckBox" fmlaLink="Unformatted!$E$352" lockText="1" noThreeD="1"/>
</file>

<file path=xl/ctrlProps/ctrlProp339.xml><?xml version="1.0" encoding="utf-8"?>
<formControlPr xmlns="http://schemas.microsoft.com/office/spreadsheetml/2009/9/main" objectType="CheckBox" fmlaLink="Unformatted!$E$353" lockText="1" noThreeD="1"/>
</file>

<file path=xl/ctrlProps/ctrlProp340.xml><?xml version="1.0" encoding="utf-8"?>
<formControlPr xmlns="http://schemas.microsoft.com/office/spreadsheetml/2009/9/main" objectType="CheckBox" fmlaLink="Unformatted!$E$53" lockText="1" noThreeD="1"/>
</file>

<file path=xl/ctrlProps/ctrlProp341.xml><?xml version="1.0" encoding="utf-8"?>
<formControlPr xmlns="http://schemas.microsoft.com/office/spreadsheetml/2009/9/main" objectType="CheckBox" checked="Checked" fmlaLink="Unformatted!$E$70" lockText="1" noThreeD="1"/>
</file>

<file path=xl/ctrlProps/ctrlProp342.xml><?xml version="1.0" encoding="utf-8"?>
<formControlPr xmlns="http://schemas.microsoft.com/office/spreadsheetml/2009/9/main" objectType="CheckBox" fmlaLink="Unformatted!$E$72" lockText="1" noThreeD="1"/>
</file>

<file path=xl/ctrlProps/ctrlProp343.xml><?xml version="1.0" encoding="utf-8"?>
<formControlPr xmlns="http://schemas.microsoft.com/office/spreadsheetml/2009/9/main" objectType="CheckBox" fmlaLink="Unformatted!$E$71" lockText="1" noThreeD="1"/>
</file>

<file path=xl/ctrlProps/ctrlProp344.xml><?xml version="1.0" encoding="utf-8"?>
<formControlPr xmlns="http://schemas.microsoft.com/office/spreadsheetml/2009/9/main" objectType="CheckBox" fmlaLink="Unformatted!$E$73" lockText="1" noThreeD="1"/>
</file>

<file path=xl/ctrlProps/ctrlProp345.xml><?xml version="1.0" encoding="utf-8"?>
<formControlPr xmlns="http://schemas.microsoft.com/office/spreadsheetml/2009/9/main" objectType="CheckBox" fmlaLink="Unformatted!$E$69" lockText="1" noThreeD="1"/>
</file>

<file path=xl/ctrlProps/ctrlProp346.xml><?xml version="1.0" encoding="utf-8"?>
<formControlPr xmlns="http://schemas.microsoft.com/office/spreadsheetml/2009/9/main" objectType="CheckBox" fmlaLink="Unformatted!$E$74" lockText="1" noThreeD="1"/>
</file>

<file path=xl/ctrlProps/ctrlProp347.xml><?xml version="1.0" encoding="utf-8"?>
<formControlPr xmlns="http://schemas.microsoft.com/office/spreadsheetml/2009/9/main" objectType="CheckBox" fmlaLink="Unformatted!$E$146" lockText="1" noThreeD="1"/>
</file>

<file path=xl/ctrlProps/ctrlProp348.xml><?xml version="1.0" encoding="utf-8"?>
<formControlPr xmlns="http://schemas.microsoft.com/office/spreadsheetml/2009/9/main" objectType="CheckBox" fmlaLink="Unformatted!$E$145" lockText="1" noThreeD="1"/>
</file>

<file path=xl/ctrlProps/ctrlProp349.xml><?xml version="1.0" encoding="utf-8"?>
<formControlPr xmlns="http://schemas.microsoft.com/office/spreadsheetml/2009/9/main" objectType="CheckBox" fmlaLink="Unformatted!$E149" lockText="1" noThreeD="1"/>
</file>

<file path=xl/ctrlProps/ctrlProp350.xml><?xml version="1.0" encoding="utf-8"?>
<formControlPr xmlns="http://schemas.microsoft.com/office/spreadsheetml/2009/9/main" objectType="CheckBox" fmlaLink="Unformatted!$E150" lockText="1" noThreeD="1"/>
</file>

<file path=xl/ctrlProps/ctrlProp351.xml><?xml version="1.0" encoding="utf-8"?>
<formControlPr xmlns="http://schemas.microsoft.com/office/spreadsheetml/2009/9/main" objectType="CheckBox" fmlaLink="Unformatted!$E148" lockText="1" noThreeD="1"/>
</file>

<file path=xl/ctrlProps/ctrlProp352.xml><?xml version="1.0" encoding="utf-8"?>
<formControlPr xmlns="http://schemas.microsoft.com/office/spreadsheetml/2009/9/main" objectType="CheckBox" fmlaLink="Unformatted!$E152" lockText="1" noThreeD="1"/>
</file>

<file path=xl/ctrlProps/ctrlProp353.xml><?xml version="1.0" encoding="utf-8"?>
<formControlPr xmlns="http://schemas.microsoft.com/office/spreadsheetml/2009/9/main" objectType="CheckBox" fmlaLink="Unformatted!$E151" lockText="1" noThreeD="1"/>
</file>

<file path=xl/ctrlProps/ctrlProp354.xml><?xml version="1.0" encoding="utf-8"?>
<formControlPr xmlns="http://schemas.microsoft.com/office/spreadsheetml/2009/9/main" objectType="CheckBox" fmlaLink="Unformatted!$E147" lockText="1" noThreeD="1"/>
</file>

<file path=xl/ctrlProps/ctrlProp355.xml><?xml version="1.0" encoding="utf-8"?>
<formControlPr xmlns="http://schemas.microsoft.com/office/spreadsheetml/2009/9/main" objectType="CheckBox" fmlaLink="Unformatted!$F$144" lockText="1" noThreeD="1"/>
</file>

<file path=xl/ctrlProps/ctrlProp356.xml><?xml version="1.0" encoding="utf-8"?>
<formControlPr xmlns="http://schemas.microsoft.com/office/spreadsheetml/2009/9/main" objectType="CheckBox" fmlaLink="Unformatted!G85" lockText="1" noThreeD="1"/>
</file>

<file path=xl/ctrlProps/ctrlProp357.xml><?xml version="1.0" encoding="utf-8"?>
<formControlPr xmlns="http://schemas.microsoft.com/office/spreadsheetml/2009/9/main" objectType="CheckBox" fmlaLink="Unformatted!G99" lockText="1" noThreeD="1"/>
</file>

<file path=xl/ctrlProps/ctrlProp358.xml><?xml version="1.0" encoding="utf-8"?>
<formControlPr xmlns="http://schemas.microsoft.com/office/spreadsheetml/2009/9/main" objectType="CheckBox" fmlaLink="Unformatted!G115" lockText="1" noThreeD="1"/>
</file>

<file path=xl/ctrlProps/ctrlProp359.xml><?xml version="1.0" encoding="utf-8"?>
<formControlPr xmlns="http://schemas.microsoft.com/office/spreadsheetml/2009/9/main" objectType="CheckBox" fmlaLink="Unformatted!E323" lockText="1" noThreeD="1"/>
</file>

<file path=xl/ctrlProps/ctrlProp360.xml><?xml version="1.0" encoding="utf-8"?>
<formControlPr xmlns="http://schemas.microsoft.com/office/spreadsheetml/2009/9/main" objectType="CheckBox" fmlaLink="Unformatted!E347" lockText="1" noThreeD="1"/>
</file>

<file path=xl/ctrlProps/ctrlProp361.xml><?xml version="1.0" encoding="utf-8"?>
<formControlPr xmlns="http://schemas.microsoft.com/office/spreadsheetml/2009/9/main" objectType="Drop" dropStyle="combo" dx="22" fmlaLink="Unformatted!$G$486" fmlaRange="Data!$AL$2:$AL$7" noThreeD="1" sel="1" val="0"/>
</file>

<file path=xl/ctrlProps/ctrlProp362.xml><?xml version="1.0" encoding="utf-8"?>
<formControlPr xmlns="http://schemas.microsoft.com/office/spreadsheetml/2009/9/main" objectType="Drop" dropStyle="combo" dx="22" fmlaLink="Unformatted!$G$492" fmlaRange="Data!$AL$2:$AL$7" noThreeD="1" sel="1" val="0"/>
</file>

<file path=xl/ctrlProps/ctrlProp363.xml><?xml version="1.0" encoding="utf-8"?>
<formControlPr xmlns="http://schemas.microsoft.com/office/spreadsheetml/2009/9/main" objectType="GBox" noThreeD="1"/>
</file>

<file path=xl/ctrlProps/ctrlProp364.xml><?xml version="1.0" encoding="utf-8"?>
<formControlPr xmlns="http://schemas.microsoft.com/office/spreadsheetml/2009/9/main" objectType="Drop" dropStyle="combo" dx="22" fmlaLink="Unformatted!$G$489" fmlaRange="Data!$AL$2:$AL$7" noThreeD="1" sel="2" val="0"/>
</file>

<file path=xl/ctrlProps/ctrlProp365.xml><?xml version="1.0" encoding="utf-8"?>
<formControlPr xmlns="http://schemas.microsoft.com/office/spreadsheetml/2009/9/main" objectType="Drop" dropStyle="combo" dx="22" fmlaLink="Unformatted!$G$491" fmlaRange="Data!$AL$2:$AL$7" noThreeD="1" sel="2" val="0"/>
</file>

<file path=xl/ctrlProps/ctrlProp366.xml><?xml version="1.0" encoding="utf-8"?>
<formControlPr xmlns="http://schemas.microsoft.com/office/spreadsheetml/2009/9/main" objectType="Drop" dropStyle="combo" dx="22" fmlaLink="Unformatted!$G$490" fmlaRange="Data!$AL$2:$AL$7" noThreeD="1" sel="2" val="0"/>
</file>

<file path=xl/ctrlProps/ctrlProp367.xml><?xml version="1.0" encoding="utf-8"?>
<formControlPr xmlns="http://schemas.microsoft.com/office/spreadsheetml/2009/9/main" objectType="CheckBox" fmlaLink="Unformatted!$E$499" lockText="1" noThreeD="1"/>
</file>

<file path=xl/ctrlProps/ctrlProp368.xml><?xml version="1.0" encoding="utf-8"?>
<formControlPr xmlns="http://schemas.microsoft.com/office/spreadsheetml/2009/9/main" objectType="CheckBox" fmlaLink="Unformatted!$G$499" lockText="1" noThreeD="1"/>
</file>

<file path=xl/ctrlProps/ctrlProp369.xml><?xml version="1.0" encoding="utf-8"?>
<formControlPr xmlns="http://schemas.microsoft.com/office/spreadsheetml/2009/9/main" objectType="CheckBox" fmlaLink="Unformatted!$F$499" lockText="1" noThreeD="1"/>
</file>

<file path=xl/ctrlProps/ctrlProp370.xml><?xml version="1.0" encoding="utf-8"?>
<formControlPr xmlns="http://schemas.microsoft.com/office/spreadsheetml/2009/9/main" objectType="CheckBox" fmlaLink="Unformatted!$H$499" lockText="1" noThreeD="1"/>
</file>

<file path=xl/ctrlProps/ctrlProp371.xml><?xml version="1.0" encoding="utf-8"?>
<formControlPr xmlns="http://schemas.microsoft.com/office/spreadsheetml/2009/9/main" objectType="GBox" noThreeD="1"/>
</file>

<file path=xl/ctrlProps/ctrlProp372.xml><?xml version="1.0" encoding="utf-8"?>
<formControlPr xmlns="http://schemas.microsoft.com/office/spreadsheetml/2009/9/main" objectType="CheckBox" fmlaLink="Unformatted!$I$499" lockText="1" noThreeD="1"/>
</file>

<file path=xl/ctrlProps/ctrlProp373.xml><?xml version="1.0" encoding="utf-8"?>
<formControlPr xmlns="http://schemas.microsoft.com/office/spreadsheetml/2009/9/main" objectType="CheckBox" fmlaLink="Unformatted!J499" lockText="1" noThreeD="1"/>
</file>

<file path=xl/ctrlProps/ctrlProp374.xml><?xml version="1.0" encoding="utf-8"?>
<formControlPr xmlns="http://schemas.microsoft.com/office/spreadsheetml/2009/9/main" objectType="CheckBox" fmlaLink="Unformatted!E501" lockText="1" noThreeD="1"/>
</file>

<file path=xl/ctrlProps/ctrlProp375.xml><?xml version="1.0" encoding="utf-8"?>
<formControlPr xmlns="http://schemas.microsoft.com/office/spreadsheetml/2009/9/main" objectType="CheckBox" fmlaLink="Unformatted!E506" lockText="1" noThreeD="1"/>
</file>

<file path=xl/ctrlProps/ctrlProp376.xml><?xml version="1.0" encoding="utf-8"?>
<formControlPr xmlns="http://schemas.microsoft.com/office/spreadsheetml/2009/9/main" objectType="CheckBox" fmlaLink="Unformatted!E508" lockText="1" noThreeD="1"/>
</file>

<file path=xl/ctrlProps/ctrlProp377.xml><?xml version="1.0" encoding="utf-8"?>
<formControlPr xmlns="http://schemas.microsoft.com/office/spreadsheetml/2009/9/main" objectType="CheckBox" fmlaLink="Unformatted!E502" lockText="1" noThreeD="1"/>
</file>

<file path=xl/ctrlProps/ctrlProp378.xml><?xml version="1.0" encoding="utf-8"?>
<formControlPr xmlns="http://schemas.microsoft.com/office/spreadsheetml/2009/9/main" objectType="CheckBox" fmlaLink="Unformatted!E505" lockText="1" noThreeD="1"/>
</file>

<file path=xl/ctrlProps/ctrlProp379.xml><?xml version="1.0" encoding="utf-8"?>
<formControlPr xmlns="http://schemas.microsoft.com/office/spreadsheetml/2009/9/main" objectType="CheckBox" fmlaLink="Unformatted!E504" lockText="1" noThreeD="1"/>
</file>

<file path=xl/ctrlProps/ctrlProp380.xml><?xml version="1.0" encoding="utf-8"?>
<formControlPr xmlns="http://schemas.microsoft.com/office/spreadsheetml/2009/9/main" objectType="CheckBox" fmlaLink="Unformatted!E503" lockText="1" noThreeD="1"/>
</file>

<file path=xl/ctrlProps/ctrlProp381.xml><?xml version="1.0" encoding="utf-8"?>
<formControlPr xmlns="http://schemas.microsoft.com/office/spreadsheetml/2009/9/main" objectType="CheckBox" fmlaLink="Unformatted!E507" lockText="1" noThreeD="1"/>
</file>

<file path=xl/ctrlProps/ctrlProp382.xml><?xml version="1.0" encoding="utf-8"?>
<formControlPr xmlns="http://schemas.microsoft.com/office/spreadsheetml/2009/9/main" objectType="Drop" dropLines="9" dropStyle="combo" dx="22" fmlaLink="Unformatted!$J$503" fmlaRange="Data!$DE$2:$DE$10" noThreeD="1" sel="1" val="0"/>
</file>

<file path=xl/ctrlProps/ctrlProp383.xml><?xml version="1.0" encoding="utf-8"?>
<formControlPr xmlns="http://schemas.microsoft.com/office/spreadsheetml/2009/9/main" objectType="Drop" dropLines="18" dropStyle="combo" dx="22" fmlaLink="Unformatted!$J$504" fmlaRange="Data!$DU$2:$DU$19" noThreeD="1" sel="1" val="0"/>
</file>

<file path=xl/ctrlProps/ctrlProp384.xml><?xml version="1.0" encoding="utf-8"?>
<formControlPr xmlns="http://schemas.microsoft.com/office/spreadsheetml/2009/9/main" objectType="GBox" noThreeD="1"/>
</file>

<file path=xl/ctrlProps/ctrlProp385.xml><?xml version="1.0" encoding="utf-8"?>
<formControlPr xmlns="http://schemas.microsoft.com/office/spreadsheetml/2009/9/main" objectType="Radio" firstButton="1" fmlaLink="Unformatted!$H$515" lockText="1" noThreeD="1"/>
</file>

<file path=xl/ctrlProps/ctrlProp386.xml><?xml version="1.0" encoding="utf-8"?>
<formControlPr xmlns="http://schemas.microsoft.com/office/spreadsheetml/2009/9/main" objectType="Radio" lockText="1" noThreeD="1"/>
</file>

<file path=xl/ctrlProps/ctrlProp387.xml><?xml version="1.0" encoding="utf-8"?>
<formControlPr xmlns="http://schemas.microsoft.com/office/spreadsheetml/2009/9/main" objectType="GBox" noThreeD="1"/>
</file>

<file path=xl/ctrlProps/ctrlProp388.xml><?xml version="1.0" encoding="utf-8"?>
<formControlPr xmlns="http://schemas.microsoft.com/office/spreadsheetml/2009/9/main" objectType="Radio" firstButton="1" fmlaLink="Unformatted!$H$516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GBox" noThreeD="1"/>
</file>

<file path=xl/ctrlProps/ctrlProp391.xml><?xml version="1.0" encoding="utf-8"?>
<formControlPr xmlns="http://schemas.microsoft.com/office/spreadsheetml/2009/9/main" objectType="Radio" firstButton="1" fmlaLink="Unformatted!$H$517" lockText="1" noThreeD="1"/>
</file>

<file path=xl/ctrlProps/ctrlProp392.xml><?xml version="1.0" encoding="utf-8"?>
<formControlPr xmlns="http://schemas.microsoft.com/office/spreadsheetml/2009/9/main" objectType="Radio" lockText="1" noThreeD="1"/>
</file>

<file path=xl/ctrlProps/ctrlProp393.xml><?xml version="1.0" encoding="utf-8"?>
<formControlPr xmlns="http://schemas.microsoft.com/office/spreadsheetml/2009/9/main" objectType="GBox" noThreeD="1"/>
</file>

<file path=xl/ctrlProps/ctrlProp394.xml><?xml version="1.0" encoding="utf-8"?>
<formControlPr xmlns="http://schemas.microsoft.com/office/spreadsheetml/2009/9/main" objectType="Radio" firstButton="1" fmlaLink="Unformatted!$H$518" lockText="1" noThreeD="1"/>
</file>

<file path=xl/ctrlProps/ctrlProp395.xml><?xml version="1.0" encoding="utf-8"?>
<formControlPr xmlns="http://schemas.microsoft.com/office/spreadsheetml/2009/9/main" objectType="Radio" lockText="1" noThreeD="1"/>
</file>

<file path=xl/ctrlProps/ctrlProp396.xml><?xml version="1.0" encoding="utf-8"?>
<formControlPr xmlns="http://schemas.microsoft.com/office/spreadsheetml/2009/9/main" objectType="GBox" noThreeD="1"/>
</file>

<file path=xl/ctrlProps/ctrlProp397.xml><?xml version="1.0" encoding="utf-8"?>
<formControlPr xmlns="http://schemas.microsoft.com/office/spreadsheetml/2009/9/main" objectType="Radio" firstButton="1" fmlaLink="Unformatted!$H$519" lockText="1" noThreeD="1"/>
</file>

<file path=xl/ctrlProps/ctrlProp398.xml><?xml version="1.0" encoding="utf-8"?>
<formControlPr xmlns="http://schemas.microsoft.com/office/spreadsheetml/2009/9/main" objectType="Radio" lockText="1" noThreeD="1"/>
</file>

<file path=xl/ctrlProps/ctrlProp399.xml><?xml version="1.0" encoding="utf-8"?>
<formControlPr xmlns="http://schemas.microsoft.com/office/spreadsheetml/2009/9/main" objectType="GBox" noThreeD="1"/>
</file>

<file path=xl/ctrlProps/ctrlProp400.xml><?xml version="1.0" encoding="utf-8"?>
<formControlPr xmlns="http://schemas.microsoft.com/office/spreadsheetml/2009/9/main" objectType="Radio" firstButton="1" fmlaLink="Unformatted!$H$520" lockText="1" noThreeD="1"/>
</file>

<file path=xl/ctrlProps/ctrlProp401.xml><?xml version="1.0" encoding="utf-8"?>
<formControlPr xmlns="http://schemas.microsoft.com/office/spreadsheetml/2009/9/main" objectType="Radio" lockText="1" noThreeD="1"/>
</file>

<file path=xl/ctrlProps/ctrlProp402.xml><?xml version="1.0" encoding="utf-8"?>
<formControlPr xmlns="http://schemas.microsoft.com/office/spreadsheetml/2009/9/main" objectType="GBox" noThreeD="1"/>
</file>

<file path=xl/ctrlProps/ctrlProp403.xml><?xml version="1.0" encoding="utf-8"?>
<formControlPr xmlns="http://schemas.microsoft.com/office/spreadsheetml/2009/9/main" objectType="Radio" firstButton="1" fmlaLink="Unformatted!$H$521" lockText="1" noThreeD="1"/>
</file>

<file path=xl/ctrlProps/ctrlProp404.xml><?xml version="1.0" encoding="utf-8"?>
<formControlPr xmlns="http://schemas.microsoft.com/office/spreadsheetml/2009/9/main" objectType="Radio" firstButton="1" lockText="1" noThreeD="1"/>
</file>

<file path=xl/ctrlProps/ctrlProp405.xml><?xml version="1.0" encoding="utf-8"?>
<formControlPr xmlns="http://schemas.microsoft.com/office/spreadsheetml/2009/9/main" objectType="GBox" noThreeD="1"/>
</file>

<file path=xl/ctrlProps/ctrlProp406.xml><?xml version="1.0" encoding="utf-8"?>
<formControlPr xmlns="http://schemas.microsoft.com/office/spreadsheetml/2009/9/main" objectType="Radio" firstButton="1" fmlaLink="Unformatted!H511" lockText="1" noThreeD="1"/>
</file>

<file path=xl/ctrlProps/ctrlProp407.xml><?xml version="1.0" encoding="utf-8"?>
<formControlPr xmlns="http://schemas.microsoft.com/office/spreadsheetml/2009/9/main" objectType="Radio" lockText="1" noThreeD="1"/>
</file>

<file path=xl/ctrlProps/ctrlProp408.xml><?xml version="1.0" encoding="utf-8"?>
<formControlPr xmlns="http://schemas.microsoft.com/office/spreadsheetml/2009/9/main" objectType="GBox" noThreeD="1"/>
</file>

<file path=xl/ctrlProps/ctrlProp409.xml><?xml version="1.0" encoding="utf-8"?>
<formControlPr xmlns="http://schemas.microsoft.com/office/spreadsheetml/2009/9/main" objectType="Radio" firstButton="1" fmlaLink="Unformatted!H512" lockText="1" noThreeD="1"/>
</file>

<file path=xl/ctrlProps/ctrlProp410.xml><?xml version="1.0" encoding="utf-8"?>
<formControlPr xmlns="http://schemas.microsoft.com/office/spreadsheetml/2009/9/main" objectType="Radio" lockText="1" noThreeD="1"/>
</file>

<file path=xl/ctrlProps/ctrlProp411.xml><?xml version="1.0" encoding="utf-8"?>
<formControlPr xmlns="http://schemas.microsoft.com/office/spreadsheetml/2009/9/main" objectType="GBox" noThreeD="1"/>
</file>

<file path=xl/ctrlProps/ctrlProp412.xml><?xml version="1.0" encoding="utf-8"?>
<formControlPr xmlns="http://schemas.microsoft.com/office/spreadsheetml/2009/9/main" objectType="Radio" firstButton="1" fmlaLink="Unformatted!H513" lockText="1" noThreeD="1"/>
</file>

<file path=xl/ctrlProps/ctrlProp413.xml><?xml version="1.0" encoding="utf-8"?>
<formControlPr xmlns="http://schemas.microsoft.com/office/spreadsheetml/2009/9/main" objectType="Radio" lockText="1" noThreeD="1"/>
</file>

<file path=xl/ctrlProps/ctrlProp414.xml><?xml version="1.0" encoding="utf-8"?>
<formControlPr xmlns="http://schemas.microsoft.com/office/spreadsheetml/2009/9/main" objectType="GBox" noThreeD="1"/>
</file>

<file path=xl/ctrlProps/ctrlProp415.xml><?xml version="1.0" encoding="utf-8"?>
<formControlPr xmlns="http://schemas.microsoft.com/office/spreadsheetml/2009/9/main" objectType="Radio" firstButton="1" fmlaLink="Unformatted!H514" lockText="1" noThreeD="1"/>
</file>

<file path=xl/ctrlProps/ctrlProp416.xml><?xml version="1.0" encoding="utf-8"?>
<formControlPr xmlns="http://schemas.microsoft.com/office/spreadsheetml/2009/9/main" objectType="Radio" lockText="1" noThreeD="1"/>
</file>

<file path=xl/ctrlProps/ctrlProp417.xml><?xml version="1.0" encoding="utf-8"?>
<formControlPr xmlns="http://schemas.microsoft.com/office/spreadsheetml/2009/9/main" objectType="Drop" dropStyle="combo" dx="22" fmlaLink="Unformatted!$F$446" fmlaRange="Data!$DG$2:$DG$7" noThreeD="1" sel="1" val="0"/>
</file>

<file path=xl/ctrlProps/ctrlProp418.xml><?xml version="1.0" encoding="utf-8"?>
<formControlPr xmlns="http://schemas.microsoft.com/office/spreadsheetml/2009/9/main" objectType="Drop" dropLines="5" dropStyle="combo" dx="22" fmlaLink="Unformatted!F461" fmlaRange="Data!$BW$2:$BW$6" noThreeD="1" sel="1" val="0"/>
</file>

<file path=xl/ctrlProps/ctrlProp419.xml><?xml version="1.0" encoding="utf-8"?>
<formControlPr xmlns="http://schemas.microsoft.com/office/spreadsheetml/2009/9/main" objectType="Drop" dropStyle="combo" dx="22" fmlaLink="Unformatted!F460" fmlaRange="Data!$DG$2:$DG$7" noThreeD="1" sel="1" val="0"/>
</file>

<file path=xl/ctrlProps/ctrlProp420.xml><?xml version="1.0" encoding="utf-8"?>
<formControlPr xmlns="http://schemas.microsoft.com/office/spreadsheetml/2009/9/main" objectType="Drop" dropLines="5" dropStyle="combo" dx="22" fmlaLink="Unformatted!F468" fmlaRange="Data!$BW$2:$BW$6" noThreeD="1" sel="1" val="0"/>
</file>

<file path=xl/ctrlProps/ctrlProp421.xml><?xml version="1.0" encoding="utf-8"?>
<formControlPr xmlns="http://schemas.microsoft.com/office/spreadsheetml/2009/9/main" objectType="Drop" dropStyle="combo" dx="22" fmlaLink="Unformatted!$F$467" fmlaRange="Data!$DG$2:$DG$7" noThreeD="1" sel="1" val="0"/>
</file>

<file path=xl/ctrlProps/ctrlProp422.xml><?xml version="1.0" encoding="utf-8"?>
<formControlPr xmlns="http://schemas.microsoft.com/office/spreadsheetml/2009/9/main" objectType="Drop" dropLines="3" dropStyle="combo" dx="22" fmlaLink="Unformatted!$F$121" fmlaRange="Data!$DM$2:$DM$4" noThreeD="1" sel="1" val="0"/>
</file>

<file path=xl/ctrlProps/ctrlProp423.xml><?xml version="1.0" encoding="utf-8"?>
<formControlPr xmlns="http://schemas.microsoft.com/office/spreadsheetml/2009/9/main" objectType="Drop" dropStyle="combo" dx="22" fmlaLink="Unformatted!F476" fmlaRange="Data!$DG$2:$DG$7" noThreeD="1" sel="1" val="0"/>
</file>

<file path=xl/ctrlProps/ctrlProp424.xml><?xml version="1.0" encoding="utf-8"?>
<formControlPr xmlns="http://schemas.microsoft.com/office/spreadsheetml/2009/9/main" objectType="Drop" dropStyle="combo" dx="22" fmlaLink="Unformatted!F450" fmlaRange="Data!$DK$2:$DK$5" noThreeD="1" sel="1" val="0"/>
</file>

<file path=xl/ctrlProps/ctrlProp425.xml><?xml version="1.0" encoding="utf-8"?>
<formControlPr xmlns="http://schemas.microsoft.com/office/spreadsheetml/2009/9/main" objectType="Drop" dropLines="5" dropStyle="combo" dx="22" fmlaLink="Unformatted!F478" fmlaRange="Data!$BW$2:$BW$5" noThreeD="1" sel="1" val="0"/>
</file>

<file path=xl/ctrlProps/ctrlProp426.xml><?xml version="1.0" encoding="utf-8"?>
<formControlPr xmlns="http://schemas.microsoft.com/office/spreadsheetml/2009/9/main" objectType="GBox" noThreeD="1"/>
</file>

<file path=xl/ctrlProps/ctrlProp427.xml><?xml version="1.0" encoding="utf-8"?>
<formControlPr xmlns="http://schemas.microsoft.com/office/spreadsheetml/2009/9/main" objectType="Drop" dropStyle="combo" dx="22" fmlaLink="Unformatted!F448" fmlaRange="Data!$DI$2:$DI$5" noThreeD="1" sel="1" val="0"/>
</file>

<file path=xl/ctrlProps/ctrlProp428.xml><?xml version="1.0" encoding="utf-8"?>
<formControlPr xmlns="http://schemas.microsoft.com/office/spreadsheetml/2009/9/main" objectType="GBox" noThreeD="1"/>
</file>

<file path=xl/ctrlProps/ctrlProp429.xml><?xml version="1.0" encoding="utf-8"?>
<formControlPr xmlns="http://schemas.microsoft.com/office/spreadsheetml/2009/9/main" objectType="Radio" firstButton="1" fmlaLink="Unformatted!F455" lockText="1" noThreeD="1"/>
</file>

<file path=xl/ctrlProps/ctrlProp430.xml><?xml version="1.0" encoding="utf-8"?>
<formControlPr xmlns="http://schemas.microsoft.com/office/spreadsheetml/2009/9/main" objectType="Radio" lockText="1" noThreeD="1"/>
</file>

<file path=xl/ctrlProps/ctrlProp431.xml><?xml version="1.0" encoding="utf-8"?>
<formControlPr xmlns="http://schemas.microsoft.com/office/spreadsheetml/2009/9/main" objectType="GBox" noThreeD="1"/>
</file>

<file path=xl/ctrlProps/ctrlProp432.xml><?xml version="1.0" encoding="utf-8"?>
<formControlPr xmlns="http://schemas.microsoft.com/office/spreadsheetml/2009/9/main" objectType="Radio" firstButton="1" fmlaLink="Unformatted!F462" lockText="1" noThreeD="1"/>
</file>

<file path=xl/ctrlProps/ctrlProp433.xml><?xml version="1.0" encoding="utf-8"?>
<formControlPr xmlns="http://schemas.microsoft.com/office/spreadsheetml/2009/9/main" objectType="Radio" lockText="1" noThreeD="1"/>
</file>

<file path=xl/ctrlProps/ctrlProp434.xml><?xml version="1.0" encoding="utf-8"?>
<formControlPr xmlns="http://schemas.microsoft.com/office/spreadsheetml/2009/9/main" objectType="GBox" noThreeD="1"/>
</file>

<file path=xl/ctrlProps/ctrlProp435.xml><?xml version="1.0" encoding="utf-8"?>
<formControlPr xmlns="http://schemas.microsoft.com/office/spreadsheetml/2009/9/main" objectType="Radio" firstButton="1" fmlaLink="Unformatted!F471" lockText="1" noThreeD="1"/>
</file>

<file path=xl/ctrlProps/ctrlProp436.xml><?xml version="1.0" encoding="utf-8"?>
<formControlPr xmlns="http://schemas.microsoft.com/office/spreadsheetml/2009/9/main" objectType="Radio" lockText="1" noThreeD="1"/>
</file>

<file path=xl/ctrlProps/ctrlProp437.xml><?xml version="1.0" encoding="utf-8"?>
<formControlPr xmlns="http://schemas.microsoft.com/office/spreadsheetml/2009/9/main" objectType="GBox" noThreeD="1"/>
</file>

<file path=xl/ctrlProps/ctrlProp438.xml><?xml version="1.0" encoding="utf-8"?>
<formControlPr xmlns="http://schemas.microsoft.com/office/spreadsheetml/2009/9/main" objectType="Radio" firstButton="1" fmlaLink="Unformatted!F441" lockText="1" noThreeD="1"/>
</file>

<file path=xl/ctrlProps/ctrlProp439.xml><?xml version="1.0" encoding="utf-8"?>
<formControlPr xmlns="http://schemas.microsoft.com/office/spreadsheetml/2009/9/main" objectType="Radio" lockText="1" noThreeD="1"/>
</file>

<file path=xl/ctrlProps/ctrlProp440.xml><?xml version="1.0" encoding="utf-8"?>
<formControlPr xmlns="http://schemas.microsoft.com/office/spreadsheetml/2009/9/main" objectType="Drop" dropLines="5" dropStyle="combo" dx="22" fmlaLink="Unformatted!$F$452" fmlaRange="Data!$BW$2:$BW$6" noThreeD="1" sel="1" val="0"/>
</file>

<file path=xl/ctrlProps/ctrlProp441.xml><?xml version="1.0" encoding="utf-8"?>
<formControlPr xmlns="http://schemas.microsoft.com/office/spreadsheetml/2009/9/main" objectType="GBox" noThreeD="1"/>
</file>

<file path=xl/ctrlProps/ctrlProp442.xml><?xml version="1.0" encoding="utf-8"?>
<formControlPr xmlns="http://schemas.microsoft.com/office/spreadsheetml/2009/9/main" objectType="GBox" noThreeD="1"/>
</file>

<file path=xl/ctrlProps/ctrlProp443.xml><?xml version="1.0" encoding="utf-8"?>
<formControlPr xmlns="http://schemas.microsoft.com/office/spreadsheetml/2009/9/main" objectType="GBox" noThreeD="1"/>
</file>

<file path=xl/ctrlProps/ctrlProp444.xml><?xml version="1.0" encoding="utf-8"?>
<formControlPr xmlns="http://schemas.microsoft.com/office/spreadsheetml/2009/9/main" objectType="Radio" firstButton="1" fmlaLink="Unformatted!G481" lockText="1" noThreeD="1"/>
</file>

<file path=xl/ctrlProps/ctrlProp445.xml><?xml version="1.0" encoding="utf-8"?>
<formControlPr xmlns="http://schemas.microsoft.com/office/spreadsheetml/2009/9/main" objectType="Radio" firstButton="1" fmlaLink="Unformatted!G482" lockText="1" noThreeD="1"/>
</file>

<file path=xl/ctrlProps/ctrlProp446.xml><?xml version="1.0" encoding="utf-8"?>
<formControlPr xmlns="http://schemas.microsoft.com/office/spreadsheetml/2009/9/main" objectType="Radio" firstButton="1" fmlaLink="Unformatted!G483" lockText="1" noThreeD="1"/>
</file>

<file path=xl/ctrlProps/ctrlProp447.xml><?xml version="1.0" encoding="utf-8"?>
<formControlPr xmlns="http://schemas.microsoft.com/office/spreadsheetml/2009/9/main" objectType="Radio" lockText="1" noThreeD="1"/>
</file>

<file path=xl/ctrlProps/ctrlProp448.xml><?xml version="1.0" encoding="utf-8"?>
<formControlPr xmlns="http://schemas.microsoft.com/office/spreadsheetml/2009/9/main" objectType="Radio" lockText="1" noThreeD="1"/>
</file>

<file path=xl/ctrlProps/ctrlProp449.xml><?xml version="1.0" encoding="utf-8"?>
<formControlPr xmlns="http://schemas.microsoft.com/office/spreadsheetml/2009/9/main" objectType="Radio" lockText="1" noThreeD="1"/>
</file>

<file path=xl/ctrlProps/ctrlProp450.xml><?xml version="1.0" encoding="utf-8"?>
<formControlPr xmlns="http://schemas.microsoft.com/office/spreadsheetml/2009/9/main" objectType="GBox" noThreeD="1"/>
</file>

<file path=xl/ctrlProps/ctrlProp451.xml><?xml version="1.0" encoding="utf-8"?>
<formControlPr xmlns="http://schemas.microsoft.com/office/spreadsheetml/2009/9/main" objectType="Radio" firstButton="1" fmlaLink="Unformatted!$E$524" lockText="1" noThreeD="1"/>
</file>

<file path=xl/ctrlProps/ctrlProp452.xml><?xml version="1.0" encoding="utf-8"?>
<formControlPr xmlns="http://schemas.microsoft.com/office/spreadsheetml/2009/9/main" objectType="Radio" lockText="1" noThreeD="1"/>
</file>

<file path=xl/ctrlProps/ctrlProp453.xml><?xml version="1.0" encoding="utf-8"?>
<formControlPr xmlns="http://schemas.microsoft.com/office/spreadsheetml/2009/9/main" objectType="GBox" noThreeD="1"/>
</file>

<file path=xl/ctrlProps/ctrlProp454.xml><?xml version="1.0" encoding="utf-8"?>
<formControlPr xmlns="http://schemas.microsoft.com/office/spreadsheetml/2009/9/main" objectType="Drop" dropStyle="combo" dx="26" fmlaLink="Unformatted!$K$524" fmlaRange="Data!$BK$2:$BK$7" noThreeD="1" sel="1" val="0"/>
</file>

<file path=xl/ctrlProps/ctrlProp455.xml><?xml version="1.0" encoding="utf-8"?>
<formControlPr xmlns="http://schemas.microsoft.com/office/spreadsheetml/2009/9/main" objectType="Drop" dropStyle="combo" dx="26" fmlaLink="Unformatted!$K$525" fmlaRange="Data!$BK$2:$BK$7" noThreeD="1" sel="1" val="0"/>
</file>

<file path=xl/ctrlProps/ctrlProp456.xml><?xml version="1.0" encoding="utf-8"?>
<formControlPr xmlns="http://schemas.microsoft.com/office/spreadsheetml/2009/9/main" objectType="GBox" noThreeD="1"/>
</file>

<file path=xl/ctrlProps/ctrlProp457.xml><?xml version="1.0" encoding="utf-8"?>
<formControlPr xmlns="http://schemas.microsoft.com/office/spreadsheetml/2009/9/main" objectType="Radio" firstButton="1" fmlaLink="Unformatted!$E$526" lockText="1" noThreeD="1"/>
</file>

<file path=xl/ctrlProps/ctrlProp458.xml><?xml version="1.0" encoding="utf-8"?>
<formControlPr xmlns="http://schemas.microsoft.com/office/spreadsheetml/2009/9/main" objectType="Radio" lockText="1" noThreeD="1"/>
</file>

<file path=xl/ctrlProps/ctrlProp459.xml><?xml version="1.0" encoding="utf-8"?>
<formControlPr xmlns="http://schemas.microsoft.com/office/spreadsheetml/2009/9/main" objectType="GBox" noThreeD="1"/>
</file>

<file path=xl/ctrlProps/ctrlProp460.xml><?xml version="1.0" encoding="utf-8"?>
<formControlPr xmlns="http://schemas.microsoft.com/office/spreadsheetml/2009/9/main" objectType="GBox" noThreeD="1"/>
</file>

<file path=xl/ctrlProps/ctrlProp461.xml><?xml version="1.0" encoding="utf-8"?>
<formControlPr xmlns="http://schemas.microsoft.com/office/spreadsheetml/2009/9/main" objectType="Radio" firstButton="1" fmlaLink="Unformatted!$E$527" lockText="1" noThreeD="1"/>
</file>

<file path=xl/ctrlProps/ctrlProp462.xml><?xml version="1.0" encoding="utf-8"?>
<formControlPr xmlns="http://schemas.microsoft.com/office/spreadsheetml/2009/9/main" objectType="Radio" lockText="1" noThreeD="1"/>
</file>

<file path=xl/ctrlProps/ctrlProp463.xml><?xml version="1.0" encoding="utf-8"?>
<formControlPr xmlns="http://schemas.microsoft.com/office/spreadsheetml/2009/9/main" objectType="Radio" firstButton="1" fmlaLink="Unformatted!$E$528" lockText="1" noThreeD="1"/>
</file>

<file path=xl/ctrlProps/ctrlProp464.xml><?xml version="1.0" encoding="utf-8"?>
<formControlPr xmlns="http://schemas.microsoft.com/office/spreadsheetml/2009/9/main" objectType="Radio" lockText="1" noThreeD="1"/>
</file>

<file path=xl/ctrlProps/ctrlProp465.xml><?xml version="1.0" encoding="utf-8"?>
<formControlPr xmlns="http://schemas.microsoft.com/office/spreadsheetml/2009/9/main" objectType="GBox" noThreeD="1"/>
</file>

<file path=xl/ctrlProps/ctrlProp466.xml><?xml version="1.0" encoding="utf-8"?>
<formControlPr xmlns="http://schemas.microsoft.com/office/spreadsheetml/2009/9/main" objectType="Radio" firstButton="1" fmlaLink="Unformatted!$E$525" lockText="1" noThreeD="1"/>
</file>

<file path=xl/ctrlProps/ctrlProp467.xml><?xml version="1.0" encoding="utf-8"?>
<formControlPr xmlns="http://schemas.microsoft.com/office/spreadsheetml/2009/9/main" objectType="Radio" lockText="1" noThreeD="1"/>
</file>

<file path=xl/ctrlProps/ctrlProp468.xml><?xml version="1.0" encoding="utf-8"?>
<formControlPr xmlns="http://schemas.microsoft.com/office/spreadsheetml/2009/9/main" objectType="Drop" dropStyle="combo" dx="26" fmlaLink="Unformatted!$K$526" fmlaRange="Data!$BM$2:$BM$6" noThreeD="1" sel="1" val="0"/>
</file>

<file path=xl/ctrlProps/ctrlProp469.xml><?xml version="1.0" encoding="utf-8"?>
<formControlPr xmlns="http://schemas.microsoft.com/office/spreadsheetml/2009/9/main" objectType="Drop" dropStyle="combo" dx="26" fmlaLink="Unformatted!$K$527" fmlaRange="Data!$BM$2:$BM$6" noThreeD="1" sel="1" val="0"/>
</file>

<file path=xl/ctrlProps/ctrlProp470.xml><?xml version="1.0" encoding="utf-8"?>
<formControlPr xmlns="http://schemas.microsoft.com/office/spreadsheetml/2009/9/main" objectType="Drop" dropStyle="combo" dx="26" fmlaLink="Unformatted!$K$528" fmlaRange="Data!$BO$2:$BO$7" noThreeD="1" sel="1" val="0"/>
</file>

<file path=xl/ctrlProps/ctrlProp471.xml><?xml version="1.0" encoding="utf-8"?>
<formControlPr xmlns="http://schemas.microsoft.com/office/spreadsheetml/2009/9/main" objectType="Drop" dropStyle="combo" dx="26" fmlaLink="Unformatted!$K$529" fmlaRange="Data!$BQ$2:$BQ$4" noThreeD="1" sel="1" val="0"/>
</file>

<file path=xl/ctrlProps/ctrlProp472.xml><?xml version="1.0" encoding="utf-8"?>
<formControlPr xmlns="http://schemas.microsoft.com/office/spreadsheetml/2009/9/main" objectType="Radio" firstButton="1" fmlaLink="Unformatted!$E$529" lockText="1" noThreeD="1"/>
</file>

<file path=xl/ctrlProps/ctrlProp473.xml><?xml version="1.0" encoding="utf-8"?>
<formControlPr xmlns="http://schemas.microsoft.com/office/spreadsheetml/2009/9/main" objectType="Radio" lockText="1" noThreeD="1"/>
</file>

<file path=xl/ctrlProps/ctrlProp474.xml><?xml version="1.0" encoding="utf-8"?>
<formControlPr xmlns="http://schemas.microsoft.com/office/spreadsheetml/2009/9/main" objectType="Drop" dropStyle="combo" dx="22" fmlaLink="Unformatted!F531" fmlaRange="Data!$CI$2:$CI$6" noThreeD="1" sel="1" val="0"/>
</file>

<file path=xl/ctrlProps/ctrlProp475.xml><?xml version="1.0" encoding="utf-8"?>
<formControlPr xmlns="http://schemas.microsoft.com/office/spreadsheetml/2009/9/main" objectType="Drop" dropStyle="combo" dx="22" fmlaLink="Unformatted!F533" fmlaRange="Data!$CM$2:$CM$6" noThreeD="1" sel="1" val="0"/>
</file>

<file path=xl/ctrlProps/ctrlProp476.xml><?xml version="1.0" encoding="utf-8"?>
<formControlPr xmlns="http://schemas.microsoft.com/office/spreadsheetml/2009/9/main" objectType="Drop" dropStyle="combo" dx="22" fmlaLink="Unformatted!F532" fmlaRange="Data!$CE$2:$CE$6" noThreeD="1" sel="1" val="0"/>
</file>

<file path=xl/ctrlProps/ctrlProp477.xml><?xml version="1.0" encoding="utf-8"?>
<formControlPr xmlns="http://schemas.microsoft.com/office/spreadsheetml/2009/9/main" objectType="Drop" dropStyle="combo" dx="22" fmlaLink="Unformatted!$F$534" fmlaRange="Data!$CG$2:$CG$8" noThreeD="1" sel="1" val="0"/>
</file>

<file path=xl/ctrlProps/ctrlProp478.xml><?xml version="1.0" encoding="utf-8"?>
<formControlPr xmlns="http://schemas.microsoft.com/office/spreadsheetml/2009/9/main" objectType="Drop" dropStyle="combo" dx="22" fmlaLink="Unformatted!$F$586" fmlaRange="Data!$BW$2:$BW$5" noThreeD="1" sel="1" val="0"/>
</file>

<file path=xl/ctrlProps/ctrlProp479.xml><?xml version="1.0" encoding="utf-8"?>
<formControlPr xmlns="http://schemas.microsoft.com/office/spreadsheetml/2009/9/main" objectType="Drop" dropStyle="combo" dx="22" fmlaLink="Unformatted!$F$594" fmlaRange="Data!$BW$2:$BW$5" noThreeD="1" sel="1" val="0"/>
</file>

<file path=xl/ctrlProps/ctrlProp480.xml><?xml version="1.0" encoding="utf-8"?>
<formControlPr xmlns="http://schemas.microsoft.com/office/spreadsheetml/2009/9/main" objectType="Drop" dropStyle="combo" dx="22" fmlaLink="Unformatted!$F$590" fmlaRange="Data!$BW$2:$BW$5" noThreeD="1" sel="1" val="0"/>
</file>

<file path=xl/ctrlProps/ctrlProp481.xml><?xml version="1.0" encoding="utf-8"?>
<formControlPr xmlns="http://schemas.microsoft.com/office/spreadsheetml/2009/9/main" objectType="Drop" dropStyle="combo" dx="22" fmlaLink="Unformatted!$F$598" fmlaRange="Data!$BW$2:$BW$5" noThreeD="1" sel="1" val="0"/>
</file>

<file path=xl/ctrlProps/ctrlProp482.xml><?xml version="1.0" encoding="utf-8"?>
<formControlPr xmlns="http://schemas.microsoft.com/office/spreadsheetml/2009/9/main" objectType="GBox" noThreeD="1"/>
</file>

<file path=xl/ctrlProps/ctrlProp483.xml><?xml version="1.0" encoding="utf-8"?>
<formControlPr xmlns="http://schemas.microsoft.com/office/spreadsheetml/2009/9/main" objectType="Radio" firstButton="1" fmlaLink="Unformatted!F545" lockText="1" noThreeD="1"/>
</file>

<file path=xl/ctrlProps/ctrlProp484.xml><?xml version="1.0" encoding="utf-8"?>
<formControlPr xmlns="http://schemas.microsoft.com/office/spreadsheetml/2009/9/main" objectType="Radio" lockText="1" noThreeD="1"/>
</file>

<file path=xl/ctrlProps/ctrlProp485.xml><?xml version="1.0" encoding="utf-8"?>
<formControlPr xmlns="http://schemas.microsoft.com/office/spreadsheetml/2009/9/main" objectType="GBox" noThreeD="1"/>
</file>

<file path=xl/ctrlProps/ctrlProp486.xml><?xml version="1.0" encoding="utf-8"?>
<formControlPr xmlns="http://schemas.microsoft.com/office/spreadsheetml/2009/9/main" objectType="Radio" firstButton="1" fmlaLink="Unformatted!F588" lockText="1" noThreeD="1"/>
</file>

<file path=xl/ctrlProps/ctrlProp487.xml><?xml version="1.0" encoding="utf-8"?>
<formControlPr xmlns="http://schemas.microsoft.com/office/spreadsheetml/2009/9/main" objectType="Radio" lockText="1" noThreeD="1"/>
</file>

<file path=xl/ctrlProps/ctrlProp488.xml><?xml version="1.0" encoding="utf-8"?>
<formControlPr xmlns="http://schemas.microsoft.com/office/spreadsheetml/2009/9/main" objectType="GBox" noThreeD="1"/>
</file>

<file path=xl/ctrlProps/ctrlProp489.xml><?xml version="1.0" encoding="utf-8"?>
<formControlPr xmlns="http://schemas.microsoft.com/office/spreadsheetml/2009/9/main" objectType="Radio" firstButton="1" fmlaLink="Unformatted!F592" lockText="1" noThreeD="1"/>
</file>

<file path=xl/ctrlProps/ctrlProp490.xml><?xml version="1.0" encoding="utf-8"?>
<formControlPr xmlns="http://schemas.microsoft.com/office/spreadsheetml/2009/9/main" objectType="Radio" lockText="1" noThreeD="1"/>
</file>

<file path=xl/ctrlProps/ctrlProp491.xml><?xml version="1.0" encoding="utf-8"?>
<formControlPr xmlns="http://schemas.microsoft.com/office/spreadsheetml/2009/9/main" objectType="GBox" noThreeD="1"/>
</file>

<file path=xl/ctrlProps/ctrlProp492.xml><?xml version="1.0" encoding="utf-8"?>
<formControlPr xmlns="http://schemas.microsoft.com/office/spreadsheetml/2009/9/main" objectType="Radio" firstButton="1" fmlaLink="Unformatted!F596" lockText="1" noThreeD="1"/>
</file>

<file path=xl/ctrlProps/ctrlProp493.xml><?xml version="1.0" encoding="utf-8"?>
<formControlPr xmlns="http://schemas.microsoft.com/office/spreadsheetml/2009/9/main" objectType="Radio" lockText="1" noThreeD="1"/>
</file>

<file path=xl/ctrlProps/ctrlProp494.xml><?xml version="1.0" encoding="utf-8"?>
<formControlPr xmlns="http://schemas.microsoft.com/office/spreadsheetml/2009/9/main" objectType="GBox" noThreeD="1"/>
</file>

<file path=xl/ctrlProps/ctrlProp495.xml><?xml version="1.0" encoding="utf-8"?>
<formControlPr xmlns="http://schemas.microsoft.com/office/spreadsheetml/2009/9/main" objectType="Radio" firstButton="1" fmlaLink="Unformatted!F600" lockText="1" noThreeD="1"/>
</file>

<file path=xl/ctrlProps/ctrlProp496.xml><?xml version="1.0" encoding="utf-8"?>
<formControlPr xmlns="http://schemas.microsoft.com/office/spreadsheetml/2009/9/main" objectType="Radio" lockText="1" noThreeD="1"/>
</file>

<file path=xl/ctrlProps/ctrlProp497.xml><?xml version="1.0" encoding="utf-8"?>
<formControlPr xmlns="http://schemas.microsoft.com/office/spreadsheetml/2009/9/main" objectType="GBox" noThreeD="1"/>
</file>

<file path=xl/ctrlProps/ctrlProp498.xml><?xml version="1.0" encoding="utf-8"?>
<formControlPr xmlns="http://schemas.microsoft.com/office/spreadsheetml/2009/9/main" objectType="Radio" firstButton="1" fmlaLink="Unformatted!F549" lockText="1" noThreeD="1"/>
</file>

<file path=xl/ctrlProps/ctrlProp499.xml><?xml version="1.0" encoding="utf-8"?>
<formControlPr xmlns="http://schemas.microsoft.com/office/spreadsheetml/2009/9/main" objectType="Radio" lockText="1" noThreeD="1"/>
</file>

<file path=xl/ctrlProps/ctrlProp500.xml><?xml version="1.0" encoding="utf-8"?>
<formControlPr xmlns="http://schemas.microsoft.com/office/spreadsheetml/2009/9/main" objectType="GBox" noThreeD="1"/>
</file>

<file path=xl/ctrlProps/ctrlProp501.xml><?xml version="1.0" encoding="utf-8"?>
<formControlPr xmlns="http://schemas.microsoft.com/office/spreadsheetml/2009/9/main" objectType="Radio" firstButton="1" fmlaLink="Unformatted!F553" lockText="1" noThreeD="1"/>
</file>

<file path=xl/ctrlProps/ctrlProp502.xml><?xml version="1.0" encoding="utf-8"?>
<formControlPr xmlns="http://schemas.microsoft.com/office/spreadsheetml/2009/9/main" objectType="Radio" lockText="1" noThreeD="1"/>
</file>

<file path=xl/ctrlProps/ctrlProp503.xml><?xml version="1.0" encoding="utf-8"?>
<formControlPr xmlns="http://schemas.microsoft.com/office/spreadsheetml/2009/9/main" objectType="GBox" noThreeD="1"/>
</file>

<file path=xl/ctrlProps/ctrlProp504.xml><?xml version="1.0" encoding="utf-8"?>
<formControlPr xmlns="http://schemas.microsoft.com/office/spreadsheetml/2009/9/main" objectType="Radio" firstButton="1" fmlaLink="Unformatted!F557" lockText="1" noThreeD="1"/>
</file>

<file path=xl/ctrlProps/ctrlProp505.xml><?xml version="1.0" encoding="utf-8"?>
<formControlPr xmlns="http://schemas.microsoft.com/office/spreadsheetml/2009/9/main" objectType="Radio" lockText="1" noThreeD="1"/>
</file>

<file path=xl/ctrlProps/ctrlProp506.xml><?xml version="1.0" encoding="utf-8"?>
<formControlPr xmlns="http://schemas.microsoft.com/office/spreadsheetml/2009/9/main" objectType="GBox" noThreeD="1"/>
</file>

<file path=xl/ctrlProps/ctrlProp507.xml><?xml version="1.0" encoding="utf-8"?>
<formControlPr xmlns="http://schemas.microsoft.com/office/spreadsheetml/2009/9/main" objectType="Radio" firstButton="1" fmlaLink="Unformatted!F561" lockText="1" noThreeD="1"/>
</file>

<file path=xl/ctrlProps/ctrlProp508.xml><?xml version="1.0" encoding="utf-8"?>
<formControlPr xmlns="http://schemas.microsoft.com/office/spreadsheetml/2009/9/main" objectType="Radio" lockText="1" noThreeD="1"/>
</file>

<file path=xl/ctrlProps/ctrlProp509.xml><?xml version="1.0" encoding="utf-8"?>
<formControlPr xmlns="http://schemas.microsoft.com/office/spreadsheetml/2009/9/main" objectType="GBox" noThreeD="1"/>
</file>

<file path=xl/ctrlProps/ctrlProp510.xml><?xml version="1.0" encoding="utf-8"?>
<formControlPr xmlns="http://schemas.microsoft.com/office/spreadsheetml/2009/9/main" objectType="Radio" firstButton="1" fmlaLink="Unformatted!F565" lockText="1" noThreeD="1"/>
</file>

<file path=xl/ctrlProps/ctrlProp511.xml><?xml version="1.0" encoding="utf-8"?>
<formControlPr xmlns="http://schemas.microsoft.com/office/spreadsheetml/2009/9/main" objectType="Radio" lockText="1" noThreeD="1"/>
</file>

<file path=xl/ctrlProps/ctrlProp512.xml><?xml version="1.0" encoding="utf-8"?>
<formControlPr xmlns="http://schemas.microsoft.com/office/spreadsheetml/2009/9/main" objectType="GBox" noThreeD="1"/>
</file>

<file path=xl/ctrlProps/ctrlProp513.xml><?xml version="1.0" encoding="utf-8"?>
<formControlPr xmlns="http://schemas.microsoft.com/office/spreadsheetml/2009/9/main" objectType="Radio" firstButton="1" fmlaLink="Unformatted!F569" lockText="1" noThreeD="1"/>
</file>

<file path=xl/ctrlProps/ctrlProp514.xml><?xml version="1.0" encoding="utf-8"?>
<formControlPr xmlns="http://schemas.microsoft.com/office/spreadsheetml/2009/9/main" objectType="Radio" lockText="1" noThreeD="1"/>
</file>

<file path=xl/ctrlProps/ctrlProp515.xml><?xml version="1.0" encoding="utf-8"?>
<formControlPr xmlns="http://schemas.microsoft.com/office/spreadsheetml/2009/9/main" objectType="GBox" noThreeD="1"/>
</file>

<file path=xl/ctrlProps/ctrlProp516.xml><?xml version="1.0" encoding="utf-8"?>
<formControlPr xmlns="http://schemas.microsoft.com/office/spreadsheetml/2009/9/main" objectType="Radio" firstButton="1" fmlaLink="Unformatted!F573" lockText="1" noThreeD="1"/>
</file>

<file path=xl/ctrlProps/ctrlProp517.xml><?xml version="1.0" encoding="utf-8"?>
<formControlPr xmlns="http://schemas.microsoft.com/office/spreadsheetml/2009/9/main" objectType="Radio" lockText="1" noThreeD="1"/>
</file>

<file path=xl/ctrlProps/ctrlProp518.xml><?xml version="1.0" encoding="utf-8"?>
<formControlPr xmlns="http://schemas.microsoft.com/office/spreadsheetml/2009/9/main" objectType="GBox" noThreeD="1"/>
</file>

<file path=xl/ctrlProps/ctrlProp519.xml><?xml version="1.0" encoding="utf-8"?>
<formControlPr xmlns="http://schemas.microsoft.com/office/spreadsheetml/2009/9/main" objectType="Radio" firstButton="1" fmlaLink="Unformatted!F577" lockText="1" noThreeD="1"/>
</file>

<file path=xl/ctrlProps/ctrlProp520.xml><?xml version="1.0" encoding="utf-8"?>
<formControlPr xmlns="http://schemas.microsoft.com/office/spreadsheetml/2009/9/main" objectType="Radio" lockText="1" noThreeD="1"/>
</file>

<file path=xl/ctrlProps/ctrlProp521.xml><?xml version="1.0" encoding="utf-8"?>
<formControlPr xmlns="http://schemas.microsoft.com/office/spreadsheetml/2009/9/main" objectType="GBox" noThreeD="1"/>
</file>

<file path=xl/ctrlProps/ctrlProp522.xml><?xml version="1.0" encoding="utf-8"?>
<formControlPr xmlns="http://schemas.microsoft.com/office/spreadsheetml/2009/9/main" objectType="Radio" firstButton="1" fmlaLink="Unformatted!F581" lockText="1" noThreeD="1"/>
</file>

<file path=xl/ctrlProps/ctrlProp523.xml><?xml version="1.0" encoding="utf-8"?>
<formControlPr xmlns="http://schemas.microsoft.com/office/spreadsheetml/2009/9/main" objectType="Radio" lockText="1" noThreeD="1"/>
</file>

<file path=xl/ctrlProps/ctrlProp524.xml><?xml version="1.0" encoding="utf-8"?>
<formControlPr xmlns="http://schemas.microsoft.com/office/spreadsheetml/2009/9/main" objectType="GBox" noThreeD="1"/>
</file>

<file path=xl/ctrlProps/ctrlProp525.xml><?xml version="1.0" encoding="utf-8"?>
<formControlPr xmlns="http://schemas.microsoft.com/office/spreadsheetml/2009/9/main" objectType="GBox" noThreeD="1"/>
</file>

<file path=xl/ctrlProps/ctrlProp526.xml><?xml version="1.0" encoding="utf-8"?>
<formControlPr xmlns="http://schemas.microsoft.com/office/spreadsheetml/2009/9/main" objectType="GBox" noThreeD="1"/>
</file>

<file path=xl/ctrlProps/ctrlProp527.xml><?xml version="1.0" encoding="utf-8"?>
<formControlPr xmlns="http://schemas.microsoft.com/office/spreadsheetml/2009/9/main" objectType="GBox" noThreeD="1"/>
</file>

<file path=xl/ctrlProps/ctrlProp528.xml><?xml version="1.0" encoding="utf-8"?>
<formControlPr xmlns="http://schemas.microsoft.com/office/spreadsheetml/2009/9/main" objectType="GBox" noThreeD="1"/>
</file>

<file path=xl/ctrlProps/ctrlProp529.xml><?xml version="1.0" encoding="utf-8"?>
<formControlPr xmlns="http://schemas.microsoft.com/office/spreadsheetml/2009/9/main" objectType="GBox" noThreeD="1"/>
</file>

<file path=xl/ctrlProps/ctrlProp530.xml><?xml version="1.0" encoding="utf-8"?>
<formControlPr xmlns="http://schemas.microsoft.com/office/spreadsheetml/2009/9/main" objectType="GBox" noThreeD="1"/>
</file>

<file path=xl/ctrlProps/ctrlProp531.xml><?xml version="1.0" encoding="utf-8"?>
<formControlPr xmlns="http://schemas.microsoft.com/office/spreadsheetml/2009/9/main" objectType="GBox" noThreeD="1"/>
</file>

<file path=xl/ctrlProps/ctrlProp532.xml><?xml version="1.0" encoding="utf-8"?>
<formControlPr xmlns="http://schemas.microsoft.com/office/spreadsheetml/2009/9/main" objectType="Radio" firstButton="1" fmlaLink="Unformatted!H604" lockText="1" noThreeD="1"/>
</file>

<file path=xl/ctrlProps/ctrlProp533.xml><?xml version="1.0" encoding="utf-8"?>
<formControlPr xmlns="http://schemas.microsoft.com/office/spreadsheetml/2009/9/main" objectType="Radio" lockText="1" noThreeD="1"/>
</file>

<file path=xl/ctrlProps/ctrlProp534.xml><?xml version="1.0" encoding="utf-8"?>
<formControlPr xmlns="http://schemas.microsoft.com/office/spreadsheetml/2009/9/main" objectType="Radio" firstButton="1" fmlaLink="Unformatted!H605" lockText="1" noThreeD="1"/>
</file>

<file path=xl/ctrlProps/ctrlProp535.xml><?xml version="1.0" encoding="utf-8"?>
<formControlPr xmlns="http://schemas.microsoft.com/office/spreadsheetml/2009/9/main" objectType="Radio" firstButton="1" fmlaLink="Unformatted!H608" lockText="1" noThreeD="1"/>
</file>

<file path=xl/ctrlProps/ctrlProp536.xml><?xml version="1.0" encoding="utf-8"?>
<formControlPr xmlns="http://schemas.microsoft.com/office/spreadsheetml/2009/9/main" objectType="Radio" firstButton="1" fmlaLink="Unformatted!H609" lockText="1" noThreeD="1"/>
</file>

<file path=xl/ctrlProps/ctrlProp537.xml><?xml version="1.0" encoding="utf-8"?>
<formControlPr xmlns="http://schemas.microsoft.com/office/spreadsheetml/2009/9/main" objectType="Radio" firstButton="1" fmlaLink="Unformatted!H610" lockText="1" noThreeD="1"/>
</file>

<file path=xl/ctrlProps/ctrlProp538.xml><?xml version="1.0" encoding="utf-8"?>
<formControlPr xmlns="http://schemas.microsoft.com/office/spreadsheetml/2009/9/main" objectType="Radio" firstButton="1" fmlaLink="Unformatted!H611" lockText="1" noThreeD="1"/>
</file>

<file path=xl/ctrlProps/ctrlProp539.xml><?xml version="1.0" encoding="utf-8"?>
<formControlPr xmlns="http://schemas.microsoft.com/office/spreadsheetml/2009/9/main" objectType="Radio" firstButton="1" fmlaLink="Unformatted!H612" lockText="1" noThreeD="1"/>
</file>

<file path=xl/ctrlProps/ctrlProp540.xml><?xml version="1.0" encoding="utf-8"?>
<formControlPr xmlns="http://schemas.microsoft.com/office/spreadsheetml/2009/9/main" objectType="Radio" firstButton="1" fmlaLink="Unformatted!H613" lockText="1" noThreeD="1"/>
</file>

<file path=xl/ctrlProps/ctrlProp541.xml><?xml version="1.0" encoding="utf-8"?>
<formControlPr xmlns="http://schemas.microsoft.com/office/spreadsheetml/2009/9/main" objectType="Radio" lockText="1" noThreeD="1"/>
</file>

<file path=xl/ctrlProps/ctrlProp542.xml><?xml version="1.0" encoding="utf-8"?>
<formControlPr xmlns="http://schemas.microsoft.com/office/spreadsheetml/2009/9/main" objectType="Radio" lockText="1" noThreeD="1"/>
</file>

<file path=xl/ctrlProps/ctrlProp543.xml><?xml version="1.0" encoding="utf-8"?>
<formControlPr xmlns="http://schemas.microsoft.com/office/spreadsheetml/2009/9/main" objectType="Radio" lockText="1" noThreeD="1"/>
</file>

<file path=xl/ctrlProps/ctrlProp544.xml><?xml version="1.0" encoding="utf-8"?>
<formControlPr xmlns="http://schemas.microsoft.com/office/spreadsheetml/2009/9/main" objectType="Radio" lockText="1" noThreeD="1"/>
</file>

<file path=xl/ctrlProps/ctrlProp545.xml><?xml version="1.0" encoding="utf-8"?>
<formControlPr xmlns="http://schemas.microsoft.com/office/spreadsheetml/2009/9/main" objectType="Radio" lockText="1" noThreeD="1"/>
</file>

<file path=xl/ctrlProps/ctrlProp546.xml><?xml version="1.0" encoding="utf-8"?>
<formControlPr xmlns="http://schemas.microsoft.com/office/spreadsheetml/2009/9/main" objectType="Radio" lockText="1" noThreeD="1"/>
</file>

<file path=xl/ctrlProps/ctrlProp547.xml><?xml version="1.0" encoding="utf-8"?>
<formControlPr xmlns="http://schemas.microsoft.com/office/spreadsheetml/2009/9/main" objectType="Radio" lockText="1" noThreeD="1"/>
</file>

<file path=xl/ctrlProps/ctrlProp548.xml><?xml version="1.0" encoding="utf-8"?>
<formControlPr xmlns="http://schemas.microsoft.com/office/spreadsheetml/2009/9/main" objectType="GBox" noThreeD="1"/>
</file>

<file path=xl/ctrlProps/ctrlProp549.xml><?xml version="1.0" encoding="utf-8"?>
<formControlPr xmlns="http://schemas.microsoft.com/office/spreadsheetml/2009/9/main" objectType="Radio" firstButton="1" fmlaLink="Unformatted!H614" lockText="1" noThreeD="1"/>
</file>

<file path=xl/ctrlProps/ctrlProp550.xml><?xml version="1.0" encoding="utf-8"?>
<formControlPr xmlns="http://schemas.microsoft.com/office/spreadsheetml/2009/9/main" objectType="Radio" lockText="1" noThreeD="1"/>
</file>

<file path=xl/ctrlProps/ctrlProp551.xml><?xml version="1.0" encoding="utf-8"?>
<formControlPr xmlns="http://schemas.microsoft.com/office/spreadsheetml/2009/9/main" objectType="GBox" noThreeD="1"/>
</file>

<file path=xl/ctrlProps/ctrlProp552.xml><?xml version="1.0" encoding="utf-8"?>
<formControlPr xmlns="http://schemas.microsoft.com/office/spreadsheetml/2009/9/main" objectType="Radio" firstButton="1" fmlaLink="Unformatted!H615" lockText="1" noThreeD="1"/>
</file>

<file path=xl/ctrlProps/ctrlProp553.xml><?xml version="1.0" encoding="utf-8"?>
<formControlPr xmlns="http://schemas.microsoft.com/office/spreadsheetml/2009/9/main" objectType="Radio" lockText="1" noThreeD="1"/>
</file>

<file path=xl/ctrlProps/ctrlProp554.xml><?xml version="1.0" encoding="utf-8"?>
<formControlPr xmlns="http://schemas.microsoft.com/office/spreadsheetml/2009/9/main" objectType="GBox" noThreeD="1"/>
</file>

<file path=xl/ctrlProps/ctrlProp555.xml><?xml version="1.0" encoding="utf-8"?>
<formControlPr xmlns="http://schemas.microsoft.com/office/spreadsheetml/2009/9/main" objectType="Radio" firstButton="1" fmlaLink="Unformatted!H617" lockText="1" noThreeD="1"/>
</file>

<file path=xl/ctrlProps/ctrlProp556.xml><?xml version="1.0" encoding="utf-8"?>
<formControlPr xmlns="http://schemas.microsoft.com/office/spreadsheetml/2009/9/main" objectType="Radio" lockText="1" noThreeD="1"/>
</file>

<file path=xl/ctrlProps/ctrlProp557.xml><?xml version="1.0" encoding="utf-8"?>
<formControlPr xmlns="http://schemas.microsoft.com/office/spreadsheetml/2009/9/main" objectType="GBox" noThreeD="1"/>
</file>

<file path=xl/ctrlProps/ctrlProp558.xml><?xml version="1.0" encoding="utf-8"?>
<formControlPr xmlns="http://schemas.microsoft.com/office/spreadsheetml/2009/9/main" objectType="Radio" firstButton="1" fmlaLink="Unformatted!$H$606" lockText="1" noThreeD="1"/>
</file>

<file path=xl/ctrlProps/ctrlProp559.xml><?xml version="1.0" encoding="utf-8"?>
<formControlPr xmlns="http://schemas.microsoft.com/office/spreadsheetml/2009/9/main" objectType="Radio" lockText="1" noThreeD="1"/>
</file>

<file path=xl/ctrlProps/ctrlProp560.xml><?xml version="1.0" encoding="utf-8"?>
<formControlPr xmlns="http://schemas.microsoft.com/office/spreadsheetml/2009/9/main" objectType="GBox" noThreeD="1"/>
</file>

<file path=xl/ctrlProps/ctrlProp561.xml><?xml version="1.0" encoding="utf-8"?>
<formControlPr xmlns="http://schemas.microsoft.com/office/spreadsheetml/2009/9/main" objectType="Radio" firstButton="1" fmlaLink="Unformatted!H607" lockText="1" noThreeD="1"/>
</file>

<file path=xl/ctrlProps/ctrlProp562.xml><?xml version="1.0" encoding="utf-8"?>
<formControlPr xmlns="http://schemas.microsoft.com/office/spreadsheetml/2009/9/main" objectType="Radio" lockText="1" noThreeD="1"/>
</file>

<file path=xl/ctrlProps/ctrlProp563.xml><?xml version="1.0" encoding="utf-8"?>
<formControlPr xmlns="http://schemas.microsoft.com/office/spreadsheetml/2009/9/main" objectType="GBox" noThreeD="1"/>
</file>

<file path=xl/ctrlProps/ctrlProp564.xml><?xml version="1.0" encoding="utf-8"?>
<formControlPr xmlns="http://schemas.microsoft.com/office/spreadsheetml/2009/9/main" objectType="Radio" firstButton="1" fmlaLink="Unformatted!H616" lockText="1" noThreeD="1"/>
</file>

<file path=xl/ctrlProps/ctrlProp565.xml><?xml version="1.0" encoding="utf-8"?>
<formControlPr xmlns="http://schemas.microsoft.com/office/spreadsheetml/2009/9/main" objectType="Radio" lockText="1" noThreeD="1"/>
</file>

<file path=xl/ctrlProps/ctrlProp566.xml><?xml version="1.0" encoding="utf-8"?>
<formControlPr xmlns="http://schemas.microsoft.com/office/spreadsheetml/2009/9/main" objectType="Drop" dropStyle="combo" dx="22" fmlaLink="Unformatted!$E$652" fmlaRange="Data!$AR$2:$AR$5" noThreeD="1" sel="1" val="0"/>
</file>

<file path=xl/ctrlProps/ctrlProp567.xml><?xml version="1.0" encoding="utf-8"?>
<formControlPr xmlns="http://schemas.microsoft.com/office/spreadsheetml/2009/9/main" objectType="Drop" dropStyle="combo" dx="22" fmlaLink="Unformatted!$G$652" fmlaRange="Data!$AT$2:$AT$5" noThreeD="1" sel="1" val="0"/>
</file>

<file path=xl/ctrlProps/ctrlProp568.xml><?xml version="1.0" encoding="utf-8"?>
<formControlPr xmlns="http://schemas.microsoft.com/office/spreadsheetml/2009/9/main" objectType="Drop" dropStyle="combo" dx="22" fmlaLink="Unformatted!$E$653" fmlaRange="Data!$AR$2:$AR$5" noThreeD="1" sel="1" val="0"/>
</file>

<file path=xl/ctrlProps/ctrlProp569.xml><?xml version="1.0" encoding="utf-8"?>
<formControlPr xmlns="http://schemas.microsoft.com/office/spreadsheetml/2009/9/main" objectType="Drop" dropStyle="combo" dx="22" fmlaLink="Unformatted!$G$653" fmlaRange="Data!$AT$2:$AT$5" noThreeD="1" sel="1" val="0"/>
</file>

<file path=xl/ctrlProps/ctrlProp570.xml><?xml version="1.0" encoding="utf-8"?>
<formControlPr xmlns="http://schemas.microsoft.com/office/spreadsheetml/2009/9/main" objectType="Drop" dropStyle="combo" dx="22" fmlaLink="Unformatted!$F$657" fmlaRange="Data!$CQ$2:$CQ$8" noThreeD="1" sel="1" val="0"/>
</file>

<file path=xl/ctrlProps/ctrlProp571.xml><?xml version="1.0" encoding="utf-8"?>
<formControlPr xmlns="http://schemas.microsoft.com/office/spreadsheetml/2009/9/main" objectType="GBox" noThreeD="1"/>
</file>

<file path=xl/ctrlProps/ctrlProp572.xml><?xml version="1.0" encoding="utf-8"?>
<formControlPr xmlns="http://schemas.microsoft.com/office/spreadsheetml/2009/9/main" objectType="Drop" dropStyle="combo" dx="22" fmlaLink="Unformatted!$G$667" fmlaRange="Data!$CS$2:$CS$5" noThreeD="1" sel="1" val="0"/>
</file>

<file path=xl/ctrlProps/ctrlProp573.xml><?xml version="1.0" encoding="utf-8"?>
<formControlPr xmlns="http://schemas.microsoft.com/office/spreadsheetml/2009/9/main" objectType="Drop" dropStyle="combo" dx="22" fmlaLink="Unformatted!F654" fmlaRange="Data!$CO$2:$CO$7" noThreeD="1" sel="1" val="0"/>
</file>

<file path=xl/ctrlProps/ctrlProp574.xml><?xml version="1.0" encoding="utf-8"?>
<formControlPr xmlns="http://schemas.microsoft.com/office/spreadsheetml/2009/9/main" objectType="CheckBox" fmlaLink="Unformatted!$E$635" lockText="1" noThreeD="1"/>
</file>

<file path=xl/ctrlProps/ctrlProp575.xml><?xml version="1.0" encoding="utf-8"?>
<formControlPr xmlns="http://schemas.microsoft.com/office/spreadsheetml/2009/9/main" objectType="CheckBox" fmlaLink="Unformatted!$F$635" lockText="1" noThreeD="1"/>
</file>

<file path=xl/ctrlProps/ctrlProp576.xml><?xml version="1.0" encoding="utf-8"?>
<formControlPr xmlns="http://schemas.microsoft.com/office/spreadsheetml/2009/9/main" objectType="CheckBox" fmlaLink="Unformatted!$G$635" lockText="1" noThreeD="1"/>
</file>

<file path=xl/ctrlProps/ctrlProp577.xml><?xml version="1.0" encoding="utf-8"?>
<formControlPr xmlns="http://schemas.microsoft.com/office/spreadsheetml/2009/9/main" objectType="CheckBox" fmlaLink="Unformatted!$H$635" lockText="1" noThreeD="1"/>
</file>

<file path=xl/ctrlProps/ctrlProp578.xml><?xml version="1.0" encoding="utf-8"?>
<formControlPr xmlns="http://schemas.microsoft.com/office/spreadsheetml/2009/9/main" objectType="CheckBox" fmlaLink="Unformatted!$E$636" lockText="1" noThreeD="1"/>
</file>

<file path=xl/ctrlProps/ctrlProp579.xml><?xml version="1.0" encoding="utf-8"?>
<formControlPr xmlns="http://schemas.microsoft.com/office/spreadsheetml/2009/9/main" objectType="CheckBox" fmlaLink="Unformatted!E643" lockText="1" noThreeD="1"/>
</file>

<file path=xl/ctrlProps/ctrlProp580.xml><?xml version="1.0" encoding="utf-8"?>
<formControlPr xmlns="http://schemas.microsoft.com/office/spreadsheetml/2009/9/main" objectType="CheckBox" fmlaLink="Unformatted!F643" lockText="1" noThreeD="1"/>
</file>

<file path=xl/ctrlProps/ctrlProp581.xml><?xml version="1.0" encoding="utf-8"?>
<formControlPr xmlns="http://schemas.microsoft.com/office/spreadsheetml/2009/9/main" objectType="CheckBox" fmlaLink="Unformatted!G643" lockText="1" noThreeD="1"/>
</file>

<file path=xl/ctrlProps/ctrlProp582.xml><?xml version="1.0" encoding="utf-8"?>
<formControlPr xmlns="http://schemas.microsoft.com/office/spreadsheetml/2009/9/main" objectType="CheckBox" fmlaLink="Unformatted!H643" lockText="1" noThreeD="1"/>
</file>

<file path=xl/ctrlProps/ctrlProp583.xml><?xml version="1.0" encoding="utf-8"?>
<formControlPr xmlns="http://schemas.microsoft.com/office/spreadsheetml/2009/9/main" objectType="CheckBox" fmlaLink="Unformatted!E651" lockText="1" noThreeD="1"/>
</file>

<file path=xl/ctrlProps/ctrlProp584.xml><?xml version="1.0" encoding="utf-8"?>
<formControlPr xmlns="http://schemas.microsoft.com/office/spreadsheetml/2009/9/main" objectType="CheckBox" fmlaLink="Unformatted!F651" lockText="1" noThreeD="1"/>
</file>

<file path=xl/ctrlProps/ctrlProp585.xml><?xml version="1.0" encoding="utf-8"?>
<formControlPr xmlns="http://schemas.microsoft.com/office/spreadsheetml/2009/9/main" objectType="CheckBox" fmlaLink="Unformatted!G651" lockText="1" noThreeD="1"/>
</file>

<file path=xl/ctrlProps/ctrlProp586.xml><?xml version="1.0" encoding="utf-8"?>
<formControlPr xmlns="http://schemas.microsoft.com/office/spreadsheetml/2009/9/main" objectType="CheckBox" fmlaLink="Unformatted!H651" lockText="1" noThreeD="1"/>
</file>

<file path=xl/ctrlProps/ctrlProp587.xml><?xml version="1.0" encoding="utf-8"?>
<formControlPr xmlns="http://schemas.microsoft.com/office/spreadsheetml/2009/9/main" objectType="Drop" dropStyle="combo" dx="22" fmlaLink="Unformatted!F659" fmlaRange="Data!$DS$2:$DS$4" noThreeD="1" sel="1" val="0"/>
</file>

<file path=xl/ctrlProps/ctrlProp588.xml><?xml version="1.0" encoding="utf-8"?>
<formControlPr xmlns="http://schemas.microsoft.com/office/spreadsheetml/2009/9/main" objectType="Radio" firstButton="1" fmlaLink="Unformatted!G669" lockText="1" noThreeD="1"/>
</file>

<file path=xl/ctrlProps/ctrlProp589.xml><?xml version="1.0" encoding="utf-8"?>
<formControlPr xmlns="http://schemas.microsoft.com/office/spreadsheetml/2009/9/main" objectType="Radio" lockText="1" noThreeD="1"/>
</file>

<file path=xl/ctrlProps/ctrlProp590.xml><?xml version="1.0" encoding="utf-8"?>
<formControlPr xmlns="http://schemas.microsoft.com/office/spreadsheetml/2009/9/main" objectType="Radio" lockText="1" noThreeD="1"/>
</file>

<file path=xl/ctrlProps/ctrlProp591.xml><?xml version="1.0" encoding="utf-8"?>
<formControlPr xmlns="http://schemas.microsoft.com/office/spreadsheetml/2009/9/main" objectType="Radio" lockText="1" noThreeD="1"/>
</file>

<file path=xl/ctrlProps/ctrlProp592.xml><?xml version="1.0" encoding="utf-8"?>
<formControlPr xmlns="http://schemas.microsoft.com/office/spreadsheetml/2009/9/main" objectType="GBox" noThreeD="1"/>
</file>

<file path=xl/ctrlProps/ctrlProp593.xml><?xml version="1.0" encoding="utf-8"?>
<formControlPr xmlns="http://schemas.microsoft.com/office/spreadsheetml/2009/9/main" objectType="Radio" firstButton="1" fmlaLink="Unformatted!$F$674" lockText="1" noThreeD="1"/>
</file>

<file path=xl/ctrlProps/ctrlProp594.xml><?xml version="1.0" encoding="utf-8"?>
<formControlPr xmlns="http://schemas.microsoft.com/office/spreadsheetml/2009/9/main" objectType="Radio" firstButton="1" fmlaLink="Unformatted!$F$673" lockText="1" noThreeD="1"/>
</file>

<file path=xl/ctrlProps/ctrlProp595.xml><?xml version="1.0" encoding="utf-8"?>
<formControlPr xmlns="http://schemas.microsoft.com/office/spreadsheetml/2009/9/main" objectType="Radio" lockText="1" noThreeD="1"/>
</file>

<file path=xl/ctrlProps/ctrlProp596.xml><?xml version="1.0" encoding="utf-8"?>
<formControlPr xmlns="http://schemas.microsoft.com/office/spreadsheetml/2009/9/main" objectType="Radio" lockText="1" noThreeD="1"/>
</file>

<file path=xl/ctrlProps/ctrlProp597.xml><?xml version="1.0" encoding="utf-8"?>
<formControlPr xmlns="http://schemas.microsoft.com/office/spreadsheetml/2009/9/main" objectType="GBox" noThreeD="1"/>
</file>

<file path=xl/ctrlProps/ctrlProp598.xml><?xml version="1.0" encoding="utf-8"?>
<formControlPr xmlns="http://schemas.microsoft.com/office/spreadsheetml/2009/9/main" objectType="GBox" noThreeD="1"/>
</file>

<file path=xl/ctrlProps/ctrlProp599.xml><?xml version="1.0" encoding="utf-8"?>
<formControlPr xmlns="http://schemas.microsoft.com/office/spreadsheetml/2009/9/main" objectType="GBox" noThreeD="1"/>
</file>

<file path=xl/ctrlProps/ctrlProp600.xml><?xml version="1.0" encoding="utf-8"?>
<formControlPr xmlns="http://schemas.microsoft.com/office/spreadsheetml/2009/9/main" objectType="GBox" noThreeD="1"/>
</file>

<file path=xl/ctrlProps/ctrlProp601.xml><?xml version="1.0" encoding="utf-8"?>
<formControlPr xmlns="http://schemas.microsoft.com/office/spreadsheetml/2009/9/main" objectType="GBox" noThreeD="1"/>
</file>

<file path=xl/ctrlProps/ctrlProp602.xml><?xml version="1.0" encoding="utf-8"?>
<formControlPr xmlns="http://schemas.microsoft.com/office/spreadsheetml/2009/9/main" objectType="GBox" noThreeD="1"/>
</file>

<file path=xl/ctrlProps/ctrlProp603.xml><?xml version="1.0" encoding="utf-8"?>
<formControlPr xmlns="http://schemas.microsoft.com/office/spreadsheetml/2009/9/main" objectType="GBox" noThreeD="1"/>
</file>

<file path=xl/ctrlProps/ctrlProp604.xml><?xml version="1.0" encoding="utf-8"?>
<formControlPr xmlns="http://schemas.microsoft.com/office/spreadsheetml/2009/9/main" objectType="GBox" noThreeD="1"/>
</file>

<file path=xl/ctrlProps/ctrlProp605.xml><?xml version="1.0" encoding="utf-8"?>
<formControlPr xmlns="http://schemas.microsoft.com/office/spreadsheetml/2009/9/main" objectType="GBox" noThreeD="1"/>
</file>

<file path=xl/ctrlProps/ctrlProp606.xml><?xml version="1.0" encoding="utf-8"?>
<formControlPr xmlns="http://schemas.microsoft.com/office/spreadsheetml/2009/9/main" objectType="GBox" noThreeD="1"/>
</file>

<file path=xl/ctrlProps/ctrlProp607.xml><?xml version="1.0" encoding="utf-8"?>
<formControlPr xmlns="http://schemas.microsoft.com/office/spreadsheetml/2009/9/main" objectType="GBox" noThreeD="1"/>
</file>

<file path=xl/ctrlProps/ctrlProp608.xml><?xml version="1.0" encoding="utf-8"?>
<formControlPr xmlns="http://schemas.microsoft.com/office/spreadsheetml/2009/9/main" objectType="GBox" noThreeD="1"/>
</file>

<file path=xl/ctrlProps/ctrlProp609.xml><?xml version="1.0" encoding="utf-8"?>
<formControlPr xmlns="http://schemas.microsoft.com/office/spreadsheetml/2009/9/main" objectType="GBox" noThreeD="1"/>
</file>

<file path=xl/ctrlProps/ctrlProp610.xml><?xml version="1.0" encoding="utf-8"?>
<formControlPr xmlns="http://schemas.microsoft.com/office/spreadsheetml/2009/9/main" objectType="GBox" noThreeD="1"/>
</file>

<file path=xl/ctrlProps/ctrlProp611.xml><?xml version="1.0" encoding="utf-8"?>
<formControlPr xmlns="http://schemas.microsoft.com/office/spreadsheetml/2009/9/main" objectType="Radio" firstButton="1" fmlaLink="Unformatted!$F$675" lockText="1" noThreeD="1"/>
</file>

<file path=xl/ctrlProps/ctrlProp612.xml><?xml version="1.0" encoding="utf-8"?>
<formControlPr xmlns="http://schemas.microsoft.com/office/spreadsheetml/2009/9/main" objectType="Radio" lockText="1" noThreeD="1"/>
</file>

<file path=xl/ctrlProps/ctrlProp613.xml><?xml version="1.0" encoding="utf-8"?>
<formControlPr xmlns="http://schemas.microsoft.com/office/spreadsheetml/2009/9/main" objectType="Radio" firstButton="1" fmlaLink="Unformatted!$F$676" lockText="1" noThreeD="1"/>
</file>

<file path=xl/ctrlProps/ctrlProp614.xml><?xml version="1.0" encoding="utf-8"?>
<formControlPr xmlns="http://schemas.microsoft.com/office/spreadsheetml/2009/9/main" objectType="Radio" lockText="1" noThreeD="1"/>
</file>

<file path=xl/ctrlProps/ctrlProp615.xml><?xml version="1.0" encoding="utf-8"?>
<formControlPr xmlns="http://schemas.microsoft.com/office/spreadsheetml/2009/9/main" objectType="Radio" firstButton="1" fmlaLink="Unformatted!$F$677" lockText="1" noThreeD="1"/>
</file>

<file path=xl/ctrlProps/ctrlProp616.xml><?xml version="1.0" encoding="utf-8"?>
<formControlPr xmlns="http://schemas.microsoft.com/office/spreadsheetml/2009/9/main" objectType="Radio" lockText="1" noThreeD="1"/>
</file>

<file path=xl/ctrlProps/ctrlProp617.xml><?xml version="1.0" encoding="utf-8"?>
<formControlPr xmlns="http://schemas.microsoft.com/office/spreadsheetml/2009/9/main" objectType="Radio" firstButton="1" fmlaLink="Unformatted!$F$678" lockText="1" noThreeD="1"/>
</file>

<file path=xl/ctrlProps/ctrlProp618.xml><?xml version="1.0" encoding="utf-8"?>
<formControlPr xmlns="http://schemas.microsoft.com/office/spreadsheetml/2009/9/main" objectType="Radio" lockText="1" noThreeD="1"/>
</file>

<file path=xl/ctrlProps/ctrlProp619.xml><?xml version="1.0" encoding="utf-8"?>
<formControlPr xmlns="http://schemas.microsoft.com/office/spreadsheetml/2009/9/main" objectType="Radio" firstButton="1" fmlaLink="Unformatted!$F$679" lockText="1" noThreeD="1"/>
</file>

<file path=xl/ctrlProps/ctrlProp620.xml><?xml version="1.0" encoding="utf-8"?>
<formControlPr xmlns="http://schemas.microsoft.com/office/spreadsheetml/2009/9/main" objectType="Radio" lockText="1" noThreeD="1"/>
</file>

<file path=xl/ctrlProps/ctrlProp621.xml><?xml version="1.0" encoding="utf-8"?>
<formControlPr xmlns="http://schemas.microsoft.com/office/spreadsheetml/2009/9/main" objectType="Radio" firstButton="1" fmlaLink="Unformatted!$F$680" lockText="1" noThreeD="1"/>
</file>

<file path=xl/ctrlProps/ctrlProp622.xml><?xml version="1.0" encoding="utf-8"?>
<formControlPr xmlns="http://schemas.microsoft.com/office/spreadsheetml/2009/9/main" objectType="Radio" lockText="1" noThreeD="1"/>
</file>

<file path=xl/ctrlProps/ctrlProp623.xml><?xml version="1.0" encoding="utf-8"?>
<formControlPr xmlns="http://schemas.microsoft.com/office/spreadsheetml/2009/9/main" objectType="Radio" firstButton="1" fmlaLink="Unformatted!$F$681" lockText="1" noThreeD="1"/>
</file>

<file path=xl/ctrlProps/ctrlProp624.xml><?xml version="1.0" encoding="utf-8"?>
<formControlPr xmlns="http://schemas.microsoft.com/office/spreadsheetml/2009/9/main" objectType="Radio" lockText="1" noThreeD="1"/>
</file>

<file path=xl/ctrlProps/ctrlProp625.xml><?xml version="1.0" encoding="utf-8"?>
<formControlPr xmlns="http://schemas.microsoft.com/office/spreadsheetml/2009/9/main" objectType="Radio" firstButton="1" fmlaLink="Unformatted!$F$682" lockText="1" noThreeD="1"/>
</file>

<file path=xl/ctrlProps/ctrlProp626.xml><?xml version="1.0" encoding="utf-8"?>
<formControlPr xmlns="http://schemas.microsoft.com/office/spreadsheetml/2009/9/main" objectType="Radio" lockText="1" noThreeD="1"/>
</file>

<file path=xl/ctrlProps/ctrlProp627.xml><?xml version="1.0" encoding="utf-8"?>
<formControlPr xmlns="http://schemas.microsoft.com/office/spreadsheetml/2009/9/main" objectType="Radio" firstButton="1" fmlaLink="Unformatted!$F$683" lockText="1" noThreeD="1"/>
</file>

<file path=xl/ctrlProps/ctrlProp628.xml><?xml version="1.0" encoding="utf-8"?>
<formControlPr xmlns="http://schemas.microsoft.com/office/spreadsheetml/2009/9/main" objectType="Radio" lockText="1" noThreeD="1"/>
</file>

<file path=xl/ctrlProps/ctrlProp629.xml><?xml version="1.0" encoding="utf-8"?>
<formControlPr xmlns="http://schemas.microsoft.com/office/spreadsheetml/2009/9/main" objectType="Radio" firstButton="1" fmlaLink="Unformatted!$F$684" lockText="1" noThreeD="1"/>
</file>

<file path=xl/ctrlProps/ctrlProp630.xml><?xml version="1.0" encoding="utf-8"?>
<formControlPr xmlns="http://schemas.microsoft.com/office/spreadsheetml/2009/9/main" objectType="Radio" lockText="1" noThreeD="1"/>
</file>

<file path=xl/ctrlProps/ctrlProp631.xml><?xml version="1.0" encoding="utf-8"?>
<formControlPr xmlns="http://schemas.microsoft.com/office/spreadsheetml/2009/9/main" objectType="Radio" firstButton="1" fmlaLink="Unformatted!$F$685" lockText="1" noThreeD="1"/>
</file>

<file path=xl/ctrlProps/ctrlProp632.xml><?xml version="1.0" encoding="utf-8"?>
<formControlPr xmlns="http://schemas.microsoft.com/office/spreadsheetml/2009/9/main" objectType="Radio" lockText="1" noThreeD="1"/>
</file>

<file path=xl/ctrlProps/ctrlProp633.xml><?xml version="1.0" encoding="utf-8"?>
<formControlPr xmlns="http://schemas.microsoft.com/office/spreadsheetml/2009/9/main" objectType="Radio" firstButton="1" fmlaLink="Unformatted!$F$686" lockText="1" noThreeD="1"/>
</file>

<file path=xl/ctrlProps/ctrlProp634.xml><?xml version="1.0" encoding="utf-8"?>
<formControlPr xmlns="http://schemas.microsoft.com/office/spreadsheetml/2009/9/main" objectType="Radio" lockText="1" noThreeD="1"/>
</file>

<file path=xl/ctrlProps/ctrlProp635.xml><?xml version="1.0" encoding="utf-8"?>
<formControlPr xmlns="http://schemas.microsoft.com/office/spreadsheetml/2009/9/main" objectType="Radio" firstButton="1" fmlaLink="Unformatted!$F$687" lockText="1" noThreeD="1"/>
</file>

<file path=xl/ctrlProps/ctrlProp636.xml><?xml version="1.0" encoding="utf-8"?>
<formControlPr xmlns="http://schemas.microsoft.com/office/spreadsheetml/2009/9/main" objectType="Radio" lockText="1" noThreeD="1"/>
</file>

<file path=xl/ctrlProps/ctrlProp637.xml><?xml version="1.0" encoding="utf-8"?>
<formControlPr xmlns="http://schemas.microsoft.com/office/spreadsheetml/2009/9/main" objectType="GBox" noThreeD="1"/>
</file>

<file path=xl/ctrlProps/ctrlProp638.xml><?xml version="1.0" encoding="utf-8"?>
<formControlPr xmlns="http://schemas.microsoft.com/office/spreadsheetml/2009/9/main" objectType="Radio" firstButton="1" fmlaLink="Unformatted!$H$429" lockText="1" noThreeD="1"/>
</file>

<file path=xl/ctrlProps/ctrlProp639.xml><?xml version="1.0" encoding="utf-8"?>
<formControlPr xmlns="http://schemas.microsoft.com/office/spreadsheetml/2009/9/main" objectType="Radio" lockText="1" noThreeD="1"/>
</file>

<file path=xl/ctrlProps/ctrlProp640.xml><?xml version="1.0" encoding="utf-8"?>
<formControlPr xmlns="http://schemas.microsoft.com/office/spreadsheetml/2009/9/main" objectType="GBox" noThreeD="1"/>
</file>

<file path=xl/ctrlProps/ctrlProp641.xml><?xml version="1.0" encoding="utf-8"?>
<formControlPr xmlns="http://schemas.microsoft.com/office/spreadsheetml/2009/9/main" objectType="GBox" noThreeD="1"/>
</file>

<file path=xl/ctrlProps/ctrlProp642.xml><?xml version="1.0" encoding="utf-8"?>
<formControlPr xmlns="http://schemas.microsoft.com/office/spreadsheetml/2009/9/main" objectType="GBox" noThreeD="1"/>
</file>

<file path=xl/ctrlProps/ctrlProp643.xml><?xml version="1.0" encoding="utf-8"?>
<formControlPr xmlns="http://schemas.microsoft.com/office/spreadsheetml/2009/9/main" objectType="GBox" noThreeD="1"/>
</file>

<file path=xl/ctrlProps/ctrlProp644.xml><?xml version="1.0" encoding="utf-8"?>
<formControlPr xmlns="http://schemas.microsoft.com/office/spreadsheetml/2009/9/main" objectType="GBox" noThreeD="1"/>
</file>

<file path=xl/ctrlProps/ctrlProp645.xml><?xml version="1.0" encoding="utf-8"?>
<formControlPr xmlns="http://schemas.microsoft.com/office/spreadsheetml/2009/9/main" objectType="GBox" noThreeD="1"/>
</file>

<file path=xl/ctrlProps/ctrlProp646.xml><?xml version="1.0" encoding="utf-8"?>
<formControlPr xmlns="http://schemas.microsoft.com/office/spreadsheetml/2009/9/main" objectType="Radio" firstButton="1" fmlaLink="Unformatted!$E$697" lockText="1" noThreeD="1"/>
</file>

<file path=xl/ctrlProps/ctrlProp647.xml><?xml version="1.0" encoding="utf-8"?>
<formControlPr xmlns="http://schemas.microsoft.com/office/spreadsheetml/2009/9/main" objectType="Radio" lockText="1" noThreeD="1"/>
</file>

<file path=xl/ctrlProps/ctrlProp648.xml><?xml version="1.0" encoding="utf-8"?>
<formControlPr xmlns="http://schemas.microsoft.com/office/spreadsheetml/2009/9/main" objectType="Radio" firstButton="1" fmlaLink="Unformatted!$E$698" lockText="1" noThreeD="1"/>
</file>

<file path=xl/ctrlProps/ctrlProp649.xml><?xml version="1.0" encoding="utf-8"?>
<formControlPr xmlns="http://schemas.microsoft.com/office/spreadsheetml/2009/9/main" objectType="Radio" lockText="1" noThreeD="1"/>
</file>

<file path=xl/ctrlProps/ctrlProp650.xml><?xml version="1.0" encoding="utf-8"?>
<formControlPr xmlns="http://schemas.microsoft.com/office/spreadsheetml/2009/9/main" objectType="Radio" firstButton="1" fmlaLink="Unformatted!$E$699" lockText="1" noThreeD="1"/>
</file>

<file path=xl/ctrlProps/ctrlProp651.xml><?xml version="1.0" encoding="utf-8"?>
<formControlPr xmlns="http://schemas.microsoft.com/office/spreadsheetml/2009/9/main" objectType="Radio" lockText="1" noThreeD="1"/>
</file>

<file path=xl/ctrlProps/ctrlProp652.xml><?xml version="1.0" encoding="utf-8"?>
<formControlPr xmlns="http://schemas.microsoft.com/office/spreadsheetml/2009/9/main" objectType="Radio" firstButton="1" fmlaLink="Unformatted!$E$700" lockText="1" noThreeD="1"/>
</file>

<file path=xl/ctrlProps/ctrlProp653.xml><?xml version="1.0" encoding="utf-8"?>
<formControlPr xmlns="http://schemas.microsoft.com/office/spreadsheetml/2009/9/main" objectType="Radio" lockText="1" noThreeD="1"/>
</file>

<file path=xl/ctrlProps/ctrlProp654.xml><?xml version="1.0" encoding="utf-8"?>
<formControlPr xmlns="http://schemas.microsoft.com/office/spreadsheetml/2009/9/main" objectType="Radio" firstButton="1" fmlaLink="Unformatted!$E$701" lockText="1" noThreeD="1"/>
</file>

<file path=xl/ctrlProps/ctrlProp655.xml><?xml version="1.0" encoding="utf-8"?>
<formControlPr xmlns="http://schemas.microsoft.com/office/spreadsheetml/2009/9/main" objectType="Radio" lockText="1" noThreeD="1"/>
</file>

<file path=xl/ctrlProps/ctrlProp656.xml><?xml version="1.0" encoding="utf-8"?>
<formControlPr xmlns="http://schemas.microsoft.com/office/spreadsheetml/2009/9/main" objectType="Radio" firstButton="1" fmlaLink="Unformatted!$E$702" lockText="1" noThreeD="1"/>
</file>

<file path=xl/ctrlProps/ctrlProp657.xml><?xml version="1.0" encoding="utf-8"?>
<formControlPr xmlns="http://schemas.microsoft.com/office/spreadsheetml/2009/9/main" objectType="Radio" lockText="1" noThreeD="1"/>
</file>

<file path=xl/ctrlProps/ctrlProp658.xml><?xml version="1.0" encoding="utf-8"?>
<formControlPr xmlns="http://schemas.microsoft.com/office/spreadsheetml/2009/9/main" objectType="CheckBox" fmlaLink="Unformatted!$E$707" lockText="1" noThreeD="1"/>
</file>

<file path=xl/ctrlProps/ctrlProp659.xml><?xml version="1.0" encoding="utf-8"?>
<formControlPr xmlns="http://schemas.microsoft.com/office/spreadsheetml/2009/9/main" objectType="GBox" noThreeD="1"/>
</file>

<file path=xl/ctrlProps/ctrlProp660.xml><?xml version="1.0" encoding="utf-8"?>
<formControlPr xmlns="http://schemas.microsoft.com/office/spreadsheetml/2009/9/main" objectType="Radio" firstButton="1" fmlaLink="Unformatted!$E$726" lockText="1" noThreeD="1"/>
</file>

<file path=xl/ctrlProps/ctrlProp661.xml><?xml version="1.0" encoding="utf-8"?>
<formControlPr xmlns="http://schemas.microsoft.com/office/spreadsheetml/2009/9/main" objectType="Radio" lockText="1" noThreeD="1"/>
</file>

<file path=xl/ctrlProps/ctrlProp662.xml><?xml version="1.0" encoding="utf-8"?>
<formControlPr xmlns="http://schemas.microsoft.com/office/spreadsheetml/2009/9/main" objectType="Radio" lockText="1" noThreeD="1"/>
</file>

<file path=xl/ctrlProps/ctrlProp663.xml><?xml version="1.0" encoding="utf-8"?>
<formControlPr xmlns="http://schemas.microsoft.com/office/spreadsheetml/2009/9/main" objectType="GBox" noThreeD="1"/>
</file>

<file path=xl/ctrlProps/ctrlProp664.xml><?xml version="1.0" encoding="utf-8"?>
<formControlPr xmlns="http://schemas.microsoft.com/office/spreadsheetml/2009/9/main" objectType="GBox" noThreeD="1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GBox" noThreeD="1"/>
</file>

<file path=xl/ctrlProps/ctrlProp667.xml><?xml version="1.0" encoding="utf-8"?>
<formControlPr xmlns="http://schemas.microsoft.com/office/spreadsheetml/2009/9/main" objectType="GBox" noThreeD="1"/>
</file>

<file path=xl/ctrlProps/ctrlProp668.xml><?xml version="1.0" encoding="utf-8"?>
<formControlPr xmlns="http://schemas.microsoft.com/office/spreadsheetml/2009/9/main" objectType="GBox" noThreeD="1"/>
</file>

<file path=xl/ctrlProps/ctrlProp669.xml><?xml version="1.0" encoding="utf-8"?>
<formControlPr xmlns="http://schemas.microsoft.com/office/spreadsheetml/2009/9/main" objectType="GBox" noThreeD="1"/>
</file>

<file path=xl/ctrlProps/ctrlProp670.xml><?xml version="1.0" encoding="utf-8"?>
<formControlPr xmlns="http://schemas.microsoft.com/office/spreadsheetml/2009/9/main" objectType="GBox" noThreeD="1"/>
</file>

<file path=xl/ctrlProps/ctrlProp671.xml><?xml version="1.0" encoding="utf-8"?>
<formControlPr xmlns="http://schemas.microsoft.com/office/spreadsheetml/2009/9/main" objectType="GBox" noThreeD="1"/>
</file>

<file path=xl/ctrlProps/ctrlProp672.xml><?xml version="1.0" encoding="utf-8"?>
<formControlPr xmlns="http://schemas.microsoft.com/office/spreadsheetml/2009/9/main" objectType="GBox" noThreeD="1"/>
</file>

<file path=xl/ctrlProps/ctrlProp673.xml><?xml version="1.0" encoding="utf-8"?>
<formControlPr xmlns="http://schemas.microsoft.com/office/spreadsheetml/2009/9/main" objectType="GBox" noThreeD="1"/>
</file>

<file path=xl/ctrlProps/ctrlProp674.xml><?xml version="1.0" encoding="utf-8"?>
<formControlPr xmlns="http://schemas.microsoft.com/office/spreadsheetml/2009/9/main" objectType="GBox" noThreeD="1"/>
</file>

<file path=xl/ctrlProps/ctrlProp675.xml><?xml version="1.0" encoding="utf-8"?>
<formControlPr xmlns="http://schemas.microsoft.com/office/spreadsheetml/2009/9/main" objectType="GBox" noThreeD="1"/>
</file>

<file path=xl/ctrlProps/ctrlProp676.xml><?xml version="1.0" encoding="utf-8"?>
<formControlPr xmlns="http://schemas.microsoft.com/office/spreadsheetml/2009/9/main" objectType="GBox" noThreeD="1"/>
</file>

<file path=xl/ctrlProps/ctrlProp677.xml><?xml version="1.0" encoding="utf-8"?>
<formControlPr xmlns="http://schemas.microsoft.com/office/spreadsheetml/2009/9/main" objectType="GBox" noThreeD="1"/>
</file>

<file path=xl/ctrlProps/ctrlProp678.xml><?xml version="1.0" encoding="utf-8"?>
<formControlPr xmlns="http://schemas.microsoft.com/office/spreadsheetml/2009/9/main" objectType="GBox" noThreeD="1"/>
</file>

<file path=xl/ctrlProps/ctrlProp679.xml><?xml version="1.0" encoding="utf-8"?>
<formControlPr xmlns="http://schemas.microsoft.com/office/spreadsheetml/2009/9/main" objectType="GBox" noThreeD="1"/>
</file>

<file path=xl/ctrlProps/ctrlProp680.xml><?xml version="1.0" encoding="utf-8"?>
<formControlPr xmlns="http://schemas.microsoft.com/office/spreadsheetml/2009/9/main" objectType="GBox" noThreeD="1"/>
</file>

<file path=xl/ctrlProps/ctrlProp681.xml><?xml version="1.0" encoding="utf-8"?>
<formControlPr xmlns="http://schemas.microsoft.com/office/spreadsheetml/2009/9/main" objectType="GBox" noThreeD="1"/>
</file>

<file path=xl/ctrlProps/ctrlProp682.xml><?xml version="1.0" encoding="utf-8"?>
<formControlPr xmlns="http://schemas.microsoft.com/office/spreadsheetml/2009/9/main" objectType="GBox" noThreeD="1"/>
</file>

<file path=xl/ctrlProps/ctrlProp683.xml><?xml version="1.0" encoding="utf-8"?>
<formControlPr xmlns="http://schemas.microsoft.com/office/spreadsheetml/2009/9/main" objectType="GBox" noThreeD="1"/>
</file>

<file path=xl/ctrlProps/ctrlProp684.xml><?xml version="1.0" encoding="utf-8"?>
<formControlPr xmlns="http://schemas.microsoft.com/office/spreadsheetml/2009/9/main" objectType="GBox" noThreeD="1"/>
</file>

<file path=xl/ctrlProps/ctrlProp685.xml><?xml version="1.0" encoding="utf-8"?>
<formControlPr xmlns="http://schemas.microsoft.com/office/spreadsheetml/2009/9/main" objectType="GBox" noThreeD="1"/>
</file>

<file path=xl/ctrlProps/ctrlProp686.xml><?xml version="1.0" encoding="utf-8"?>
<formControlPr xmlns="http://schemas.microsoft.com/office/spreadsheetml/2009/9/main" objectType="GBox" noThreeD="1"/>
</file>

<file path=xl/ctrlProps/ctrlProp687.xml><?xml version="1.0" encoding="utf-8"?>
<formControlPr xmlns="http://schemas.microsoft.com/office/spreadsheetml/2009/9/main" objectType="Radio" firstButton="1" fmlaLink="Unformatted!$E$742" lockText="1" noThreeD="1"/>
</file>

<file path=xl/ctrlProps/ctrlProp688.xml><?xml version="1.0" encoding="utf-8"?>
<formControlPr xmlns="http://schemas.microsoft.com/office/spreadsheetml/2009/9/main" objectType="Radio" firstButton="1" fmlaLink="Unformatted!$E$734" lockText="1" noThreeD="1"/>
</file>

<file path=xl/ctrlProps/ctrlProp689.xml><?xml version="1.0" encoding="utf-8"?>
<formControlPr xmlns="http://schemas.microsoft.com/office/spreadsheetml/2009/9/main" objectType="Radio" firstButton="1" fmlaLink="Unformatted!$E$735" lockText="1" noThreeD="1"/>
</file>

<file path=xl/ctrlProps/ctrlProp690.xml><?xml version="1.0" encoding="utf-8"?>
<formControlPr xmlns="http://schemas.microsoft.com/office/spreadsheetml/2009/9/main" objectType="Radio" firstButton="1" fmlaLink="Unformatted!$E$736" lockText="1" noThreeD="1"/>
</file>

<file path=xl/ctrlProps/ctrlProp691.xml><?xml version="1.0" encoding="utf-8"?>
<formControlPr xmlns="http://schemas.microsoft.com/office/spreadsheetml/2009/9/main" objectType="Radio" firstButton="1" fmlaLink="Unformatted!$E$737" lockText="1" noThreeD="1"/>
</file>

<file path=xl/ctrlProps/ctrlProp692.xml><?xml version="1.0" encoding="utf-8"?>
<formControlPr xmlns="http://schemas.microsoft.com/office/spreadsheetml/2009/9/main" objectType="Radio" lockText="1" noThreeD="1"/>
</file>

<file path=xl/ctrlProps/ctrlProp693.xml><?xml version="1.0" encoding="utf-8"?>
<formControlPr xmlns="http://schemas.microsoft.com/office/spreadsheetml/2009/9/main" objectType="Radio" lockText="1" noThreeD="1"/>
</file>

<file path=xl/ctrlProps/ctrlProp694.xml><?xml version="1.0" encoding="utf-8"?>
<formControlPr xmlns="http://schemas.microsoft.com/office/spreadsheetml/2009/9/main" objectType="Radio" lockText="1" noThreeD="1"/>
</file>

<file path=xl/ctrlProps/ctrlProp695.xml><?xml version="1.0" encoding="utf-8"?>
<formControlPr xmlns="http://schemas.microsoft.com/office/spreadsheetml/2009/9/main" objectType="Radio" lockText="1" noThreeD="1"/>
</file>

<file path=xl/ctrlProps/ctrlProp696.xml><?xml version="1.0" encoding="utf-8"?>
<formControlPr xmlns="http://schemas.microsoft.com/office/spreadsheetml/2009/9/main" objectType="Radio" lockText="1" noThreeD="1"/>
</file>

<file path=xl/ctrlProps/ctrlProp697.xml><?xml version="1.0" encoding="utf-8"?>
<formControlPr xmlns="http://schemas.microsoft.com/office/spreadsheetml/2009/9/main" objectType="Radio" firstButton="1" fmlaLink="Unformatted!$E$750" lockText="1" noThreeD="1"/>
</file>

<file path=xl/ctrlProps/ctrlProp698.xml><?xml version="1.0" encoding="utf-8"?>
<formControlPr xmlns="http://schemas.microsoft.com/office/spreadsheetml/2009/9/main" objectType="Radio" firstButton="1" fmlaLink="Unformatted!$E$751" lockText="1" noThreeD="1"/>
</file>

<file path=xl/ctrlProps/ctrlProp699.xml><?xml version="1.0" encoding="utf-8"?>
<formControlPr xmlns="http://schemas.microsoft.com/office/spreadsheetml/2009/9/main" objectType="Radio" firstButton="1" fmlaLink="Unformatted!$E$752" lockText="1" noThreeD="1"/>
</file>

<file path=xl/ctrlProps/ctrlProp700.xml><?xml version="1.0" encoding="utf-8"?>
<formControlPr xmlns="http://schemas.microsoft.com/office/spreadsheetml/2009/9/main" objectType="Radio" firstButton="1" fmlaLink="Unformatted!$E$753" lockText="1" noThreeD="1"/>
</file>

<file path=xl/ctrlProps/ctrlProp701.xml><?xml version="1.0" encoding="utf-8"?>
<formControlPr xmlns="http://schemas.microsoft.com/office/spreadsheetml/2009/9/main" objectType="Radio" firstButton="1" fmlaLink="Unformatted!$E$754" lockText="1" noThreeD="1"/>
</file>

<file path=xl/ctrlProps/ctrlProp702.xml><?xml version="1.0" encoding="utf-8"?>
<formControlPr xmlns="http://schemas.microsoft.com/office/spreadsheetml/2009/9/main" objectType="Radio" firstButton="1" fmlaLink="Unformatted!$E$755" lockText="1" noThreeD="1"/>
</file>

<file path=xl/ctrlProps/ctrlProp703.xml><?xml version="1.0" encoding="utf-8"?>
<formControlPr xmlns="http://schemas.microsoft.com/office/spreadsheetml/2009/9/main" objectType="Radio" firstButton="1" fmlaLink="Unformatted!$E$756" lockText="1" noThreeD="1"/>
</file>

<file path=xl/ctrlProps/ctrlProp704.xml><?xml version="1.0" encoding="utf-8"?>
<formControlPr xmlns="http://schemas.microsoft.com/office/spreadsheetml/2009/9/main" objectType="Radio" firstButton="1" fmlaLink="Unformatted!$E$757" lockText="1" noThreeD="1"/>
</file>

<file path=xl/ctrlProps/ctrlProp705.xml><?xml version="1.0" encoding="utf-8"?>
<formControlPr xmlns="http://schemas.microsoft.com/office/spreadsheetml/2009/9/main" objectType="Radio" firstButton="1" fmlaLink="Unformatted!$E$758" lockText="1" noThreeD="1"/>
</file>

<file path=xl/ctrlProps/ctrlProp706.xml><?xml version="1.0" encoding="utf-8"?>
<formControlPr xmlns="http://schemas.microsoft.com/office/spreadsheetml/2009/9/main" objectType="Radio" firstButton="1" fmlaLink="Unformatted!$E$759" lockText="1" noThreeD="1"/>
</file>

<file path=xl/ctrlProps/ctrlProp707.xml><?xml version="1.0" encoding="utf-8"?>
<formControlPr xmlns="http://schemas.microsoft.com/office/spreadsheetml/2009/9/main" objectType="Radio" firstButton="1" fmlaLink="Unformatted!$E$760" lockText="1" noThreeD="1"/>
</file>

<file path=xl/ctrlProps/ctrlProp708.xml><?xml version="1.0" encoding="utf-8"?>
<formControlPr xmlns="http://schemas.microsoft.com/office/spreadsheetml/2009/9/main" objectType="Radio" firstButton="1" fmlaLink="Unformatted!$E$761" lockText="1" noThreeD="1"/>
</file>

<file path=xl/ctrlProps/ctrlProp709.xml><?xml version="1.0" encoding="utf-8"?>
<formControlPr xmlns="http://schemas.microsoft.com/office/spreadsheetml/2009/9/main" objectType="Radio" firstButton="1" fmlaLink="Unformatted!$E$762" lockText="1" noThreeD="1"/>
</file>

<file path=xl/ctrlProps/ctrlProp710.xml><?xml version="1.0" encoding="utf-8"?>
<formControlPr xmlns="http://schemas.microsoft.com/office/spreadsheetml/2009/9/main" objectType="Radio" firstButton="1" fmlaLink="Unformatted!$E$763" lockText="1" noThreeD="1"/>
</file>

<file path=xl/ctrlProps/ctrlProp711.xml><?xml version="1.0" encoding="utf-8"?>
<formControlPr xmlns="http://schemas.microsoft.com/office/spreadsheetml/2009/9/main" objectType="Radio" firstButton="1" fmlaLink="Unformatted!$E$764" lockText="1" noThreeD="1"/>
</file>

<file path=xl/ctrlProps/ctrlProp712.xml><?xml version="1.0" encoding="utf-8"?>
<formControlPr xmlns="http://schemas.microsoft.com/office/spreadsheetml/2009/9/main" objectType="Radio" firstButton="1" fmlaLink="Unformatted!$E$765" lockText="1" noThreeD="1"/>
</file>

<file path=xl/ctrlProps/ctrlProp713.xml><?xml version="1.0" encoding="utf-8"?>
<formControlPr xmlns="http://schemas.microsoft.com/office/spreadsheetml/2009/9/main" objectType="Radio" lockText="1" noThreeD="1"/>
</file>

<file path=xl/ctrlProps/ctrlProp714.xml><?xml version="1.0" encoding="utf-8"?>
<formControlPr xmlns="http://schemas.microsoft.com/office/spreadsheetml/2009/9/main" objectType="Radio" lockText="1" noThreeD="1"/>
</file>

<file path=xl/ctrlProps/ctrlProp715.xml><?xml version="1.0" encoding="utf-8"?>
<formControlPr xmlns="http://schemas.microsoft.com/office/spreadsheetml/2009/9/main" objectType="Radio" lockText="1" noThreeD="1"/>
</file>

<file path=xl/ctrlProps/ctrlProp716.xml><?xml version="1.0" encoding="utf-8"?>
<formControlPr xmlns="http://schemas.microsoft.com/office/spreadsheetml/2009/9/main" objectType="Radio" lockText="1" noThreeD="1"/>
</file>

<file path=xl/ctrlProps/ctrlProp717.xml><?xml version="1.0" encoding="utf-8"?>
<formControlPr xmlns="http://schemas.microsoft.com/office/spreadsheetml/2009/9/main" objectType="Radio" lockText="1" noThreeD="1"/>
</file>

<file path=xl/ctrlProps/ctrlProp718.xml><?xml version="1.0" encoding="utf-8"?>
<formControlPr xmlns="http://schemas.microsoft.com/office/spreadsheetml/2009/9/main" objectType="Radio" lockText="1" noThreeD="1"/>
</file>

<file path=xl/ctrlProps/ctrlProp719.xml><?xml version="1.0" encoding="utf-8"?>
<formControlPr xmlns="http://schemas.microsoft.com/office/spreadsheetml/2009/9/main" objectType="Radio" lockText="1" noThreeD="1"/>
</file>

<file path=xl/ctrlProps/ctrlProp720.xml><?xml version="1.0" encoding="utf-8"?>
<formControlPr xmlns="http://schemas.microsoft.com/office/spreadsheetml/2009/9/main" objectType="Radio" lockText="1" noThreeD="1"/>
</file>

<file path=xl/ctrlProps/ctrlProp721.xml><?xml version="1.0" encoding="utf-8"?>
<formControlPr xmlns="http://schemas.microsoft.com/office/spreadsheetml/2009/9/main" objectType="Radio" lockText="1" noThreeD="1"/>
</file>

<file path=xl/ctrlProps/ctrlProp722.xml><?xml version="1.0" encoding="utf-8"?>
<formControlPr xmlns="http://schemas.microsoft.com/office/spreadsheetml/2009/9/main" objectType="Radio" lockText="1" noThreeD="1"/>
</file>

<file path=xl/ctrlProps/ctrlProp723.xml><?xml version="1.0" encoding="utf-8"?>
<formControlPr xmlns="http://schemas.microsoft.com/office/spreadsheetml/2009/9/main" objectType="Radio" lockText="1" noThreeD="1"/>
</file>

<file path=xl/ctrlProps/ctrlProp724.xml><?xml version="1.0" encoding="utf-8"?>
<formControlPr xmlns="http://schemas.microsoft.com/office/spreadsheetml/2009/9/main" objectType="Radio" lockText="1" noThreeD="1"/>
</file>

<file path=xl/ctrlProps/ctrlProp725.xml><?xml version="1.0" encoding="utf-8"?>
<formControlPr xmlns="http://schemas.microsoft.com/office/spreadsheetml/2009/9/main" objectType="Radio" lockText="1" noThreeD="1"/>
</file>

<file path=xl/ctrlProps/ctrlProp726.xml><?xml version="1.0" encoding="utf-8"?>
<formControlPr xmlns="http://schemas.microsoft.com/office/spreadsheetml/2009/9/main" objectType="Radio" lockText="1" noThreeD="1"/>
</file>

<file path=xl/ctrlProps/ctrlProp727.xml><?xml version="1.0" encoding="utf-8"?>
<formControlPr xmlns="http://schemas.microsoft.com/office/spreadsheetml/2009/9/main" objectType="Radio" lockText="1" noThreeD="1"/>
</file>

<file path=xl/ctrlProps/ctrlProp728.xml><?xml version="1.0" encoding="utf-8"?>
<formControlPr xmlns="http://schemas.microsoft.com/office/spreadsheetml/2009/9/main" objectType="Radio" lockText="1" noThreeD="1"/>
</file>

<file path=xl/ctrlProps/ctrlProp729.xml><?xml version="1.0" encoding="utf-8"?>
<formControlPr xmlns="http://schemas.microsoft.com/office/spreadsheetml/2009/9/main" objectType="GBox" noThreeD="1"/>
</file>

<file path=xl/ctrlProps/ctrlProp730.xml><?xml version="1.0" encoding="utf-8"?>
<formControlPr xmlns="http://schemas.microsoft.com/office/spreadsheetml/2009/9/main" objectType="GBox" noThreeD="1"/>
</file>

<file path=xl/ctrlProps/ctrlProp731.xml><?xml version="1.0" encoding="utf-8"?>
<formControlPr xmlns="http://schemas.microsoft.com/office/spreadsheetml/2009/9/main" objectType="Radio" firstButton="1" fmlaLink="Unformatted!$E$749" lockText="1" noThreeD="1"/>
</file>

<file path=xl/ctrlProps/ctrlProp732.xml><?xml version="1.0" encoding="utf-8"?>
<formControlPr xmlns="http://schemas.microsoft.com/office/spreadsheetml/2009/9/main" objectType="Radio" firstButton="1" fmlaLink="Unformatted!$E$743" lockText="1" noThreeD="1"/>
</file>

<file path=xl/ctrlProps/ctrlProp733.xml><?xml version="1.0" encoding="utf-8"?>
<formControlPr xmlns="http://schemas.microsoft.com/office/spreadsheetml/2009/9/main" objectType="Radio" firstButton="1" fmlaLink="Unformatted!$E$745" lockText="1" noThreeD="1"/>
</file>

<file path=xl/ctrlProps/ctrlProp734.xml><?xml version="1.0" encoding="utf-8"?>
<formControlPr xmlns="http://schemas.microsoft.com/office/spreadsheetml/2009/9/main" objectType="Radio" firstButton="1" fmlaLink="Unformatted!$E$746" lockText="1" noThreeD="1"/>
</file>

<file path=xl/ctrlProps/ctrlProp735.xml><?xml version="1.0" encoding="utf-8"?>
<formControlPr xmlns="http://schemas.microsoft.com/office/spreadsheetml/2009/9/main" objectType="Radio" lockText="1" noThreeD="1"/>
</file>

<file path=xl/ctrlProps/ctrlProp736.xml><?xml version="1.0" encoding="utf-8"?>
<formControlPr xmlns="http://schemas.microsoft.com/office/spreadsheetml/2009/9/main" objectType="Radio" lockText="1" noThreeD="1"/>
</file>

<file path=xl/ctrlProps/ctrlProp737.xml><?xml version="1.0" encoding="utf-8"?>
<formControlPr xmlns="http://schemas.microsoft.com/office/spreadsheetml/2009/9/main" objectType="Radio" lockText="1" noThreeD="1"/>
</file>

<file path=xl/ctrlProps/ctrlProp738.xml><?xml version="1.0" encoding="utf-8"?>
<formControlPr xmlns="http://schemas.microsoft.com/office/spreadsheetml/2009/9/main" objectType="Radio" lockText="1" noThreeD="1"/>
</file>

<file path=xl/ctrlProps/ctrlProp739.xml><?xml version="1.0" encoding="utf-8"?>
<formControlPr xmlns="http://schemas.microsoft.com/office/spreadsheetml/2009/9/main" objectType="GBox" noThreeD="1"/>
</file>

<file path=xl/ctrlProps/ctrlProp740.xml><?xml version="1.0" encoding="utf-8"?>
<formControlPr xmlns="http://schemas.microsoft.com/office/spreadsheetml/2009/9/main" objectType="Radio" firstButton="1" fmlaLink="Unformatted!$E$738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GBox" noThreeD="1"/>
</file>

<file path=xl/ctrlProps/ctrlProp743.xml><?xml version="1.0" encoding="utf-8"?>
<formControlPr xmlns="http://schemas.microsoft.com/office/spreadsheetml/2009/9/main" objectType="Radio" firstButton="1" fmlaLink="Unformatted!$E$739" lockText="1" noThreeD="1"/>
</file>

<file path=xl/ctrlProps/ctrlProp744.xml><?xml version="1.0" encoding="utf-8"?>
<formControlPr xmlns="http://schemas.microsoft.com/office/spreadsheetml/2009/9/main" objectType="Radio" lockText="1" noThreeD="1"/>
</file>

<file path=xl/ctrlProps/ctrlProp745.xml><?xml version="1.0" encoding="utf-8"?>
<formControlPr xmlns="http://schemas.microsoft.com/office/spreadsheetml/2009/9/main" objectType="GBox" noThreeD="1"/>
</file>

<file path=xl/ctrlProps/ctrlProp746.xml><?xml version="1.0" encoding="utf-8"?>
<formControlPr xmlns="http://schemas.microsoft.com/office/spreadsheetml/2009/9/main" objectType="Radio" firstButton="1" fmlaLink="Unformatted!$E$740" lockText="1" noThreeD="1"/>
</file>

<file path=xl/ctrlProps/ctrlProp747.xml><?xml version="1.0" encoding="utf-8"?>
<formControlPr xmlns="http://schemas.microsoft.com/office/spreadsheetml/2009/9/main" objectType="Radio" lockText="1" noThreeD="1"/>
</file>

<file path=xl/ctrlProps/ctrlProp748.xml><?xml version="1.0" encoding="utf-8"?>
<formControlPr xmlns="http://schemas.microsoft.com/office/spreadsheetml/2009/9/main" objectType="GBox" noThreeD="1"/>
</file>

<file path=xl/ctrlProps/ctrlProp749.xml><?xml version="1.0" encoding="utf-8"?>
<formControlPr xmlns="http://schemas.microsoft.com/office/spreadsheetml/2009/9/main" objectType="Radio" firstButton="1" fmlaLink="Unformatted!$E$741" lockText="1" noThreeD="1"/>
</file>

<file path=xl/ctrlProps/ctrlProp750.xml><?xml version="1.0" encoding="utf-8"?>
<formControlPr xmlns="http://schemas.microsoft.com/office/spreadsheetml/2009/9/main" objectType="Radio" lockText="1" noThreeD="1"/>
</file>

<file path=xl/ctrlProps/ctrlProp751.xml><?xml version="1.0" encoding="utf-8"?>
<formControlPr xmlns="http://schemas.microsoft.com/office/spreadsheetml/2009/9/main" objectType="GBox" noThreeD="1"/>
</file>

<file path=xl/ctrlProps/ctrlProp752.xml><?xml version="1.0" encoding="utf-8"?>
<formControlPr xmlns="http://schemas.microsoft.com/office/spreadsheetml/2009/9/main" objectType="Radio" firstButton="1" fmlaLink="Unformatted!$E$733" lockText="1" noThreeD="1"/>
</file>

<file path=xl/ctrlProps/ctrlProp753.xml><?xml version="1.0" encoding="utf-8"?>
<formControlPr xmlns="http://schemas.microsoft.com/office/spreadsheetml/2009/9/main" objectType="Radio" lockText="1" noThreeD="1"/>
</file>

<file path=xl/ctrlProps/ctrlProp754.xml><?xml version="1.0" encoding="utf-8"?>
<formControlPr xmlns="http://schemas.microsoft.com/office/spreadsheetml/2009/9/main" objectType="Radio" firstButton="1" fmlaLink="Unformatted!$E$744" lockText="1" noThreeD="1"/>
</file>

<file path=xl/ctrlProps/ctrlProp755.xml><?xml version="1.0" encoding="utf-8"?>
<formControlPr xmlns="http://schemas.microsoft.com/office/spreadsheetml/2009/9/main" objectType="Radio" lockText="1" noThreeD="1"/>
</file>

<file path=xl/ctrlProps/ctrlProp756.xml><?xml version="1.0" encoding="utf-8"?>
<formControlPr xmlns="http://schemas.microsoft.com/office/spreadsheetml/2009/9/main" objectType="CheckBox" fmlaLink="Unformatted!$E$342" lockText="1" noThreeD="1"/>
</file>

<file path=xl/ctrlProps/ctrlProp757.xml><?xml version="1.0" encoding="utf-8"?>
<formControlPr xmlns="http://schemas.microsoft.com/office/spreadsheetml/2009/9/main" objectType="CheckBox" fmlaLink="Unformatted!$E$343" lockText="1" noThreeD="1"/>
</file>

<file path=xl/ctrlProps/ctrlProp758.xml><?xml version="1.0" encoding="utf-8"?>
<formControlPr xmlns="http://schemas.microsoft.com/office/spreadsheetml/2009/9/main" objectType="CheckBox" fmlaLink="Unformatted!$E$344" lockText="1" noThreeD="1"/>
</file>

<file path=xl/ctrlProps/ctrlProp759.xml><?xml version="1.0" encoding="utf-8"?>
<formControlPr xmlns="http://schemas.microsoft.com/office/spreadsheetml/2009/9/main" objectType="CheckBox" fmlaLink="Unformatted!$E$345" lockText="1" noThreeD="1"/>
</file>

<file path=xl/ctrlProps/ctrlProp760.xml><?xml version="1.0" encoding="utf-8"?>
<formControlPr xmlns="http://schemas.microsoft.com/office/spreadsheetml/2009/9/main" objectType="CheckBox" fmlaLink="Unformatted!$E$346" lockText="1" noThreeD="1"/>
</file>

<file path=xl/ctrlProps/ctrlProp761.xml><?xml version="1.0" encoding="utf-8"?>
<formControlPr xmlns="http://schemas.microsoft.com/office/spreadsheetml/2009/9/main" objectType="CheckBox" fmlaLink="Unformatted!$E$348" lockText="1" noThreeD="1"/>
</file>

<file path=xl/ctrlProps/ctrlProp762.xml><?xml version="1.0" encoding="utf-8"?>
<formControlPr xmlns="http://schemas.microsoft.com/office/spreadsheetml/2009/9/main" objectType="CheckBox" fmlaLink="Unformatted!$E$349" lockText="1" noThreeD="1"/>
</file>

<file path=xl/ctrlProps/ctrlProp763.xml><?xml version="1.0" encoding="utf-8"?>
<formControlPr xmlns="http://schemas.microsoft.com/office/spreadsheetml/2009/9/main" objectType="CheckBox" fmlaLink="Unformatted!$E$350" lockText="1" noThreeD="1"/>
</file>

<file path=xl/ctrlProps/ctrlProp764.xml><?xml version="1.0" encoding="utf-8"?>
<formControlPr xmlns="http://schemas.microsoft.com/office/spreadsheetml/2009/9/main" objectType="CheckBox" fmlaLink="Unformatted!$E$351" lockText="1" noThreeD="1"/>
</file>

<file path=xl/ctrlProps/ctrlProp765.xml><?xml version="1.0" encoding="utf-8"?>
<formControlPr xmlns="http://schemas.microsoft.com/office/spreadsheetml/2009/9/main" objectType="CheckBox" fmlaLink="Unformatted!$E$356" lockText="1" noThreeD="1"/>
</file>

<file path=xl/ctrlProps/ctrlProp766.xml><?xml version="1.0" encoding="utf-8"?>
<formControlPr xmlns="http://schemas.microsoft.com/office/spreadsheetml/2009/9/main" objectType="CheckBox" fmlaLink="Unformatted!$E$357" lockText="1" noThreeD="1"/>
</file>

<file path=xl/ctrlProps/ctrlProp767.xml><?xml version="1.0" encoding="utf-8"?>
<formControlPr xmlns="http://schemas.microsoft.com/office/spreadsheetml/2009/9/main" objectType="CheckBox" fmlaLink="Unformatted!$E$231" lockText="1" noThreeD="1"/>
</file>

<file path=xl/ctrlProps/ctrlProp768.xml><?xml version="1.0" encoding="utf-8"?>
<formControlPr xmlns="http://schemas.microsoft.com/office/spreadsheetml/2009/9/main" objectType="CheckBox" fmlaLink="Unformatted!$G$231" lockText="1" noThreeD="1"/>
</file>

<file path=xl/ctrlProps/ctrlProp769.xml><?xml version="1.0" encoding="utf-8"?>
<formControlPr xmlns="http://schemas.microsoft.com/office/spreadsheetml/2009/9/main" objectType="CheckBox" fmlaLink="Unformatted!$I$231" lockText="1" noThreeD="1"/>
</file>

<file path=xl/ctrlProps/ctrlProp770.xml><?xml version="1.0" encoding="utf-8"?>
<formControlPr xmlns="http://schemas.microsoft.com/office/spreadsheetml/2009/9/main" objectType="CheckBox" fmlaLink="Unformatted!$F$231" lockText="1" noThreeD="1"/>
</file>

<file path=xl/ctrlProps/ctrlProp771.xml><?xml version="1.0" encoding="utf-8"?>
<formControlPr xmlns="http://schemas.microsoft.com/office/spreadsheetml/2009/9/main" objectType="CheckBox" fmlaLink="Unformatted!$H$231" lockText="1" noThreeD="1"/>
</file>

<file path=xl/ctrlProps/ctrlProp772.xml><?xml version="1.0" encoding="utf-8"?>
<formControlPr xmlns="http://schemas.microsoft.com/office/spreadsheetml/2009/9/main" objectType="CheckBox" fmlaLink="Unformatted!$J$231" lockText="1" noThreeD="1"/>
</file>

<file path=xl/ctrlProps/ctrlProp773.xml><?xml version="1.0" encoding="utf-8"?>
<formControlPr xmlns="http://schemas.microsoft.com/office/spreadsheetml/2009/9/main" objectType="CheckBox" fmlaLink="Unformatted!$E$218" lockText="1" noThreeD="1"/>
</file>

<file path=xl/ctrlProps/ctrlProp774.xml><?xml version="1.0" encoding="utf-8"?>
<formControlPr xmlns="http://schemas.microsoft.com/office/spreadsheetml/2009/9/main" objectType="CheckBox" checked="Checked" fmlaLink="Unformatted!$E$326" lockText="1" noThreeD="1"/>
</file>

<file path=xl/ctrlProps/ctrlProp775.xml><?xml version="1.0" encoding="utf-8"?>
<formControlPr xmlns="http://schemas.microsoft.com/office/spreadsheetml/2009/9/main" objectType="CheckBox" checked="Checked" fmlaLink="Unformatted!$E$327" lockText="1" noThreeD="1"/>
</file>

<file path=xl/ctrlProps/ctrlProp776.xml><?xml version="1.0" encoding="utf-8"?>
<formControlPr xmlns="http://schemas.microsoft.com/office/spreadsheetml/2009/9/main" objectType="CheckBox" checked="Checked" fmlaLink="Unformatted!$E$333" lockText="1" noThreeD="1"/>
</file>

<file path=xl/ctrlProps/ctrlProp777.xml><?xml version="1.0" encoding="utf-8"?>
<formControlPr xmlns="http://schemas.microsoft.com/office/spreadsheetml/2009/9/main" objectType="CheckBox" checked="Checked" fmlaLink="Unformatted!$E$329" lockText="1" noThreeD="1"/>
</file>

<file path=xl/ctrlProps/ctrlProp778.xml><?xml version="1.0" encoding="utf-8"?>
<formControlPr xmlns="http://schemas.microsoft.com/office/spreadsheetml/2009/9/main" objectType="CheckBox" checked="Checked" fmlaLink="Unformatted!$E$330" lockText="1" noThreeD="1"/>
</file>

<file path=xl/ctrlProps/ctrlProp779.xml><?xml version="1.0" encoding="utf-8"?>
<formControlPr xmlns="http://schemas.microsoft.com/office/spreadsheetml/2009/9/main" objectType="CheckBox" checked="Checked" fmlaLink="Unformatted!$E$332" lockText="1" noThreeD="1"/>
</file>

<file path=xl/ctrlProps/ctrlProp780.xml><?xml version="1.0" encoding="utf-8"?>
<formControlPr xmlns="http://schemas.microsoft.com/office/spreadsheetml/2009/9/main" objectType="CheckBox" checked="Checked" fmlaLink="Unformatted!$E$328" lockText="1" noThreeD="1"/>
</file>

<file path=xl/ctrlProps/ctrlProp781.xml><?xml version="1.0" encoding="utf-8"?>
<formControlPr xmlns="http://schemas.microsoft.com/office/spreadsheetml/2009/9/main" objectType="CheckBox" checked="Checked" fmlaLink="Unformatted!$E$334" lockText="1" noThreeD="1"/>
</file>

<file path=xl/ctrlProps/ctrlProp782.xml><?xml version="1.0" encoding="utf-8"?>
<formControlPr xmlns="http://schemas.microsoft.com/office/spreadsheetml/2009/9/main" objectType="CheckBox" checked="Checked" fmlaLink="Unformatted!$E$335" lockText="1" noThreeD="1"/>
</file>

<file path=xl/ctrlProps/ctrlProp783.xml><?xml version="1.0" encoding="utf-8"?>
<formControlPr xmlns="http://schemas.microsoft.com/office/spreadsheetml/2009/9/main" objectType="CheckBox" checked="Checked" fmlaLink="Unformatted!$E$336" lockText="1" noThreeD="1"/>
</file>

<file path=xl/ctrlProps/ctrlProp784.xml><?xml version="1.0" encoding="utf-8"?>
<formControlPr xmlns="http://schemas.microsoft.com/office/spreadsheetml/2009/9/main" objectType="CheckBox" checked="Checked" fmlaLink="Unformatted!$E$340" lockText="1" noThreeD="1"/>
</file>

<file path=xl/ctrlProps/ctrlProp785.xml><?xml version="1.0" encoding="utf-8"?>
<formControlPr xmlns="http://schemas.microsoft.com/office/spreadsheetml/2009/9/main" objectType="CheckBox" checked="Checked" fmlaLink="Unformatted!$E$339" lockText="1" noThreeD="1"/>
</file>

<file path=xl/ctrlProps/ctrlProp786.xml><?xml version="1.0" encoding="utf-8"?>
<formControlPr xmlns="http://schemas.microsoft.com/office/spreadsheetml/2009/9/main" objectType="CheckBox" fmlaLink="Unformatted!$E$331" lockText="1" noThreeD="1"/>
</file>

<file path=xl/ctrlProps/ctrlProp787.xml><?xml version="1.0" encoding="utf-8"?>
<formControlPr xmlns="http://schemas.microsoft.com/office/spreadsheetml/2009/9/main" objectType="CheckBox" fmlaLink="Unformatted!$E$337" lockText="1" noThreeD="1"/>
</file>

<file path=xl/ctrlProps/ctrlProp788.xml><?xml version="1.0" encoding="utf-8"?>
<formControlPr xmlns="http://schemas.microsoft.com/office/spreadsheetml/2009/9/main" objectType="CheckBox" fmlaLink="Unformatted!$E$338" lockText="1" noThreeD="1"/>
</file>

<file path=xl/ctrlProps/ctrlProp789.xml><?xml version="1.0" encoding="utf-8"?>
<formControlPr xmlns="http://schemas.microsoft.com/office/spreadsheetml/2009/9/main" objectType="CheckBox" fmlaLink="Unformatted!$E$352" lockText="1" noThreeD="1"/>
</file>

<file path=xl/ctrlProps/ctrlProp790.xml><?xml version="1.0" encoding="utf-8"?>
<formControlPr xmlns="http://schemas.microsoft.com/office/spreadsheetml/2009/9/main" objectType="CheckBox" fmlaLink="Unformatted!$E$353" lockText="1" noThreeD="1"/>
</file>

<file path=xl/ctrlProps/ctrlProp791.xml><?xml version="1.0" encoding="utf-8"?>
<formControlPr xmlns="http://schemas.microsoft.com/office/spreadsheetml/2009/9/main" objectType="CheckBox" fmlaLink="Unformatted!$E$502" lockText="1" noThreeD="1"/>
</file>

<file path=xl/ctrlProps/ctrlProp792.xml><?xml version="1.0" encoding="utf-8"?>
<formControlPr xmlns="http://schemas.microsoft.com/office/spreadsheetml/2009/9/main" objectType="CheckBox" fmlaLink="Unformatted!$E$501" lockText="1" noThreeD="1"/>
</file>

<file path=xl/ctrlProps/ctrlProp793.xml><?xml version="1.0" encoding="utf-8"?>
<formControlPr xmlns="http://schemas.microsoft.com/office/spreadsheetml/2009/9/main" objectType="CheckBox" fmlaLink="Unformatted!$E$505" lockText="1" noThreeD="1"/>
</file>

<file path=xl/ctrlProps/ctrlProp794.xml><?xml version="1.0" encoding="utf-8"?>
<formControlPr xmlns="http://schemas.microsoft.com/office/spreadsheetml/2009/9/main" objectType="CheckBox" fmlaLink="Unformatted!$E$506" lockText="1" noThreeD="1"/>
</file>

<file path=xl/ctrlProps/ctrlProp795.xml><?xml version="1.0" encoding="utf-8"?>
<formControlPr xmlns="http://schemas.microsoft.com/office/spreadsheetml/2009/9/main" objectType="CheckBox" fmlaLink="Unformatted!$E$504" lockText="1" noThreeD="1"/>
</file>

<file path=xl/ctrlProps/ctrlProp796.xml><?xml version="1.0" encoding="utf-8"?>
<formControlPr xmlns="http://schemas.microsoft.com/office/spreadsheetml/2009/9/main" objectType="CheckBox" fmlaLink="Unformatted!$E$508" lockText="1" noThreeD="1"/>
</file>

<file path=xl/ctrlProps/ctrlProp797.xml><?xml version="1.0" encoding="utf-8"?>
<formControlPr xmlns="http://schemas.microsoft.com/office/spreadsheetml/2009/9/main" objectType="CheckBox" fmlaLink="Unformatted!$E$507" lockText="1" noThreeD="1"/>
</file>

<file path=xl/ctrlProps/ctrlProp798.xml><?xml version="1.0" encoding="utf-8"?>
<formControlPr xmlns="http://schemas.microsoft.com/office/spreadsheetml/2009/9/main" objectType="CheckBox" fmlaLink="Unformatted!$E$503" lockText="1" noThreeD="1"/>
</file>

<file path=xl/ctrlProps/ctrlProp799.xml><?xml version="1.0" encoding="utf-8"?>
<formControlPr xmlns="http://schemas.microsoft.com/office/spreadsheetml/2009/9/main" objectType="CheckBox" fmlaLink="Unformatted!$E$356" lockText="1" noThreeD="1"/>
</file>

<file path=xl/ctrlProps/ctrlProp800.xml><?xml version="1.0" encoding="utf-8"?>
<formControlPr xmlns="http://schemas.microsoft.com/office/spreadsheetml/2009/9/main" objectType="CheckBox" fmlaLink="Unformatted!$E$357" lockText="1" noThreeD="1"/>
</file>

<file path=xl/ctrlProps/ctrlProp801.xml><?xml version="1.0" encoding="utf-8"?>
<formControlPr xmlns="http://schemas.microsoft.com/office/spreadsheetml/2009/9/main" objectType="CheckBox" fmlaLink="Unformatted!$E$635" lockText="1" noThreeD="1"/>
</file>

<file path=xl/ctrlProps/ctrlProp802.xml><?xml version="1.0" encoding="utf-8"?>
<formControlPr xmlns="http://schemas.microsoft.com/office/spreadsheetml/2009/9/main" objectType="CheckBox" fmlaLink="Unformatted!$F$635" lockText="1" noThreeD="1"/>
</file>

<file path=xl/ctrlProps/ctrlProp803.xml><?xml version="1.0" encoding="utf-8"?>
<formControlPr xmlns="http://schemas.microsoft.com/office/spreadsheetml/2009/9/main" objectType="CheckBox" fmlaLink="Unformatted!$G$635" lockText="1" noThreeD="1"/>
</file>

<file path=xl/ctrlProps/ctrlProp804.xml><?xml version="1.0" encoding="utf-8"?>
<formControlPr xmlns="http://schemas.microsoft.com/office/spreadsheetml/2009/9/main" objectType="CheckBox" fmlaLink="Unformatted!$H$635" lockText="1" noThreeD="1"/>
</file>

<file path=xl/ctrlProps/ctrlProp805.xml><?xml version="1.0" encoding="utf-8"?>
<formControlPr xmlns="http://schemas.microsoft.com/office/spreadsheetml/2009/9/main" objectType="CheckBox" fmlaLink="Unformatted!$E$178" lockText="1" noThreeD="1"/>
</file>

<file path=xl/ctrlProps/ctrlProp806.xml><?xml version="1.0" encoding="utf-8"?>
<formControlPr xmlns="http://schemas.microsoft.com/office/spreadsheetml/2009/9/main" objectType="CheckBox" fmlaLink="Unformatted!$E$49" lockText="1" noThreeD="1"/>
</file>

<file path=xl/ctrlProps/ctrlProp807.xml><?xml version="1.0" encoding="utf-8"?>
<formControlPr xmlns="http://schemas.microsoft.com/office/spreadsheetml/2009/9/main" objectType="CheckBox" checked="Checked" fmlaLink="Unformatted!$E$50" lockText="1" noThreeD="1"/>
</file>

<file path=xl/ctrlProps/ctrlProp808.xml><?xml version="1.0" encoding="utf-8"?>
<formControlPr xmlns="http://schemas.microsoft.com/office/spreadsheetml/2009/9/main" objectType="CheckBox" fmlaLink="Unformatted!$E$51" lockText="1" noThreeD="1"/>
</file>

<file path=xl/ctrlProps/ctrlProp809.xml><?xml version="1.0" encoding="utf-8"?>
<formControlPr xmlns="http://schemas.microsoft.com/office/spreadsheetml/2009/9/main" objectType="CheckBox" fmlaLink="Unformatted!G56" lockText="1" noThreeD="1"/>
</file>

<file path=xl/ctrlProps/ctrlProp810.xml><?xml version="1.0" encoding="utf-8"?>
<formControlPr xmlns="http://schemas.microsoft.com/office/spreadsheetml/2009/9/main" objectType="CheckBox" fmlaLink="Unformatted!$E$52" noThreeD="1"/>
</file>

<file path=xl/ctrlProps/ctrlProp811.xml><?xml version="1.0" encoding="utf-8"?>
<formControlPr xmlns="http://schemas.microsoft.com/office/spreadsheetml/2009/9/main" objectType="CheckBox" fmlaLink="Unformatted!$E$53" lockText="1" noThreeD="1"/>
</file>

<file path=xl/ctrlProps/ctrlProp812.xml><?xml version="1.0" encoding="utf-8"?>
<formControlPr xmlns="http://schemas.microsoft.com/office/spreadsheetml/2009/9/main" objectType="CheckBox" checked="Checked" fmlaLink="Unformatted!$E$70" lockText="1" noThreeD="1"/>
</file>

<file path=xl/ctrlProps/ctrlProp813.xml><?xml version="1.0" encoding="utf-8"?>
<formControlPr xmlns="http://schemas.microsoft.com/office/spreadsheetml/2009/9/main" objectType="CheckBox" fmlaLink="Unformatted!$E$72" lockText="1" noThreeD="1"/>
</file>

<file path=xl/ctrlProps/ctrlProp814.xml><?xml version="1.0" encoding="utf-8"?>
<formControlPr xmlns="http://schemas.microsoft.com/office/spreadsheetml/2009/9/main" objectType="CheckBox" fmlaLink="Unformatted!$E$71" lockText="1" noThreeD="1"/>
</file>

<file path=xl/ctrlProps/ctrlProp815.xml><?xml version="1.0" encoding="utf-8"?>
<formControlPr xmlns="http://schemas.microsoft.com/office/spreadsheetml/2009/9/main" objectType="CheckBox" fmlaLink="Unformatted!$E$73" lockText="1" noThreeD="1"/>
</file>

<file path=xl/ctrlProps/ctrlProp816.xml><?xml version="1.0" encoding="utf-8"?>
<formControlPr xmlns="http://schemas.microsoft.com/office/spreadsheetml/2009/9/main" objectType="CheckBox" fmlaLink="Unformatted!$E$69" lockText="1" noThreeD="1"/>
</file>

<file path=xl/ctrlProps/ctrlProp817.xml><?xml version="1.0" encoding="utf-8"?>
<formControlPr xmlns="http://schemas.microsoft.com/office/spreadsheetml/2009/9/main" objectType="CheckBox" fmlaLink="Unformatted!$E$74" lockText="1" noThreeD="1"/>
</file>

<file path=xl/ctrlProps/ctrlProp818.xml><?xml version="1.0" encoding="utf-8"?>
<formControlPr xmlns="http://schemas.microsoft.com/office/spreadsheetml/2009/9/main" objectType="CheckBox" fmlaLink="Unformatted!$E$146" lockText="1" noThreeD="1"/>
</file>

<file path=xl/ctrlProps/ctrlProp819.xml><?xml version="1.0" encoding="utf-8"?>
<formControlPr xmlns="http://schemas.microsoft.com/office/spreadsheetml/2009/9/main" objectType="CheckBox" fmlaLink="Unformatted!$E$145" lockText="1" noThreeD="1"/>
</file>

<file path=xl/ctrlProps/ctrlProp820.xml><?xml version="1.0" encoding="utf-8"?>
<formControlPr xmlns="http://schemas.microsoft.com/office/spreadsheetml/2009/9/main" objectType="CheckBox" fmlaLink="Unformatted!$E149" lockText="1" noThreeD="1"/>
</file>

<file path=xl/ctrlProps/ctrlProp821.xml><?xml version="1.0" encoding="utf-8"?>
<formControlPr xmlns="http://schemas.microsoft.com/office/spreadsheetml/2009/9/main" objectType="CheckBox" fmlaLink="Unformatted!$E150" lockText="1" noThreeD="1"/>
</file>

<file path=xl/ctrlProps/ctrlProp822.xml><?xml version="1.0" encoding="utf-8"?>
<formControlPr xmlns="http://schemas.microsoft.com/office/spreadsheetml/2009/9/main" objectType="CheckBox" fmlaLink="Unformatted!$E148" lockText="1" noThreeD="1"/>
</file>

<file path=xl/ctrlProps/ctrlProp823.xml><?xml version="1.0" encoding="utf-8"?>
<formControlPr xmlns="http://schemas.microsoft.com/office/spreadsheetml/2009/9/main" objectType="CheckBox" fmlaLink="Unformatted!$E152" lockText="1" noThreeD="1"/>
</file>

<file path=xl/ctrlProps/ctrlProp824.xml><?xml version="1.0" encoding="utf-8"?>
<formControlPr xmlns="http://schemas.microsoft.com/office/spreadsheetml/2009/9/main" objectType="CheckBox" fmlaLink="Unformatted!$E151" lockText="1" noThreeD="1"/>
</file>

<file path=xl/ctrlProps/ctrlProp825.xml><?xml version="1.0" encoding="utf-8"?>
<formControlPr xmlns="http://schemas.microsoft.com/office/spreadsheetml/2009/9/main" objectType="CheckBox" fmlaLink="Unformatted!$E147" lockText="1" noThreeD="1"/>
</file>

<file path=xl/ctrlProps/ctrlProp826.xml><?xml version="1.0" encoding="utf-8"?>
<formControlPr xmlns="http://schemas.microsoft.com/office/spreadsheetml/2009/9/main" objectType="CheckBox" fmlaLink="Unformatted!$F$144" lockText="1" noThreeD="1"/>
</file>

<file path=xl/ctrlProps/ctrlProp827.xml><?xml version="1.0" encoding="utf-8"?>
<formControlPr xmlns="http://schemas.microsoft.com/office/spreadsheetml/2009/9/main" objectType="CheckBox" fmlaLink="Unformatted!G85" lockText="1" noThreeD="1"/>
</file>

<file path=xl/ctrlProps/ctrlProp828.xml><?xml version="1.0" encoding="utf-8"?>
<formControlPr xmlns="http://schemas.microsoft.com/office/spreadsheetml/2009/9/main" objectType="CheckBox" fmlaLink="Unformatted!G99" lockText="1" noThreeD="1"/>
</file>

<file path=xl/ctrlProps/ctrlProp829.xml><?xml version="1.0" encoding="utf-8"?>
<formControlPr xmlns="http://schemas.microsoft.com/office/spreadsheetml/2009/9/main" objectType="CheckBox" fmlaLink="Unformatted!G115" lockText="1" noThreeD="1"/>
</file>

<file path=xl/ctrlProps/ctrlProp830.xml><?xml version="1.0" encoding="utf-8"?>
<formControlPr xmlns="http://schemas.microsoft.com/office/spreadsheetml/2009/9/main" objectType="CheckBox" fmlaLink="Unformatted!I180" lockText="1" noThreeD="1"/>
</file>

<file path=xl/ctrlProps/ctrlProp831.xml><?xml version="1.0" encoding="utf-8"?>
<formControlPr xmlns="http://schemas.microsoft.com/office/spreadsheetml/2009/9/main" objectType="CheckBox" fmlaLink="Unformatted!K180" lockText="1" noThreeD="1"/>
</file>

<file path=xl/ctrlProps/ctrlProp832.xml><?xml version="1.0" encoding="utf-8"?>
<formControlPr xmlns="http://schemas.microsoft.com/office/spreadsheetml/2009/9/main" objectType="CheckBox" fmlaLink="Unformatted!J180" lockText="1" noThreeD="1"/>
</file>

<file path=xl/ctrlProps/ctrlProp833.xml><?xml version="1.0" encoding="utf-8"?>
<formControlPr xmlns="http://schemas.microsoft.com/office/spreadsheetml/2009/9/main" objectType="CheckBox" fmlaLink="Unformatted!L180" lockText="1" noThreeD="1"/>
</file>

<file path=xl/ctrlProps/ctrlProp834.xml><?xml version="1.0" encoding="utf-8"?>
<formControlPr xmlns="http://schemas.microsoft.com/office/spreadsheetml/2009/9/main" objectType="CheckBox" fmlaLink="Unformatted!$E$218" lockText="1" noThreeD="1"/>
</file>

<file path=xl/ctrlProps/ctrlProp835.xml><?xml version="1.0" encoding="utf-8"?>
<formControlPr xmlns="http://schemas.microsoft.com/office/spreadsheetml/2009/9/main" objectType="CheckBox" fmlaLink="Unformatted!$E$356" lockText="1" noThreeD="1"/>
</file>

<file path=xl/ctrlProps/ctrlProp836.xml><?xml version="1.0" encoding="utf-8"?>
<formControlPr xmlns="http://schemas.microsoft.com/office/spreadsheetml/2009/9/main" objectType="CheckBox" fmlaLink="Unformatted!$E$357" lockText="1" noThreeD="1"/>
</file>

<file path=xl/ctrlProps/ctrlProp837.xml><?xml version="1.0" encoding="utf-8"?>
<formControlPr xmlns="http://schemas.microsoft.com/office/spreadsheetml/2009/9/main" objectType="CheckBox" fmlaLink="Unformatted!$E$356" lockText="1" noThreeD="1"/>
</file>

<file path=xl/ctrlProps/ctrlProp838.xml><?xml version="1.0" encoding="utf-8"?>
<formControlPr xmlns="http://schemas.microsoft.com/office/spreadsheetml/2009/9/main" objectType="CheckBox" fmlaLink="Unformatted!$E$357" lockText="1" noThreeD="1"/>
</file>

<file path=xl/ctrlProps/ctrlProp839.xml><?xml version="1.0" encoding="utf-8"?>
<formControlPr xmlns="http://schemas.microsoft.com/office/spreadsheetml/2009/9/main" objectType="CheckBox" fmlaLink="Unformatted!$E$178" lockText="1" noThreeD="1"/>
</file>

<file path=xl/ctrlProps/ctrlProp840.xml><?xml version="1.0" encoding="utf-8"?>
<formControlPr xmlns="http://schemas.microsoft.com/office/spreadsheetml/2009/9/main" objectType="CheckBox" fmlaLink="Unformatted!$E$218" lockText="1" noThreeD="1"/>
</file>

<file path=xl/ctrlProps/ctrlProp841.xml><?xml version="1.0" encoding="utf-8"?>
<formControlPr xmlns="http://schemas.microsoft.com/office/spreadsheetml/2009/9/main" objectType="CheckBox" fmlaLink="Unformatted!$E$218" lockText="1" noThreeD="1"/>
</file>

<file path=xl/ctrlProps/ctrlProp842.xml><?xml version="1.0" encoding="utf-8"?>
<formControlPr xmlns="http://schemas.microsoft.com/office/spreadsheetml/2009/9/main" objectType="CheckBox" fmlaLink="Unformatted!$E$192" lockText="1" noThreeD="1"/>
</file>

<file path=xl/ctrlProps/ctrlProp843.xml><?xml version="1.0" encoding="utf-8"?>
<formControlPr xmlns="http://schemas.microsoft.com/office/spreadsheetml/2009/9/main" objectType="CheckBox" fmlaLink="Unformatted!$E$193" lockText="1" noThreeD="1"/>
</file>

<file path=xl/ctrlProps/ctrlProp844.xml><?xml version="1.0" encoding="utf-8"?>
<formControlPr xmlns="http://schemas.microsoft.com/office/spreadsheetml/2009/9/main" objectType="CheckBox" fmlaLink="Unformatted!$E$191" lockText="1" noThreeD="1"/>
</file>

<file path=xl/ctrlProps/ctrlProp845.xml><?xml version="1.0" encoding="utf-8"?>
<formControlPr xmlns="http://schemas.microsoft.com/office/spreadsheetml/2009/9/main" objectType="CheckBox" fmlaLink="Unformatted!$E$190" lockText="1" noThreeD="1"/>
</file>

<file path=xl/ctrlProps/ctrlProp846.xml><?xml version="1.0" encoding="utf-8"?>
<formControlPr xmlns="http://schemas.microsoft.com/office/spreadsheetml/2009/9/main" objectType="CheckBox" fmlaLink="Unformatted!$E$194" lockText="1" noThreeD="1"/>
</file>

<file path=xl/ctrlProps/ctrlProp847.xml><?xml version="1.0" encoding="utf-8"?>
<formControlPr xmlns="http://schemas.microsoft.com/office/spreadsheetml/2009/9/main" objectType="CheckBox" fmlaLink="Unformatted!$E$195" lockText="1" noThreeD="1"/>
</file>

<file path=xl/ctrlProps/ctrlProp848.xml><?xml version="1.0" encoding="utf-8"?>
<formControlPr xmlns="http://schemas.microsoft.com/office/spreadsheetml/2009/9/main" objectType="CheckBox" fmlaLink="Unformatted!E323" lockText="1" noThreeD="1"/>
</file>

<file path=xl/ctrlProps/ctrlProp849.xml><?xml version="1.0" encoding="utf-8"?>
<formControlPr xmlns="http://schemas.microsoft.com/office/spreadsheetml/2009/9/main" objectType="CheckBox" fmlaLink="Unformatted!G85" lockText="1" noThreeD="1"/>
</file>

<file path=xl/ctrlProps/ctrlProp850.xml><?xml version="1.0" encoding="utf-8"?>
<formControlPr xmlns="http://schemas.microsoft.com/office/spreadsheetml/2009/9/main" objectType="CheckBox" fmlaLink="Unformatted!G99" lockText="1" noThreeD="1"/>
</file>

<file path=xl/ctrlProps/ctrlProp851.xml><?xml version="1.0" encoding="utf-8"?>
<formControlPr xmlns="http://schemas.microsoft.com/office/spreadsheetml/2009/9/main" objectType="CheckBox" fmlaLink="Unformatted!G115" lockText="1" noThreeD="1"/>
</file>

<file path=xl/ctrlProps/ctrlProp852.xml><?xml version="1.0" encoding="utf-8"?>
<formControlPr xmlns="http://schemas.microsoft.com/office/spreadsheetml/2009/9/main" objectType="CheckBox" fmlaLink="Unformatted!E643" lockText="1" noThreeD="1"/>
</file>

<file path=xl/ctrlProps/ctrlProp853.xml><?xml version="1.0" encoding="utf-8"?>
<formControlPr xmlns="http://schemas.microsoft.com/office/spreadsheetml/2009/9/main" objectType="CheckBox" fmlaLink="Unformatted!F643" lockText="1" noThreeD="1"/>
</file>

<file path=xl/ctrlProps/ctrlProp854.xml><?xml version="1.0" encoding="utf-8"?>
<formControlPr xmlns="http://schemas.microsoft.com/office/spreadsheetml/2009/9/main" objectType="CheckBox" fmlaLink="Unformatted!G643" lockText="1" noThreeD="1"/>
</file>

<file path=xl/ctrlProps/ctrlProp855.xml><?xml version="1.0" encoding="utf-8"?>
<formControlPr xmlns="http://schemas.microsoft.com/office/spreadsheetml/2009/9/main" objectType="CheckBox" fmlaLink="Unformatted!H643" lockText="1" noThreeD="1"/>
</file>

<file path=xl/ctrlProps/ctrlProp856.xml><?xml version="1.0" encoding="utf-8"?>
<formControlPr xmlns="http://schemas.microsoft.com/office/spreadsheetml/2009/9/main" objectType="CheckBox" fmlaLink="Unformatted!E651" lockText="1" noThreeD="1"/>
</file>

<file path=xl/ctrlProps/ctrlProp857.xml><?xml version="1.0" encoding="utf-8"?>
<formControlPr xmlns="http://schemas.microsoft.com/office/spreadsheetml/2009/9/main" objectType="CheckBox" fmlaLink="Unformatted!F651" lockText="1" noThreeD="1"/>
</file>

<file path=xl/ctrlProps/ctrlProp858.xml><?xml version="1.0" encoding="utf-8"?>
<formControlPr xmlns="http://schemas.microsoft.com/office/spreadsheetml/2009/9/main" objectType="CheckBox" fmlaLink="Unformatted!G651" lockText="1" noThreeD="1"/>
</file>

<file path=xl/ctrlProps/ctrlProp859.xml><?xml version="1.0" encoding="utf-8"?>
<formControlPr xmlns="http://schemas.microsoft.com/office/spreadsheetml/2009/9/main" objectType="CheckBox" fmlaLink="Unformatted!H651" lockText="1" noThreeD="1"/>
</file>

<file path=xl/ctrlProps/ctrlProp860.xml><?xml version="1.0" encoding="utf-8"?>
<formControlPr xmlns="http://schemas.microsoft.com/office/spreadsheetml/2009/9/main" objectType="CheckBox" fmlaLink="Unformatted!E347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4" Type="http://schemas.openxmlformats.org/officeDocument/2006/relationships/image" Target="../media/image20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504821</xdr:colOff>
      <xdr:row>0</xdr:row>
      <xdr:rowOff>62864</xdr:rowOff>
    </xdr:from>
    <xdr:to>
      <xdr:col>6</xdr:col>
      <xdr:colOff>313707</xdr:colOff>
      <xdr:row>3</xdr:row>
      <xdr:rowOff>81355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2324096" y="62864"/>
          <a:ext cx="1637686" cy="589991"/>
        </a:xfrm>
        <a:prstGeom prst="rect">
          <a:avLst/>
        </a:prstGeom>
      </xdr:spPr>
    </xdr:pic>
    <xdr:clientData/>
  </xdr:twoCellAnchor>
  <xdr:twoCellAnchor>
    <xdr:from>
      <xdr:col>1</xdr:col>
      <xdr:colOff>161925</xdr:colOff>
      <xdr:row>8</xdr:row>
      <xdr:rowOff>66675</xdr:rowOff>
    </xdr:from>
    <xdr:to>
      <xdr:col>3</xdr:col>
      <xdr:colOff>209550</xdr:colOff>
      <xdr:row>10</xdr:row>
      <xdr:rowOff>142875</xdr:rowOff>
    </xdr:to>
    <xdr:sp macro="[0]!goto_job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71525" y="1866900"/>
          <a:ext cx="1257300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Job &amp; Motor Data</a:t>
          </a:r>
        </a:p>
      </xdr:txBody>
    </xdr:sp>
    <xdr:clientData/>
  </xdr:twoCellAnchor>
  <xdr:twoCellAnchor>
    <xdr:from>
      <xdr:col>1</xdr:col>
      <xdr:colOff>161925</xdr:colOff>
      <xdr:row>11</xdr:row>
      <xdr:rowOff>27555</xdr:rowOff>
    </xdr:from>
    <xdr:to>
      <xdr:col>3</xdr:col>
      <xdr:colOff>209550</xdr:colOff>
      <xdr:row>13</xdr:row>
      <xdr:rowOff>103755</xdr:rowOff>
    </xdr:to>
    <xdr:sp macro="[0]!goto_asfound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71525" y="2400641"/>
          <a:ext cx="1261382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As</a:t>
          </a:r>
          <a:r>
            <a:rPr lang="en-US" sz="1100" baseline="0">
              <a:solidFill>
                <a:schemeClr val="tx1"/>
              </a:solidFill>
            </a:rPr>
            <a:t> Found Equipment</a:t>
          </a:r>
        </a:p>
      </xdr:txBody>
    </xdr:sp>
    <xdr:clientData/>
  </xdr:twoCellAnchor>
  <xdr:twoCellAnchor>
    <xdr:from>
      <xdr:col>1</xdr:col>
      <xdr:colOff>161925</xdr:colOff>
      <xdr:row>19</xdr:row>
      <xdr:rowOff>97292</xdr:rowOff>
    </xdr:from>
    <xdr:to>
      <xdr:col>3</xdr:col>
      <xdr:colOff>209550</xdr:colOff>
      <xdr:row>21</xdr:row>
      <xdr:rowOff>173492</xdr:rowOff>
    </xdr:to>
    <xdr:sp macro="[0]!goto_foundtests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71525" y="3993017"/>
          <a:ext cx="1257300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Tests</a:t>
          </a:r>
          <a:r>
            <a:rPr lang="en-US" sz="1100" baseline="0">
              <a:solidFill>
                <a:schemeClr val="tx1"/>
              </a:solidFill>
            </a:rPr>
            <a:t> Found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161925</xdr:colOff>
      <xdr:row>22</xdr:row>
      <xdr:rowOff>62253</xdr:rowOff>
    </xdr:from>
    <xdr:to>
      <xdr:col>3</xdr:col>
      <xdr:colOff>209550</xdr:colOff>
      <xdr:row>24</xdr:row>
      <xdr:rowOff>138453</xdr:rowOff>
    </xdr:to>
    <xdr:sp macro="[0]!goto_mechanical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71525" y="4529478"/>
          <a:ext cx="1257300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Mechanical</a:t>
          </a:r>
          <a:r>
            <a:rPr lang="en-US" sz="1050" baseline="0">
              <a:solidFill>
                <a:schemeClr val="tx1"/>
              </a:solidFill>
            </a:rPr>
            <a:t> </a:t>
          </a:r>
        </a:p>
        <a:p>
          <a:pPr algn="ctr"/>
          <a:r>
            <a:rPr lang="en-US" sz="1100">
              <a:solidFill>
                <a:schemeClr val="tx1"/>
              </a:solidFill>
            </a:rPr>
            <a:t>Inspections</a:t>
          </a:r>
        </a:p>
      </xdr:txBody>
    </xdr:sp>
    <xdr:clientData/>
  </xdr:twoCellAnchor>
  <xdr:twoCellAnchor>
    <xdr:from>
      <xdr:col>6</xdr:col>
      <xdr:colOff>314325</xdr:colOff>
      <xdr:row>8</xdr:row>
      <xdr:rowOff>63955</xdr:rowOff>
    </xdr:from>
    <xdr:to>
      <xdr:col>8</xdr:col>
      <xdr:colOff>352425</xdr:colOff>
      <xdr:row>10</xdr:row>
      <xdr:rowOff>140155</xdr:rowOff>
    </xdr:to>
    <xdr:sp macro="[0]!goto_reportgeneric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962400" y="1864180"/>
          <a:ext cx="1257300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Internal</a:t>
          </a:r>
        </a:p>
      </xdr:txBody>
    </xdr:sp>
    <xdr:clientData/>
  </xdr:twoCellAnchor>
  <xdr:twoCellAnchor>
    <xdr:from>
      <xdr:col>1</xdr:col>
      <xdr:colOff>161925</xdr:colOff>
      <xdr:row>30</xdr:row>
      <xdr:rowOff>95250</xdr:rowOff>
    </xdr:from>
    <xdr:to>
      <xdr:col>3</xdr:col>
      <xdr:colOff>209550</xdr:colOff>
      <xdr:row>32</xdr:row>
      <xdr:rowOff>171450</xdr:rowOff>
    </xdr:to>
    <xdr:sp macro="[0]!goto_required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71525" y="6086475"/>
          <a:ext cx="1257300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Work Required</a:t>
          </a:r>
        </a:p>
      </xdr:txBody>
    </xdr:sp>
    <xdr:clientData/>
  </xdr:twoCellAnchor>
  <xdr:twoCellAnchor>
    <xdr:from>
      <xdr:col>1</xdr:col>
      <xdr:colOff>161925</xdr:colOff>
      <xdr:row>27</xdr:row>
      <xdr:rowOff>144236</xdr:rowOff>
    </xdr:from>
    <xdr:to>
      <xdr:col>3</xdr:col>
      <xdr:colOff>209550</xdr:colOff>
      <xdr:row>30</xdr:row>
      <xdr:rowOff>29936</xdr:rowOff>
    </xdr:to>
    <xdr:sp macro="[0]!goto_electrical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771525" y="5563961"/>
          <a:ext cx="1257300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Electrical</a:t>
          </a:r>
          <a:r>
            <a:rPr lang="en-US" sz="1100" baseline="0">
              <a:solidFill>
                <a:schemeClr val="tx1"/>
              </a:solidFill>
            </a:rPr>
            <a:t> Inspection</a:t>
          </a:r>
        </a:p>
      </xdr:txBody>
    </xdr:sp>
    <xdr:clientData/>
  </xdr:twoCellAnchor>
  <xdr:twoCellAnchor>
    <xdr:from>
      <xdr:col>3</xdr:col>
      <xdr:colOff>581025</xdr:colOff>
      <xdr:row>8</xdr:row>
      <xdr:rowOff>57150</xdr:rowOff>
    </xdr:from>
    <xdr:to>
      <xdr:col>6</xdr:col>
      <xdr:colOff>9525</xdr:colOff>
      <xdr:row>10</xdr:row>
      <xdr:rowOff>133350</xdr:rowOff>
    </xdr:to>
    <xdr:sp macro="[0]!goto_summaryofissues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400300" y="1857375"/>
          <a:ext cx="1257300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Summary</a:t>
          </a:r>
          <a:r>
            <a:rPr lang="en-US" sz="1100" baseline="0">
              <a:solidFill>
                <a:schemeClr val="tx1"/>
              </a:solidFill>
            </a:rPr>
            <a:t> of Issues</a:t>
          </a:r>
        </a:p>
      </xdr:txBody>
    </xdr:sp>
    <xdr:clientData/>
  </xdr:twoCellAnchor>
  <xdr:twoCellAnchor>
    <xdr:from>
      <xdr:col>3</xdr:col>
      <xdr:colOff>581025</xdr:colOff>
      <xdr:row>11</xdr:row>
      <xdr:rowOff>19050</xdr:rowOff>
    </xdr:from>
    <xdr:to>
      <xdr:col>6</xdr:col>
      <xdr:colOff>9525</xdr:colOff>
      <xdr:row>13</xdr:row>
      <xdr:rowOff>95250</xdr:rowOff>
    </xdr:to>
    <xdr:sp macro="[0]!goto_releasedelectrical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400300" y="2390775"/>
          <a:ext cx="1257300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Electrical Tests</a:t>
          </a:r>
        </a:p>
      </xdr:txBody>
    </xdr:sp>
    <xdr:clientData/>
  </xdr:twoCellAnchor>
  <xdr:twoCellAnchor>
    <xdr:from>
      <xdr:col>3</xdr:col>
      <xdr:colOff>581025</xdr:colOff>
      <xdr:row>16</xdr:row>
      <xdr:rowOff>152400</xdr:rowOff>
    </xdr:from>
    <xdr:to>
      <xdr:col>6</xdr:col>
      <xdr:colOff>9525</xdr:colOff>
      <xdr:row>19</xdr:row>
      <xdr:rowOff>38100</xdr:rowOff>
    </xdr:to>
    <xdr:sp macro="[0]!goto_releasedaftersizes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400300" y="3476625"/>
          <a:ext cx="1257300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After</a:t>
          </a:r>
          <a:r>
            <a:rPr lang="en-US" sz="1100" baseline="0">
              <a:solidFill>
                <a:schemeClr val="tx1"/>
              </a:solidFill>
            </a:rPr>
            <a:t> Sizes and Repairs</a:t>
          </a:r>
        </a:p>
      </xdr:txBody>
    </xdr:sp>
    <xdr:clientData/>
  </xdr:twoCellAnchor>
  <xdr:twoCellAnchor>
    <xdr:from>
      <xdr:col>3</xdr:col>
      <xdr:colOff>581025</xdr:colOff>
      <xdr:row>22</xdr:row>
      <xdr:rowOff>95250</xdr:rowOff>
    </xdr:from>
    <xdr:to>
      <xdr:col>6</xdr:col>
      <xdr:colOff>9525</xdr:colOff>
      <xdr:row>24</xdr:row>
      <xdr:rowOff>171450</xdr:rowOff>
    </xdr:to>
    <xdr:sp macro="[0]!goto_prechecklist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0300" y="4562475"/>
          <a:ext cx="1257300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Pre-Assembly</a:t>
          </a:r>
          <a:r>
            <a:rPr lang="en-US" sz="1100" baseline="0">
              <a:solidFill>
                <a:schemeClr val="tx1"/>
              </a:solidFill>
            </a:rPr>
            <a:t> Checklist</a:t>
          </a:r>
        </a:p>
      </xdr:txBody>
    </xdr:sp>
    <xdr:clientData/>
  </xdr:twoCellAnchor>
  <xdr:twoCellAnchor>
    <xdr:from>
      <xdr:col>3</xdr:col>
      <xdr:colOff>571500</xdr:colOff>
      <xdr:row>25</xdr:row>
      <xdr:rowOff>57150</xdr:rowOff>
    </xdr:from>
    <xdr:to>
      <xdr:col>6</xdr:col>
      <xdr:colOff>0</xdr:colOff>
      <xdr:row>27</xdr:row>
      <xdr:rowOff>133350</xdr:rowOff>
    </xdr:to>
    <xdr:sp macro="[0]!goto_balance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390775" y="5095875"/>
          <a:ext cx="1257300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Balancing</a:t>
          </a:r>
          <a:r>
            <a:rPr lang="en-US" sz="1100" baseline="0">
              <a:solidFill>
                <a:schemeClr val="tx1"/>
              </a:solidFill>
            </a:rPr>
            <a:t> and Bearing Info</a:t>
          </a:r>
        </a:p>
      </xdr:txBody>
    </xdr:sp>
    <xdr:clientData/>
  </xdr:twoCellAnchor>
  <xdr:twoCellAnchor>
    <xdr:from>
      <xdr:col>3</xdr:col>
      <xdr:colOff>571500</xdr:colOff>
      <xdr:row>28</xdr:row>
      <xdr:rowOff>9525</xdr:rowOff>
    </xdr:from>
    <xdr:to>
      <xdr:col>6</xdr:col>
      <xdr:colOff>0</xdr:colOff>
      <xdr:row>30</xdr:row>
      <xdr:rowOff>85725</xdr:rowOff>
    </xdr:to>
    <xdr:sp macro="[0]!goto_assemblychecklist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390775" y="5619750"/>
          <a:ext cx="1257300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Assembly Checklist</a:t>
          </a:r>
        </a:p>
      </xdr:txBody>
    </xdr:sp>
    <xdr:clientData/>
  </xdr:twoCellAnchor>
  <xdr:twoCellAnchor>
    <xdr:from>
      <xdr:col>3</xdr:col>
      <xdr:colOff>581025</xdr:colOff>
      <xdr:row>30</xdr:row>
      <xdr:rowOff>152400</xdr:rowOff>
    </xdr:from>
    <xdr:to>
      <xdr:col>6</xdr:col>
      <xdr:colOff>9525</xdr:colOff>
      <xdr:row>33</xdr:row>
      <xdr:rowOff>38100</xdr:rowOff>
    </xdr:to>
    <xdr:sp macro="[0]!goto_AcceptanceTesting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400300" y="6143625"/>
          <a:ext cx="1257300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Acceptance</a:t>
          </a:r>
          <a:r>
            <a:rPr lang="en-US" sz="1100" baseline="0">
              <a:solidFill>
                <a:schemeClr val="tx1"/>
              </a:solidFill>
            </a:rPr>
            <a:t> Testing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590550</xdr:colOff>
      <xdr:row>33</xdr:row>
      <xdr:rowOff>104775</xdr:rowOff>
    </xdr:from>
    <xdr:to>
      <xdr:col>6</xdr:col>
      <xdr:colOff>19050</xdr:colOff>
      <xdr:row>35</xdr:row>
      <xdr:rowOff>161925</xdr:rowOff>
    </xdr:to>
    <xdr:sp macro="[0]!goto_QAChecklist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409825" y="6667500"/>
          <a:ext cx="1257300" cy="43815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Quality</a:t>
          </a:r>
          <a:r>
            <a:rPr lang="en-US" sz="1100" baseline="0">
              <a:solidFill>
                <a:schemeClr val="tx1"/>
              </a:solidFill>
            </a:rPr>
            <a:t> Assurance Checklist</a:t>
          </a:r>
        </a:p>
      </xdr:txBody>
    </xdr:sp>
    <xdr:clientData/>
  </xdr:twoCellAnchor>
  <xdr:twoCellAnchor>
    <xdr:from>
      <xdr:col>6</xdr:col>
      <xdr:colOff>323850</xdr:colOff>
      <xdr:row>11</xdr:row>
      <xdr:rowOff>19050</xdr:rowOff>
    </xdr:from>
    <xdr:to>
      <xdr:col>8</xdr:col>
      <xdr:colOff>361950</xdr:colOff>
      <xdr:row>13</xdr:row>
      <xdr:rowOff>95250</xdr:rowOff>
    </xdr:to>
    <xdr:sp macro="[0]!goto_reportcustomer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971925" y="2390775"/>
          <a:ext cx="1257300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Customer</a:t>
          </a:r>
        </a:p>
      </xdr:txBody>
    </xdr:sp>
    <xdr:clientData/>
  </xdr:twoCellAnchor>
  <xdr:twoCellAnchor>
    <xdr:from>
      <xdr:col>1</xdr:col>
      <xdr:colOff>161925</xdr:colOff>
      <xdr:row>14</xdr:row>
      <xdr:rowOff>0</xdr:rowOff>
    </xdr:from>
    <xdr:to>
      <xdr:col>3</xdr:col>
      <xdr:colOff>209550</xdr:colOff>
      <xdr:row>16</xdr:row>
      <xdr:rowOff>76200</xdr:rowOff>
    </xdr:to>
    <xdr:sp macro="[0]!goto_accessories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771525" y="2943225"/>
          <a:ext cx="1257300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Accessories</a:t>
          </a:r>
        </a:p>
      </xdr:txBody>
    </xdr:sp>
    <xdr:clientData/>
  </xdr:twoCellAnchor>
  <xdr:twoCellAnchor>
    <xdr:from>
      <xdr:col>1</xdr:col>
      <xdr:colOff>171450</xdr:colOff>
      <xdr:row>16</xdr:row>
      <xdr:rowOff>152400</xdr:rowOff>
    </xdr:from>
    <xdr:to>
      <xdr:col>3</xdr:col>
      <xdr:colOff>219075</xdr:colOff>
      <xdr:row>19</xdr:row>
      <xdr:rowOff>38100</xdr:rowOff>
    </xdr:to>
    <xdr:sp macro="[0]!goto_statorleads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781050" y="3476625"/>
          <a:ext cx="1257300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Stator</a:t>
          </a:r>
          <a:r>
            <a:rPr lang="en-US" sz="1100" baseline="0">
              <a:solidFill>
                <a:schemeClr val="tx1"/>
              </a:solidFill>
            </a:rPr>
            <a:t> Leads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161925</xdr:colOff>
      <xdr:row>25</xdr:row>
      <xdr:rowOff>19050</xdr:rowOff>
    </xdr:from>
    <xdr:to>
      <xdr:col>3</xdr:col>
      <xdr:colOff>209550</xdr:colOff>
      <xdr:row>27</xdr:row>
      <xdr:rowOff>95250</xdr:rowOff>
    </xdr:to>
    <xdr:sp macro="[0]!goto_mechanical2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771525" y="5057775"/>
          <a:ext cx="1257300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Misc.</a:t>
          </a:r>
          <a:r>
            <a:rPr lang="en-US" sz="1100" baseline="0">
              <a:solidFill>
                <a:schemeClr val="tx1"/>
              </a:solidFill>
            </a:rPr>
            <a:t> Fits</a:t>
          </a:r>
        </a:p>
      </xdr:txBody>
    </xdr:sp>
    <xdr:clientData/>
  </xdr:twoCellAnchor>
  <xdr:twoCellAnchor>
    <xdr:from>
      <xdr:col>3</xdr:col>
      <xdr:colOff>590550</xdr:colOff>
      <xdr:row>14</xdr:row>
      <xdr:rowOff>0</xdr:rowOff>
    </xdr:from>
    <xdr:to>
      <xdr:col>6</xdr:col>
      <xdr:colOff>19050</xdr:colOff>
      <xdr:row>16</xdr:row>
      <xdr:rowOff>76200</xdr:rowOff>
    </xdr:to>
    <xdr:sp macro="[0]!goto_releasedaccessories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409825" y="2943225"/>
          <a:ext cx="1257300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Released</a:t>
          </a:r>
          <a:r>
            <a:rPr lang="en-US" sz="1100" baseline="0">
              <a:solidFill>
                <a:schemeClr val="tx1"/>
              </a:solidFill>
            </a:rPr>
            <a:t> </a:t>
          </a:r>
        </a:p>
        <a:p>
          <a:pPr algn="ctr"/>
          <a:r>
            <a:rPr lang="en-US" sz="1100">
              <a:solidFill>
                <a:schemeClr val="tx1"/>
              </a:solidFill>
            </a:rPr>
            <a:t>Accessories</a:t>
          </a:r>
        </a:p>
      </xdr:txBody>
    </xdr:sp>
    <xdr:clientData/>
  </xdr:twoCellAnchor>
  <xdr:twoCellAnchor>
    <xdr:from>
      <xdr:col>3</xdr:col>
      <xdr:colOff>581025</xdr:colOff>
      <xdr:row>19</xdr:row>
      <xdr:rowOff>123825</xdr:rowOff>
    </xdr:from>
    <xdr:to>
      <xdr:col>6</xdr:col>
      <xdr:colOff>9525</xdr:colOff>
      <xdr:row>22</xdr:row>
      <xdr:rowOff>9525</xdr:rowOff>
    </xdr:to>
    <xdr:sp macro="[0]!goto_releasedmiscfits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400300" y="4019550"/>
          <a:ext cx="1257300" cy="457200"/>
        </a:xfrm>
        <a:prstGeom prst="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As Released </a:t>
          </a:r>
        </a:p>
        <a:p>
          <a:pPr algn="ctr"/>
          <a:r>
            <a:rPr lang="en-US" sz="1100">
              <a:solidFill>
                <a:schemeClr val="tx1"/>
              </a:solidFill>
            </a:rPr>
            <a:t>Misc. Fits</a:t>
          </a:r>
          <a:endParaRPr lang="en-US" sz="1100" baseline="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365214</xdr:colOff>
      <xdr:row>0</xdr:row>
      <xdr:rowOff>62441</xdr:rowOff>
    </xdr:from>
    <xdr:to>
      <xdr:col>5</xdr:col>
      <xdr:colOff>397016</xdr:colOff>
      <xdr:row>2</xdr:row>
      <xdr:rowOff>137157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3022689" y="62441"/>
          <a:ext cx="1555802" cy="56049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5443</xdr:colOff>
          <xdr:row>16</xdr:row>
          <xdr:rowOff>85720</xdr:rowOff>
        </xdr:from>
        <xdr:to>
          <xdr:col>6</xdr:col>
          <xdr:colOff>2</xdr:colOff>
          <xdr:row>23</xdr:row>
          <xdr:rowOff>112389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pSpPr/>
          </xdr:nvGrpSpPr>
          <xdr:grpSpPr>
            <a:xfrm>
              <a:off x="1329418" y="4143370"/>
              <a:ext cx="4052209" cy="1645919"/>
              <a:chOff x="1328343" y="3605271"/>
              <a:chExt cx="4048077" cy="1377502"/>
            </a:xfrm>
          </xdr:grpSpPr>
          <xdr:sp macro="" textlink="">
            <xdr:nvSpPr>
              <xdr:cNvPr id="3087" name="TextBox1" hidden="1">
                <a:extLst>
                  <a:ext uri="{63B3BB69-23CF-44E3-9099-C40C66FF867C}">
                    <a14:compatExt spid="_x0000_s3087"/>
                  </a:ext>
                  <a:ext uri="{FF2B5EF4-FFF2-40B4-BE49-F238E27FC236}">
                    <a16:creationId xmlns:a16="http://schemas.microsoft.com/office/drawing/2014/main" id="{00000000-0008-0000-0100-00000F0C0000}"/>
                  </a:ext>
                </a:extLst>
              </xdr:cNvPr>
              <xdr:cNvSpPr/>
            </xdr:nvSpPr>
            <xdr:spPr bwMode="auto">
              <a:xfrm>
                <a:off x="1328345" y="3605271"/>
                <a:ext cx="4048075" cy="56599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3088" name="TextBox2" hidden="1">
                <a:extLst>
                  <a:ext uri="{63B3BB69-23CF-44E3-9099-C40C66FF867C}">
                    <a14:compatExt spid="_x0000_s3088"/>
                  </a:ext>
                  <a:ext uri="{FF2B5EF4-FFF2-40B4-BE49-F238E27FC236}">
                    <a16:creationId xmlns:a16="http://schemas.microsoft.com/office/drawing/2014/main" id="{00000000-0008-0000-0100-0000100C0000}"/>
                  </a:ext>
                </a:extLst>
              </xdr:cNvPr>
              <xdr:cNvSpPr/>
            </xdr:nvSpPr>
            <xdr:spPr bwMode="auto">
              <a:xfrm>
                <a:off x="1328343" y="4235042"/>
                <a:ext cx="4048075" cy="74773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514350</xdr:colOff>
          <xdr:row>6</xdr:row>
          <xdr:rowOff>0</xdr:rowOff>
        </xdr:to>
        <xdr:sp macro="" textlink="">
          <xdr:nvSpPr>
            <xdr:cNvPr id="3091" name="Drop Dow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514350</xdr:colOff>
          <xdr:row>8</xdr:row>
          <xdr:rowOff>0</xdr:rowOff>
        </xdr:to>
        <xdr:sp macro="" textlink="">
          <xdr:nvSpPr>
            <xdr:cNvPr id="3092" name="Drop Dow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457200</xdr:colOff>
          <xdr:row>4</xdr:row>
          <xdr:rowOff>57150</xdr:rowOff>
        </xdr:from>
        <xdr:to>
          <xdr:col>19</xdr:col>
          <xdr:colOff>76200</xdr:colOff>
          <xdr:row>6</xdr:row>
          <xdr:rowOff>38100</xdr:rowOff>
        </xdr:to>
        <xdr:sp macro="" textlink="">
          <xdr:nvSpPr>
            <xdr:cNvPr id="3106" name="Group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476250</xdr:colOff>
          <xdr:row>4</xdr:row>
          <xdr:rowOff>85725</xdr:rowOff>
        </xdr:from>
        <xdr:to>
          <xdr:col>19</xdr:col>
          <xdr:colOff>123825</xdr:colOff>
          <xdr:row>5</xdr:row>
          <xdr:rowOff>152400</xdr:rowOff>
        </xdr:to>
        <xdr:sp macro="" textlink="">
          <xdr:nvSpPr>
            <xdr:cNvPr id="3110" name="Option 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Continuous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476250</xdr:colOff>
          <xdr:row>5</xdr:row>
          <xdr:rowOff>133350</xdr:rowOff>
        </xdr:from>
        <xdr:to>
          <xdr:col>20</xdr:col>
          <xdr:colOff>0</xdr:colOff>
          <xdr:row>5</xdr:row>
          <xdr:rowOff>333375</xdr:rowOff>
        </xdr:to>
        <xdr:sp macro="" textlink="">
          <xdr:nvSpPr>
            <xdr:cNvPr id="3111" name="Option 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Intermittent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0</xdr:row>
      <xdr:rowOff>85724</xdr:rowOff>
    </xdr:from>
    <xdr:to>
      <xdr:col>1</xdr:col>
      <xdr:colOff>1107398</xdr:colOff>
      <xdr:row>1</xdr:row>
      <xdr:rowOff>281177</xdr:rowOff>
    </xdr:to>
    <xdr:sp macro="[0]!goto_main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33350" y="85724"/>
          <a:ext cx="1097873" cy="385953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1</xdr:col>
      <xdr:colOff>1190421</xdr:colOff>
      <xdr:row>0</xdr:row>
      <xdr:rowOff>95383</xdr:rowOff>
    </xdr:from>
    <xdr:to>
      <xdr:col>2</xdr:col>
      <xdr:colOff>371271</xdr:colOff>
      <xdr:row>1</xdr:row>
      <xdr:rowOff>280839</xdr:rowOff>
    </xdr:to>
    <xdr:sp macro="[0]!goto_asfound" textlink="">
      <xdr:nvSpPr>
        <xdr:cNvPr id="21" name="Isosceles Tri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 rot="5400000">
          <a:off x="1316768" y="92861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7</xdr:row>
          <xdr:rowOff>9525</xdr:rowOff>
        </xdr:from>
        <xdr:to>
          <xdr:col>8</xdr:col>
          <xdr:colOff>1028700</xdr:colOff>
          <xdr:row>7</xdr:row>
          <xdr:rowOff>323850</xdr:rowOff>
        </xdr:to>
        <xdr:sp macro="" textlink="">
          <xdr:nvSpPr>
            <xdr:cNvPr id="3113" name="Drop Dow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15</xdr:row>
          <xdr:rowOff>9525</xdr:rowOff>
        </xdr:from>
        <xdr:to>
          <xdr:col>8</xdr:col>
          <xdr:colOff>1019175</xdr:colOff>
          <xdr:row>15</xdr:row>
          <xdr:rowOff>323850</xdr:rowOff>
        </xdr:to>
        <xdr:sp macro="" textlink="">
          <xdr:nvSpPr>
            <xdr:cNvPr id="3114" name="Drop Dow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17</xdr:row>
          <xdr:rowOff>9525</xdr:rowOff>
        </xdr:from>
        <xdr:to>
          <xdr:col>8</xdr:col>
          <xdr:colOff>1019175</xdr:colOff>
          <xdr:row>17</xdr:row>
          <xdr:rowOff>323850</xdr:rowOff>
        </xdr:to>
        <xdr:sp macro="" textlink="">
          <xdr:nvSpPr>
            <xdr:cNvPr id="3121" name="Drop Dow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19</xdr:row>
          <xdr:rowOff>9525</xdr:rowOff>
        </xdr:from>
        <xdr:to>
          <xdr:col>8</xdr:col>
          <xdr:colOff>1019175</xdr:colOff>
          <xdr:row>19</xdr:row>
          <xdr:rowOff>323850</xdr:rowOff>
        </xdr:to>
        <xdr:sp macro="" textlink="">
          <xdr:nvSpPr>
            <xdr:cNvPr id="3122" name="Drop Dow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180975</xdr:colOff>
      <xdr:row>1</xdr:row>
      <xdr:rowOff>9525</xdr:rowOff>
    </xdr:from>
    <xdr:to>
      <xdr:col>19</xdr:col>
      <xdr:colOff>97748</xdr:colOff>
      <xdr:row>2</xdr:row>
      <xdr:rowOff>52578</xdr:rowOff>
    </xdr:to>
    <xdr:sp macro="[0]!SaveAsExample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1315700" y="152400"/>
          <a:ext cx="1097873" cy="338328"/>
        </a:xfrm>
        <a:prstGeom prst="rect">
          <a:avLst/>
        </a:prstGeom>
        <a:solidFill>
          <a:srgbClr val="A5A5A5"/>
        </a:solidFill>
        <a:ln w="12700" cap="flat" cmpd="sng" algn="ctr">
          <a:solidFill>
            <a:srgbClr val="A5A5A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SAVE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9</xdr:row>
          <xdr:rowOff>0</xdr:rowOff>
        </xdr:from>
        <xdr:to>
          <xdr:col>18</xdr:col>
          <xdr:colOff>466725</xdr:colOff>
          <xdr:row>10</xdr:row>
          <xdr:rowOff>0</xdr:rowOff>
        </xdr:to>
        <xdr:sp macro="" textlink="">
          <xdr:nvSpPr>
            <xdr:cNvPr id="3123" name="Drop Dow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16</xdr:col>
          <xdr:colOff>9525</xdr:colOff>
          <xdr:row>6</xdr:row>
          <xdr:rowOff>0</xdr:rowOff>
        </xdr:to>
        <xdr:sp macro="" textlink="">
          <xdr:nvSpPr>
            <xdr:cNvPr id="3136" name="Drop Dow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4</xdr:row>
          <xdr:rowOff>76200</xdr:rowOff>
        </xdr:from>
        <xdr:to>
          <xdr:col>23</xdr:col>
          <xdr:colOff>19050</xdr:colOff>
          <xdr:row>25</xdr:row>
          <xdr:rowOff>19050</xdr:rowOff>
        </xdr:to>
        <xdr:sp macro="" textlink="">
          <xdr:nvSpPr>
            <xdr:cNvPr id="190465" name="TextBox1" hidden="1">
              <a:extLst>
                <a:ext uri="{63B3BB69-23CF-44E3-9099-C40C66FF867C}">
                  <a14:compatExt spid="_x0000_s190465"/>
                </a:ext>
                <a:ext uri="{FF2B5EF4-FFF2-40B4-BE49-F238E27FC236}">
                  <a16:creationId xmlns:a16="http://schemas.microsoft.com/office/drawing/2014/main" id="{00000000-0008-0000-0200-000001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4</xdr:col>
      <xdr:colOff>741649</xdr:colOff>
      <xdr:row>0</xdr:row>
      <xdr:rowOff>67815</xdr:rowOff>
    </xdr:from>
    <xdr:to>
      <xdr:col>9</xdr:col>
      <xdr:colOff>394172</xdr:colOff>
      <xdr:row>2</xdr:row>
      <xdr:rowOff>142531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2570449" y="67815"/>
          <a:ext cx="1547998" cy="56049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</xdr:row>
          <xdr:rowOff>76200</xdr:rowOff>
        </xdr:from>
        <xdr:to>
          <xdr:col>3</xdr:col>
          <xdr:colOff>190500</xdr:colOff>
          <xdr:row>5</xdr:row>
          <xdr:rowOff>133350</xdr:rowOff>
        </xdr:to>
        <xdr:sp macro="" textlink="">
          <xdr:nvSpPr>
            <xdr:cNvPr id="190466" name="Option Button 2" hidden="1">
              <a:extLst>
                <a:ext uri="{63B3BB69-23CF-44E3-9099-C40C66FF867C}">
                  <a14:compatExt spid="_x0000_s190466"/>
                </a:ext>
                <a:ext uri="{FF2B5EF4-FFF2-40B4-BE49-F238E27FC236}">
                  <a16:creationId xmlns:a16="http://schemas.microsoft.com/office/drawing/2014/main" id="{00000000-0008-0000-0200-000002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Complete Motor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</xdr:row>
          <xdr:rowOff>123825</xdr:rowOff>
        </xdr:from>
        <xdr:to>
          <xdr:col>3</xdr:col>
          <xdr:colOff>190500</xdr:colOff>
          <xdr:row>6</xdr:row>
          <xdr:rowOff>76200</xdr:rowOff>
        </xdr:to>
        <xdr:sp macro="" textlink="">
          <xdr:nvSpPr>
            <xdr:cNvPr id="190467" name="Option Button 3" hidden="1">
              <a:extLst>
                <a:ext uri="{63B3BB69-23CF-44E3-9099-C40C66FF867C}">
                  <a14:compatExt spid="_x0000_s190467"/>
                </a:ext>
                <a:ext uri="{FF2B5EF4-FFF2-40B4-BE49-F238E27FC236}">
                  <a16:creationId xmlns:a16="http://schemas.microsoft.com/office/drawing/2014/main" id="{00000000-0008-0000-0200-000003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Stator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5</xdr:row>
          <xdr:rowOff>171450</xdr:rowOff>
        </xdr:from>
        <xdr:to>
          <xdr:col>4</xdr:col>
          <xdr:colOff>523875</xdr:colOff>
          <xdr:row>7</xdr:row>
          <xdr:rowOff>28575</xdr:rowOff>
        </xdr:to>
        <xdr:sp macro="" textlink="">
          <xdr:nvSpPr>
            <xdr:cNvPr id="190468" name="Check Box 4" hidden="1">
              <a:extLst>
                <a:ext uri="{63B3BB69-23CF-44E3-9099-C40C66FF867C}">
                  <a14:compatExt spid="_x0000_s190468"/>
                </a:ext>
                <a:ext uri="{FF2B5EF4-FFF2-40B4-BE49-F238E27FC236}">
                  <a16:creationId xmlns:a16="http://schemas.microsoft.com/office/drawing/2014/main" id="{00000000-0008-0000-0200-000004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Pump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7</xdr:row>
          <xdr:rowOff>47625</xdr:rowOff>
        </xdr:from>
        <xdr:to>
          <xdr:col>4</xdr:col>
          <xdr:colOff>523875</xdr:colOff>
          <xdr:row>8</xdr:row>
          <xdr:rowOff>0</xdr:rowOff>
        </xdr:to>
        <xdr:sp macro="" textlink="">
          <xdr:nvSpPr>
            <xdr:cNvPr id="190469" name="Check Box 5" hidden="1">
              <a:extLst>
                <a:ext uri="{63B3BB69-23CF-44E3-9099-C40C66FF867C}">
                  <a14:compatExt spid="_x0000_s190469"/>
                </a:ext>
                <a:ext uri="{FF2B5EF4-FFF2-40B4-BE49-F238E27FC236}">
                  <a16:creationId xmlns:a16="http://schemas.microsoft.com/office/drawing/2014/main" id="{00000000-0008-0000-0200-000005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Brake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4</xdr:row>
          <xdr:rowOff>85725</xdr:rowOff>
        </xdr:from>
        <xdr:to>
          <xdr:col>4</xdr:col>
          <xdr:colOff>523875</xdr:colOff>
          <xdr:row>5</xdr:row>
          <xdr:rowOff>161925</xdr:rowOff>
        </xdr:to>
        <xdr:sp macro="" textlink="">
          <xdr:nvSpPr>
            <xdr:cNvPr id="190470" name="Check Box 6" descr="Gearbox" hidden="1">
              <a:extLst>
                <a:ext uri="{63B3BB69-23CF-44E3-9099-C40C66FF867C}">
                  <a14:compatExt spid="_x0000_s190470"/>
                </a:ext>
                <a:ext uri="{FF2B5EF4-FFF2-40B4-BE49-F238E27FC236}">
                  <a16:creationId xmlns:a16="http://schemas.microsoft.com/office/drawing/2014/main" id="{00000000-0008-0000-0200-000006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Gearbox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12</xdr:row>
          <xdr:rowOff>38100</xdr:rowOff>
        </xdr:from>
        <xdr:to>
          <xdr:col>3</xdr:col>
          <xdr:colOff>0</xdr:colOff>
          <xdr:row>15</xdr:row>
          <xdr:rowOff>9525</xdr:rowOff>
        </xdr:to>
        <xdr:sp macro="" textlink="">
          <xdr:nvSpPr>
            <xdr:cNvPr id="190471" name="Group Box 7" hidden="1">
              <a:extLst>
                <a:ext uri="{63B3BB69-23CF-44E3-9099-C40C66FF867C}">
                  <a14:compatExt spid="_x0000_s190471"/>
                </a:ext>
                <a:ext uri="{FF2B5EF4-FFF2-40B4-BE49-F238E27FC236}">
                  <a16:creationId xmlns:a16="http://schemas.microsoft.com/office/drawing/2014/main" id="{00000000-0008-0000-0200-000007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20</xdr:row>
          <xdr:rowOff>171450</xdr:rowOff>
        </xdr:from>
        <xdr:to>
          <xdr:col>2</xdr:col>
          <xdr:colOff>647700</xdr:colOff>
          <xdr:row>22</xdr:row>
          <xdr:rowOff>38100</xdr:rowOff>
        </xdr:to>
        <xdr:sp macro="" textlink="">
          <xdr:nvSpPr>
            <xdr:cNvPr id="190472" name="Check Box 8" hidden="1">
              <a:extLst>
                <a:ext uri="{63B3BB69-23CF-44E3-9099-C40C66FF867C}">
                  <a14:compatExt spid="_x0000_s190472"/>
                </a:ext>
                <a:ext uri="{FF2B5EF4-FFF2-40B4-BE49-F238E27FC236}">
                  <a16:creationId xmlns:a16="http://schemas.microsoft.com/office/drawing/2014/main" id="{00000000-0008-0000-0200-000008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12</xdr:row>
          <xdr:rowOff>76200</xdr:rowOff>
        </xdr:from>
        <xdr:to>
          <xdr:col>7</xdr:col>
          <xdr:colOff>19050</xdr:colOff>
          <xdr:row>13</xdr:row>
          <xdr:rowOff>76200</xdr:rowOff>
        </xdr:to>
        <xdr:sp macro="" textlink="">
          <xdr:nvSpPr>
            <xdr:cNvPr id="190473" name="Check Box 9" hidden="1">
              <a:extLst>
                <a:ext uri="{63B3BB69-23CF-44E3-9099-C40C66FF867C}">
                  <a14:compatExt spid="_x0000_s190473"/>
                </a:ext>
                <a:ext uri="{FF2B5EF4-FFF2-40B4-BE49-F238E27FC236}">
                  <a16:creationId xmlns:a16="http://schemas.microsoft.com/office/drawing/2014/main" id="{00000000-0008-0000-0200-000009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13</xdr:row>
          <xdr:rowOff>66675</xdr:rowOff>
        </xdr:from>
        <xdr:to>
          <xdr:col>7</xdr:col>
          <xdr:colOff>19050</xdr:colOff>
          <xdr:row>14</xdr:row>
          <xdr:rowOff>66675</xdr:rowOff>
        </xdr:to>
        <xdr:sp macro="" textlink="">
          <xdr:nvSpPr>
            <xdr:cNvPr id="190474" name="Check Box 10" hidden="1">
              <a:extLst>
                <a:ext uri="{63B3BB69-23CF-44E3-9099-C40C66FF867C}">
                  <a14:compatExt spid="_x0000_s190474"/>
                </a:ext>
                <a:ext uri="{FF2B5EF4-FFF2-40B4-BE49-F238E27FC236}">
                  <a16:creationId xmlns:a16="http://schemas.microsoft.com/office/drawing/2014/main" id="{00000000-0008-0000-0200-00000A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7</xdr:row>
          <xdr:rowOff>38100</xdr:rowOff>
        </xdr:from>
        <xdr:to>
          <xdr:col>13</xdr:col>
          <xdr:colOff>600075</xdr:colOff>
          <xdr:row>7</xdr:row>
          <xdr:rowOff>257175</xdr:rowOff>
        </xdr:to>
        <xdr:sp macro="" textlink="">
          <xdr:nvSpPr>
            <xdr:cNvPr id="190475" name="Option Button 11" hidden="1">
              <a:extLst>
                <a:ext uri="{63B3BB69-23CF-44E3-9099-C40C66FF867C}">
                  <a14:compatExt spid="_x0000_s190475"/>
                </a:ext>
                <a:ext uri="{FF2B5EF4-FFF2-40B4-BE49-F238E27FC236}">
                  <a16:creationId xmlns:a16="http://schemas.microsoft.com/office/drawing/2014/main" id="{00000000-0008-0000-0200-00000B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 Shaft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7</xdr:row>
          <xdr:rowOff>28575</xdr:rowOff>
        </xdr:from>
        <xdr:to>
          <xdr:col>12</xdr:col>
          <xdr:colOff>95250</xdr:colOff>
          <xdr:row>7</xdr:row>
          <xdr:rowOff>266700</xdr:rowOff>
        </xdr:to>
        <xdr:sp macro="" textlink="">
          <xdr:nvSpPr>
            <xdr:cNvPr id="190476" name="Option Button 12" hidden="1">
              <a:extLst>
                <a:ext uri="{63B3BB69-23CF-44E3-9099-C40C66FF867C}">
                  <a14:compatExt spid="_x0000_s190476"/>
                </a:ext>
                <a:ext uri="{FF2B5EF4-FFF2-40B4-BE49-F238E27FC236}">
                  <a16:creationId xmlns:a16="http://schemas.microsoft.com/office/drawing/2014/main" id="{00000000-0008-0000-0200-00000C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 Shaft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</xdr:row>
          <xdr:rowOff>85725</xdr:rowOff>
        </xdr:from>
        <xdr:to>
          <xdr:col>2</xdr:col>
          <xdr:colOff>857250</xdr:colOff>
          <xdr:row>7</xdr:row>
          <xdr:rowOff>180975</xdr:rowOff>
        </xdr:to>
        <xdr:sp macro="" textlink="">
          <xdr:nvSpPr>
            <xdr:cNvPr id="190479" name="Option Button 15" hidden="1">
              <a:extLst>
                <a:ext uri="{63B3BB69-23CF-44E3-9099-C40C66FF867C}">
                  <a14:compatExt spid="_x0000_s190479"/>
                </a:ext>
                <a:ext uri="{FF2B5EF4-FFF2-40B4-BE49-F238E27FC236}">
                  <a16:creationId xmlns:a16="http://schemas.microsoft.com/office/drawing/2014/main" id="{00000000-0008-0000-0200-00000F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Motor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13</xdr:col>
          <xdr:colOff>628650</xdr:colOff>
          <xdr:row>8</xdr:row>
          <xdr:rowOff>0</xdr:rowOff>
        </xdr:to>
        <xdr:sp macro="" textlink="">
          <xdr:nvSpPr>
            <xdr:cNvPr id="190480" name="Group Box 16" hidden="1">
              <a:extLst>
                <a:ext uri="{63B3BB69-23CF-44E3-9099-C40C66FF867C}">
                  <a14:compatExt spid="_x0000_s190480"/>
                </a:ext>
                <a:ext uri="{FF2B5EF4-FFF2-40B4-BE49-F238E27FC236}">
                  <a16:creationId xmlns:a16="http://schemas.microsoft.com/office/drawing/2014/main" id="{00000000-0008-0000-0200-000010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4</xdr:row>
          <xdr:rowOff>76200</xdr:rowOff>
        </xdr:from>
        <xdr:to>
          <xdr:col>6</xdr:col>
          <xdr:colOff>152400</xdr:colOff>
          <xdr:row>5</xdr:row>
          <xdr:rowOff>152400</xdr:rowOff>
        </xdr:to>
        <xdr:sp macro="" textlink="">
          <xdr:nvSpPr>
            <xdr:cNvPr id="190481" name="Check Box 17" descr="Gearbox" hidden="1">
              <a:extLst>
                <a:ext uri="{63B3BB69-23CF-44E3-9099-C40C66FF867C}">
                  <a14:compatExt spid="_x0000_s190481"/>
                </a:ext>
                <a:ext uri="{FF2B5EF4-FFF2-40B4-BE49-F238E27FC236}">
                  <a16:creationId xmlns:a16="http://schemas.microsoft.com/office/drawing/2014/main" id="{00000000-0008-0000-0200-000011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Compressor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14</xdr:row>
          <xdr:rowOff>47625</xdr:rowOff>
        </xdr:from>
        <xdr:to>
          <xdr:col>7</xdr:col>
          <xdr:colOff>19050</xdr:colOff>
          <xdr:row>15</xdr:row>
          <xdr:rowOff>38100</xdr:rowOff>
        </xdr:to>
        <xdr:sp macro="" textlink="">
          <xdr:nvSpPr>
            <xdr:cNvPr id="190482" name="Check Box 18" hidden="1">
              <a:extLst>
                <a:ext uri="{63B3BB69-23CF-44E3-9099-C40C66FF867C}">
                  <a14:compatExt spid="_x0000_s190482"/>
                </a:ext>
                <a:ext uri="{FF2B5EF4-FFF2-40B4-BE49-F238E27FC236}">
                  <a16:creationId xmlns:a16="http://schemas.microsoft.com/office/drawing/2014/main" id="{00000000-0008-0000-0200-000012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7</xdr:row>
          <xdr:rowOff>38100</xdr:rowOff>
        </xdr:from>
        <xdr:to>
          <xdr:col>11</xdr:col>
          <xdr:colOff>0</xdr:colOff>
          <xdr:row>7</xdr:row>
          <xdr:rowOff>257175</xdr:rowOff>
        </xdr:to>
        <xdr:sp macro="" textlink="">
          <xdr:nvSpPr>
            <xdr:cNvPr id="190483" name="Option Button 19" hidden="1">
              <a:extLst>
                <a:ext uri="{63B3BB69-23CF-44E3-9099-C40C66FF867C}">
                  <a14:compatExt spid="_x0000_s190483"/>
                </a:ext>
                <a:ext uri="{FF2B5EF4-FFF2-40B4-BE49-F238E27FC236}">
                  <a16:creationId xmlns:a16="http://schemas.microsoft.com/office/drawing/2014/main" id="{00000000-0008-0000-0200-000013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Flush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5</xdr:row>
          <xdr:rowOff>200025</xdr:rowOff>
        </xdr:from>
        <xdr:to>
          <xdr:col>6</xdr:col>
          <xdr:colOff>247650</xdr:colOff>
          <xdr:row>7</xdr:row>
          <xdr:rowOff>28575</xdr:rowOff>
        </xdr:to>
        <xdr:sp macro="" textlink="">
          <xdr:nvSpPr>
            <xdr:cNvPr id="190484" name="Check Box 20" hidden="1">
              <a:extLst>
                <a:ext uri="{63B3BB69-23CF-44E3-9099-C40C66FF867C}">
                  <a14:compatExt spid="_x0000_s190484"/>
                </a:ext>
                <a:ext uri="{FF2B5EF4-FFF2-40B4-BE49-F238E27FC236}">
                  <a16:creationId xmlns:a16="http://schemas.microsoft.com/office/drawing/2014/main" id="{00000000-0008-0000-0200-000014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190485" name="Group Box 21" hidden="1">
              <a:extLst>
                <a:ext uri="{63B3BB69-23CF-44E3-9099-C40C66FF867C}">
                  <a14:compatExt spid="_x0000_s190485"/>
                </a:ext>
                <a:ext uri="{FF2B5EF4-FFF2-40B4-BE49-F238E27FC236}">
                  <a16:creationId xmlns:a16="http://schemas.microsoft.com/office/drawing/2014/main" id="{00000000-0008-0000-0200-000015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5</xdr:row>
          <xdr:rowOff>9525</xdr:rowOff>
        </xdr:from>
        <xdr:to>
          <xdr:col>10</xdr:col>
          <xdr:colOff>504825</xdr:colOff>
          <xdr:row>5</xdr:row>
          <xdr:rowOff>276225</xdr:rowOff>
        </xdr:to>
        <xdr:sp macro="" textlink="">
          <xdr:nvSpPr>
            <xdr:cNvPr id="190486" name="Option Button 22" hidden="1">
              <a:extLst>
                <a:ext uri="{63B3BB69-23CF-44E3-9099-C40C66FF867C}">
                  <a14:compatExt spid="_x0000_s190486"/>
                </a:ext>
                <a:ext uri="{FF2B5EF4-FFF2-40B4-BE49-F238E27FC236}">
                  <a16:creationId xmlns:a16="http://schemas.microsoft.com/office/drawing/2014/main" id="{00000000-0008-0000-0200-000016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523875</xdr:colOff>
          <xdr:row>5</xdr:row>
          <xdr:rowOff>19050</xdr:rowOff>
        </xdr:from>
        <xdr:to>
          <xdr:col>10</xdr:col>
          <xdr:colOff>942975</xdr:colOff>
          <xdr:row>5</xdr:row>
          <xdr:rowOff>276225</xdr:rowOff>
        </xdr:to>
        <xdr:sp macro="" textlink="">
          <xdr:nvSpPr>
            <xdr:cNvPr id="190487" name="Option Button 23" hidden="1">
              <a:extLst>
                <a:ext uri="{63B3BB69-23CF-44E3-9099-C40C66FF867C}">
                  <a14:compatExt spid="_x0000_s190487"/>
                </a:ext>
                <a:ext uri="{FF2B5EF4-FFF2-40B4-BE49-F238E27FC236}">
                  <a16:creationId xmlns:a16="http://schemas.microsoft.com/office/drawing/2014/main" id="{00000000-0008-0000-0200-000017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10</xdr:col>
          <xdr:colOff>962025</xdr:colOff>
          <xdr:row>23</xdr:row>
          <xdr:rowOff>0</xdr:rowOff>
        </xdr:to>
        <xdr:sp macro="" textlink="">
          <xdr:nvSpPr>
            <xdr:cNvPr id="190488" name="Drop Down 24" hidden="1">
              <a:extLst>
                <a:ext uri="{63B3BB69-23CF-44E3-9099-C40C66FF867C}">
                  <a14:compatExt spid="_x0000_s190488"/>
                </a:ext>
                <a:ext uri="{FF2B5EF4-FFF2-40B4-BE49-F238E27FC236}">
                  <a16:creationId xmlns:a16="http://schemas.microsoft.com/office/drawing/2014/main" id="{00000000-0008-0000-0200-000018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14</xdr:col>
          <xdr:colOff>104775</xdr:colOff>
          <xdr:row>23</xdr:row>
          <xdr:rowOff>0</xdr:rowOff>
        </xdr:to>
        <xdr:sp macro="" textlink="">
          <xdr:nvSpPr>
            <xdr:cNvPr id="190489" name="Drop Down 25" hidden="1">
              <a:extLst>
                <a:ext uri="{63B3BB69-23CF-44E3-9099-C40C66FF867C}">
                  <a14:compatExt spid="_x0000_s190489"/>
                </a:ext>
                <a:ext uri="{FF2B5EF4-FFF2-40B4-BE49-F238E27FC236}">
                  <a16:creationId xmlns:a16="http://schemas.microsoft.com/office/drawing/2014/main" id="{00000000-0008-0000-0200-000019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12</xdr:row>
          <xdr:rowOff>66675</xdr:rowOff>
        </xdr:from>
        <xdr:to>
          <xdr:col>14</xdr:col>
          <xdr:colOff>28575</xdr:colOff>
          <xdr:row>15</xdr:row>
          <xdr:rowOff>19050</xdr:rowOff>
        </xdr:to>
        <xdr:sp macro="" textlink="">
          <xdr:nvSpPr>
            <xdr:cNvPr id="190490" name="Group Box 26" hidden="1">
              <a:extLst>
                <a:ext uri="{63B3BB69-23CF-44E3-9099-C40C66FF867C}">
                  <a14:compatExt spid="_x0000_s190490"/>
                </a:ext>
                <a:ext uri="{FF2B5EF4-FFF2-40B4-BE49-F238E27FC236}">
                  <a16:creationId xmlns:a16="http://schemas.microsoft.com/office/drawing/2014/main" id="{00000000-0008-0000-0200-00001A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790575</xdr:colOff>
          <xdr:row>12</xdr:row>
          <xdr:rowOff>123825</xdr:rowOff>
        </xdr:from>
        <xdr:to>
          <xdr:col>11</xdr:col>
          <xdr:colOff>742950</xdr:colOff>
          <xdr:row>13</xdr:row>
          <xdr:rowOff>95250</xdr:rowOff>
        </xdr:to>
        <xdr:sp macro="" textlink="">
          <xdr:nvSpPr>
            <xdr:cNvPr id="190491" name="Check Box 27" hidden="1">
              <a:extLst>
                <a:ext uri="{63B3BB69-23CF-44E3-9099-C40C66FF867C}">
                  <a14:compatExt spid="_x0000_s190491"/>
                </a:ext>
                <a:ext uri="{FF2B5EF4-FFF2-40B4-BE49-F238E27FC236}">
                  <a16:creationId xmlns:a16="http://schemas.microsoft.com/office/drawing/2014/main" id="{00000000-0008-0000-0200-00001B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Dirty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13</xdr:row>
          <xdr:rowOff>190500</xdr:rowOff>
        </xdr:from>
        <xdr:to>
          <xdr:col>10</xdr:col>
          <xdr:colOff>485775</xdr:colOff>
          <xdr:row>14</xdr:row>
          <xdr:rowOff>161925</xdr:rowOff>
        </xdr:to>
        <xdr:sp macro="" textlink="">
          <xdr:nvSpPr>
            <xdr:cNvPr id="190492" name="Check Box 28" hidden="1">
              <a:extLst>
                <a:ext uri="{63B3BB69-23CF-44E3-9099-C40C66FF867C}">
                  <a14:compatExt spid="_x0000_s190492"/>
                </a:ext>
                <a:ext uri="{FF2B5EF4-FFF2-40B4-BE49-F238E27FC236}">
                  <a16:creationId xmlns:a16="http://schemas.microsoft.com/office/drawing/2014/main" id="{00000000-0008-0000-0200-00001C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Oily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12</xdr:row>
          <xdr:rowOff>123825</xdr:rowOff>
        </xdr:from>
        <xdr:to>
          <xdr:col>13</xdr:col>
          <xdr:colOff>628650</xdr:colOff>
          <xdr:row>13</xdr:row>
          <xdr:rowOff>95250</xdr:rowOff>
        </xdr:to>
        <xdr:sp macro="" textlink="">
          <xdr:nvSpPr>
            <xdr:cNvPr id="190493" name="Check Box 29" hidden="1">
              <a:extLst>
                <a:ext uri="{63B3BB69-23CF-44E3-9099-C40C66FF867C}">
                  <a14:compatExt spid="_x0000_s190493"/>
                </a:ext>
                <a:ext uri="{FF2B5EF4-FFF2-40B4-BE49-F238E27FC236}">
                  <a16:creationId xmlns:a16="http://schemas.microsoft.com/office/drawing/2014/main" id="{00000000-0008-0000-0200-00001D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Grimy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790575</xdr:colOff>
          <xdr:row>13</xdr:row>
          <xdr:rowOff>190500</xdr:rowOff>
        </xdr:from>
        <xdr:to>
          <xdr:col>11</xdr:col>
          <xdr:colOff>742950</xdr:colOff>
          <xdr:row>14</xdr:row>
          <xdr:rowOff>161925</xdr:rowOff>
        </xdr:to>
        <xdr:sp macro="" textlink="">
          <xdr:nvSpPr>
            <xdr:cNvPr id="190494" name="Check Box 30" hidden="1">
              <a:extLst>
                <a:ext uri="{63B3BB69-23CF-44E3-9099-C40C66FF867C}">
                  <a14:compatExt spid="_x0000_s190494"/>
                </a:ext>
                <a:ext uri="{FF2B5EF4-FFF2-40B4-BE49-F238E27FC236}">
                  <a16:creationId xmlns:a16="http://schemas.microsoft.com/office/drawing/2014/main" id="{00000000-0008-0000-0200-00001E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Rusty/Corroded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12</xdr:row>
          <xdr:rowOff>123825</xdr:rowOff>
        </xdr:from>
        <xdr:to>
          <xdr:col>10</xdr:col>
          <xdr:colOff>485775</xdr:colOff>
          <xdr:row>13</xdr:row>
          <xdr:rowOff>95250</xdr:rowOff>
        </xdr:to>
        <xdr:sp macro="" textlink="">
          <xdr:nvSpPr>
            <xdr:cNvPr id="190495" name="Check Box 31" hidden="1">
              <a:extLst>
                <a:ext uri="{63B3BB69-23CF-44E3-9099-C40C66FF867C}">
                  <a14:compatExt spid="_x0000_s190495"/>
                </a:ext>
                <a:ext uri="{FF2B5EF4-FFF2-40B4-BE49-F238E27FC236}">
                  <a16:creationId xmlns:a16="http://schemas.microsoft.com/office/drawing/2014/main" id="{00000000-0008-0000-0200-00001F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352425</xdr:colOff>
          <xdr:row>13</xdr:row>
          <xdr:rowOff>190500</xdr:rowOff>
        </xdr:from>
        <xdr:to>
          <xdr:col>14</xdr:col>
          <xdr:colOff>0</xdr:colOff>
          <xdr:row>14</xdr:row>
          <xdr:rowOff>161925</xdr:rowOff>
        </xdr:to>
        <xdr:sp macro="" textlink="">
          <xdr:nvSpPr>
            <xdr:cNvPr id="190496" name="Check Box 32" hidden="1">
              <a:extLst>
                <a:ext uri="{63B3BB69-23CF-44E3-9099-C40C66FF867C}">
                  <a14:compatExt spid="_x0000_s190496"/>
                </a:ext>
                <a:ext uri="{FF2B5EF4-FFF2-40B4-BE49-F238E27FC236}">
                  <a16:creationId xmlns:a16="http://schemas.microsoft.com/office/drawing/2014/main" id="{00000000-0008-0000-0200-000020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Burned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17</xdr:row>
          <xdr:rowOff>95250</xdr:rowOff>
        </xdr:from>
        <xdr:to>
          <xdr:col>6</xdr:col>
          <xdr:colOff>180975</xdr:colOff>
          <xdr:row>19</xdr:row>
          <xdr:rowOff>0</xdr:rowOff>
        </xdr:to>
        <xdr:sp macro="" textlink="">
          <xdr:nvSpPr>
            <xdr:cNvPr id="190497" name="Drop Down 33" hidden="1">
              <a:extLst>
                <a:ext uri="{63B3BB69-23CF-44E3-9099-C40C66FF867C}">
                  <a14:compatExt spid="_x0000_s190497"/>
                </a:ext>
                <a:ext uri="{FF2B5EF4-FFF2-40B4-BE49-F238E27FC236}">
                  <a16:creationId xmlns:a16="http://schemas.microsoft.com/office/drawing/2014/main" id="{00000000-0008-0000-0200-000021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28575</xdr:rowOff>
        </xdr:from>
        <xdr:to>
          <xdr:col>6</xdr:col>
          <xdr:colOff>180975</xdr:colOff>
          <xdr:row>17</xdr:row>
          <xdr:rowOff>0</xdr:rowOff>
        </xdr:to>
        <xdr:sp macro="" textlink="">
          <xdr:nvSpPr>
            <xdr:cNvPr id="190498" name="Drop Down 34" hidden="1">
              <a:extLst>
                <a:ext uri="{63B3BB69-23CF-44E3-9099-C40C66FF867C}">
                  <a14:compatExt spid="_x0000_s190498"/>
                </a:ext>
                <a:ext uri="{FF2B5EF4-FFF2-40B4-BE49-F238E27FC236}">
                  <a16:creationId xmlns:a16="http://schemas.microsoft.com/office/drawing/2014/main" id="{00000000-0008-0000-0200-000022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12</xdr:row>
          <xdr:rowOff>66675</xdr:rowOff>
        </xdr:from>
        <xdr:to>
          <xdr:col>2</xdr:col>
          <xdr:colOff>771525</xdr:colOff>
          <xdr:row>13</xdr:row>
          <xdr:rowOff>38100</xdr:rowOff>
        </xdr:to>
        <xdr:sp macro="" textlink="">
          <xdr:nvSpPr>
            <xdr:cNvPr id="190499" name="Option Button 35" hidden="1">
              <a:extLst>
                <a:ext uri="{63B3BB69-23CF-44E3-9099-C40C66FF867C}">
                  <a14:compatExt spid="_x0000_s190499"/>
                </a:ext>
                <a:ext uri="{FF2B5EF4-FFF2-40B4-BE49-F238E27FC236}">
                  <a16:creationId xmlns:a16="http://schemas.microsoft.com/office/drawing/2014/main" id="{00000000-0008-0000-0200-000023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13</xdr:row>
          <xdr:rowOff>47625</xdr:rowOff>
        </xdr:from>
        <xdr:to>
          <xdr:col>2</xdr:col>
          <xdr:colOff>657225</xdr:colOff>
          <xdr:row>14</xdr:row>
          <xdr:rowOff>19050</xdr:rowOff>
        </xdr:to>
        <xdr:sp macro="" textlink="">
          <xdr:nvSpPr>
            <xdr:cNvPr id="190500" name="Option Button 36" hidden="1">
              <a:extLst>
                <a:ext uri="{63B3BB69-23CF-44E3-9099-C40C66FF867C}">
                  <a14:compatExt spid="_x0000_s190500"/>
                </a:ext>
                <a:ext uri="{FF2B5EF4-FFF2-40B4-BE49-F238E27FC236}">
                  <a16:creationId xmlns:a16="http://schemas.microsoft.com/office/drawing/2014/main" id="{00000000-0008-0000-0200-000024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Half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14</xdr:row>
          <xdr:rowOff>19050</xdr:rowOff>
        </xdr:from>
        <xdr:to>
          <xdr:col>2</xdr:col>
          <xdr:colOff>752475</xdr:colOff>
          <xdr:row>14</xdr:row>
          <xdr:rowOff>228600</xdr:rowOff>
        </xdr:to>
        <xdr:sp macro="" textlink="">
          <xdr:nvSpPr>
            <xdr:cNvPr id="190501" name="Option Button 37" hidden="1">
              <a:extLst>
                <a:ext uri="{63B3BB69-23CF-44E3-9099-C40C66FF867C}">
                  <a14:compatExt spid="_x0000_s190501"/>
                </a:ext>
                <a:ext uri="{FF2B5EF4-FFF2-40B4-BE49-F238E27FC236}">
                  <a16:creationId xmlns:a16="http://schemas.microsoft.com/office/drawing/2014/main" id="{00000000-0008-0000-0200-000025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None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95249</xdr:colOff>
      <xdr:row>0</xdr:row>
      <xdr:rowOff>92246</xdr:rowOff>
    </xdr:from>
    <xdr:to>
      <xdr:col>2</xdr:col>
      <xdr:colOff>342899</xdr:colOff>
      <xdr:row>1</xdr:row>
      <xdr:rowOff>277702</xdr:rowOff>
    </xdr:to>
    <xdr:sp macro="[0]!goto_jobdata" textlink="">
      <xdr:nvSpPr>
        <xdr:cNvPr id="47" name="Isosceles Triangl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 rot="16200000">
          <a:off x="212071" y="89724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430530</xdr:colOff>
      <xdr:row>0</xdr:row>
      <xdr:rowOff>85725</xdr:rowOff>
    </xdr:from>
    <xdr:to>
      <xdr:col>3</xdr:col>
      <xdr:colOff>661628</xdr:colOff>
      <xdr:row>1</xdr:row>
      <xdr:rowOff>281178</xdr:rowOff>
    </xdr:to>
    <xdr:sp macro="[0]!goto_main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678180" y="85725"/>
          <a:ext cx="1097873" cy="385953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4</xdr:col>
      <xdr:colOff>30276</xdr:colOff>
      <xdr:row>0</xdr:row>
      <xdr:rowOff>95384</xdr:rowOff>
    </xdr:from>
    <xdr:to>
      <xdr:col>4</xdr:col>
      <xdr:colOff>411276</xdr:colOff>
      <xdr:row>1</xdr:row>
      <xdr:rowOff>280840</xdr:rowOff>
    </xdr:to>
    <xdr:sp macro="[0]!goto_accessories" textlink="">
      <xdr:nvSpPr>
        <xdr:cNvPr id="49" name="Isosceles Triangl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 rot="5400000">
          <a:off x="1861598" y="92862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4</xdr:row>
          <xdr:rowOff>38100</xdr:rowOff>
        </xdr:from>
        <xdr:to>
          <xdr:col>3</xdr:col>
          <xdr:colOff>323850</xdr:colOff>
          <xdr:row>7</xdr:row>
          <xdr:rowOff>238125</xdr:rowOff>
        </xdr:to>
        <xdr:sp macro="" textlink="">
          <xdr:nvSpPr>
            <xdr:cNvPr id="190502" name="Group Box 38" hidden="1">
              <a:extLst>
                <a:ext uri="{63B3BB69-23CF-44E3-9099-C40C66FF867C}">
                  <a14:compatExt spid="_x0000_s190502"/>
                </a:ext>
                <a:ext uri="{FF2B5EF4-FFF2-40B4-BE49-F238E27FC236}">
                  <a16:creationId xmlns:a16="http://schemas.microsoft.com/office/drawing/2014/main" id="{00000000-0008-0000-0200-000026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18</xdr:row>
          <xdr:rowOff>0</xdr:rowOff>
        </xdr:from>
        <xdr:to>
          <xdr:col>11</xdr:col>
          <xdr:colOff>409575</xdr:colOff>
          <xdr:row>19</xdr:row>
          <xdr:rowOff>0</xdr:rowOff>
        </xdr:to>
        <xdr:sp macro="" textlink="">
          <xdr:nvSpPr>
            <xdr:cNvPr id="190503" name="Group Box 39" hidden="1">
              <a:extLst>
                <a:ext uri="{63B3BB69-23CF-44E3-9099-C40C66FF867C}">
                  <a14:compatExt spid="_x0000_s190503"/>
                </a:ext>
                <a:ext uri="{FF2B5EF4-FFF2-40B4-BE49-F238E27FC236}">
                  <a16:creationId xmlns:a16="http://schemas.microsoft.com/office/drawing/2014/main" id="{00000000-0008-0000-0200-000027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18</xdr:row>
          <xdr:rowOff>47625</xdr:rowOff>
        </xdr:from>
        <xdr:to>
          <xdr:col>10</xdr:col>
          <xdr:colOff>809625</xdr:colOff>
          <xdr:row>18</xdr:row>
          <xdr:rowOff>257175</xdr:rowOff>
        </xdr:to>
        <xdr:sp macro="" textlink="">
          <xdr:nvSpPr>
            <xdr:cNvPr id="190504" name="Option Button 40" hidden="1">
              <a:extLst>
                <a:ext uri="{63B3BB69-23CF-44E3-9099-C40C66FF867C}">
                  <a14:compatExt spid="_x0000_s190504"/>
                </a:ext>
                <a:ext uri="{FF2B5EF4-FFF2-40B4-BE49-F238E27FC236}">
                  <a16:creationId xmlns:a16="http://schemas.microsoft.com/office/drawing/2014/main" id="{00000000-0008-0000-0200-000028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885825</xdr:colOff>
          <xdr:row>18</xdr:row>
          <xdr:rowOff>47625</xdr:rowOff>
        </xdr:from>
        <xdr:to>
          <xdr:col>11</xdr:col>
          <xdr:colOff>314325</xdr:colOff>
          <xdr:row>18</xdr:row>
          <xdr:rowOff>257175</xdr:rowOff>
        </xdr:to>
        <xdr:sp macro="" textlink="">
          <xdr:nvSpPr>
            <xdr:cNvPr id="190505" name="Option Button 41" hidden="1">
              <a:extLst>
                <a:ext uri="{63B3BB69-23CF-44E3-9099-C40C66FF867C}">
                  <a14:compatExt spid="_x0000_s190505"/>
                </a:ext>
                <a:ext uri="{FF2B5EF4-FFF2-40B4-BE49-F238E27FC236}">
                  <a16:creationId xmlns:a16="http://schemas.microsoft.com/office/drawing/2014/main" id="{00000000-0008-0000-0200-000029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929102</xdr:colOff>
      <xdr:row>0</xdr:row>
      <xdr:rowOff>77339</xdr:rowOff>
    </xdr:from>
    <xdr:to>
      <xdr:col>10</xdr:col>
      <xdr:colOff>188057</xdr:colOff>
      <xdr:row>2</xdr:row>
      <xdr:rowOff>149348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3129377" y="77339"/>
          <a:ext cx="1554480" cy="5577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9525</xdr:rowOff>
        </xdr:from>
        <xdr:to>
          <xdr:col>8</xdr:col>
          <xdr:colOff>552450</xdr:colOff>
          <xdr:row>15</xdr:row>
          <xdr:rowOff>200025</xdr:rowOff>
        </xdr:to>
        <xdr:sp macro="" textlink="">
          <xdr:nvSpPr>
            <xdr:cNvPr id="157701" name="Drop Down 5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3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219075</xdr:rowOff>
        </xdr:from>
        <xdr:to>
          <xdr:col>10</xdr:col>
          <xdr:colOff>95250</xdr:colOff>
          <xdr:row>23</xdr:row>
          <xdr:rowOff>228600</xdr:rowOff>
        </xdr:to>
        <xdr:sp macro="" textlink="">
          <xdr:nvSpPr>
            <xdr:cNvPr id="157707" name="TextBox2" hidden="1">
              <a:extLst>
                <a:ext uri="{63B3BB69-23CF-44E3-9099-C40C66FF867C}">
                  <a14:compatExt spid="_x0000_s157707"/>
                </a:ext>
                <a:ext uri="{FF2B5EF4-FFF2-40B4-BE49-F238E27FC236}">
                  <a16:creationId xmlns:a16="http://schemas.microsoft.com/office/drawing/2014/main" id="{00000000-0008-0000-0300-00000B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9525</xdr:rowOff>
        </xdr:from>
        <xdr:to>
          <xdr:col>8</xdr:col>
          <xdr:colOff>238125</xdr:colOff>
          <xdr:row>9</xdr:row>
          <xdr:rowOff>209550</xdr:rowOff>
        </xdr:to>
        <xdr:sp macro="" textlink="">
          <xdr:nvSpPr>
            <xdr:cNvPr id="157709" name="Drop Down 13" hidden="1">
              <a:extLst>
                <a:ext uri="{63B3BB69-23CF-44E3-9099-C40C66FF867C}">
                  <a14:compatExt spid="_x0000_s157709"/>
                </a:ext>
                <a:ext uri="{FF2B5EF4-FFF2-40B4-BE49-F238E27FC236}">
                  <a16:creationId xmlns:a16="http://schemas.microsoft.com/office/drawing/2014/main" id="{00000000-0008-0000-0300-00000D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57150</xdr:rowOff>
        </xdr:from>
        <xdr:to>
          <xdr:col>16</xdr:col>
          <xdr:colOff>352425</xdr:colOff>
          <xdr:row>13</xdr:row>
          <xdr:rowOff>180975</xdr:rowOff>
        </xdr:to>
        <xdr:sp macro="" textlink="">
          <xdr:nvSpPr>
            <xdr:cNvPr id="157710" name="Drop Down 14" hidden="1">
              <a:extLst>
                <a:ext uri="{63B3BB69-23CF-44E3-9099-C40C66FF867C}">
                  <a14:compatExt spid="_x0000_s157710"/>
                </a:ext>
                <a:ext uri="{FF2B5EF4-FFF2-40B4-BE49-F238E27FC236}">
                  <a16:creationId xmlns:a16="http://schemas.microsoft.com/office/drawing/2014/main" id="{00000000-0008-0000-0300-00000E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11</xdr:row>
          <xdr:rowOff>9525</xdr:rowOff>
        </xdr:from>
        <xdr:to>
          <xdr:col>19</xdr:col>
          <xdr:colOff>238125</xdr:colOff>
          <xdr:row>11</xdr:row>
          <xdr:rowOff>209550</xdr:rowOff>
        </xdr:to>
        <xdr:sp macro="" textlink="">
          <xdr:nvSpPr>
            <xdr:cNvPr id="157711" name="Drop Down 15" hidden="1">
              <a:extLst>
                <a:ext uri="{63B3BB69-23CF-44E3-9099-C40C66FF867C}">
                  <a14:compatExt spid="_x0000_s157711"/>
                </a:ext>
                <a:ext uri="{FF2B5EF4-FFF2-40B4-BE49-F238E27FC236}">
                  <a16:creationId xmlns:a16="http://schemas.microsoft.com/office/drawing/2014/main" id="{00000000-0008-0000-0300-00000F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57150</xdr:rowOff>
        </xdr:from>
        <xdr:to>
          <xdr:col>16</xdr:col>
          <xdr:colOff>352425</xdr:colOff>
          <xdr:row>23</xdr:row>
          <xdr:rowOff>180975</xdr:rowOff>
        </xdr:to>
        <xdr:sp macro="" textlink="">
          <xdr:nvSpPr>
            <xdr:cNvPr id="157713" name="Drop Down 17" hidden="1">
              <a:extLst>
                <a:ext uri="{63B3BB69-23CF-44E3-9099-C40C66FF867C}">
                  <a14:compatExt spid="_x0000_s157713"/>
                </a:ext>
                <a:ext uri="{FF2B5EF4-FFF2-40B4-BE49-F238E27FC236}">
                  <a16:creationId xmlns:a16="http://schemas.microsoft.com/office/drawing/2014/main" id="{00000000-0008-0000-0300-00001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21</xdr:row>
          <xdr:rowOff>9525</xdr:rowOff>
        </xdr:from>
        <xdr:to>
          <xdr:col>19</xdr:col>
          <xdr:colOff>219075</xdr:colOff>
          <xdr:row>21</xdr:row>
          <xdr:rowOff>209550</xdr:rowOff>
        </xdr:to>
        <xdr:sp macro="" textlink="">
          <xdr:nvSpPr>
            <xdr:cNvPr id="157714" name="Drop Down 18" hidden="1">
              <a:extLst>
                <a:ext uri="{63B3BB69-23CF-44E3-9099-C40C66FF867C}">
                  <a14:compatExt spid="_x0000_s157714"/>
                </a:ext>
                <a:ext uri="{FF2B5EF4-FFF2-40B4-BE49-F238E27FC236}">
                  <a16:creationId xmlns:a16="http://schemas.microsoft.com/office/drawing/2014/main" id="{00000000-0008-0000-0300-00001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828675</xdr:colOff>
          <xdr:row>30</xdr:row>
          <xdr:rowOff>38100</xdr:rowOff>
        </xdr:from>
        <xdr:to>
          <xdr:col>4</xdr:col>
          <xdr:colOff>390525</xdr:colOff>
          <xdr:row>31</xdr:row>
          <xdr:rowOff>9525</xdr:rowOff>
        </xdr:to>
        <xdr:sp macro="" textlink="">
          <xdr:nvSpPr>
            <xdr:cNvPr id="157715" name="Drop Down 19" hidden="1">
              <a:extLst>
                <a:ext uri="{63B3BB69-23CF-44E3-9099-C40C66FF867C}">
                  <a14:compatExt spid="_x0000_s157715"/>
                </a:ext>
                <a:ext uri="{FF2B5EF4-FFF2-40B4-BE49-F238E27FC236}">
                  <a16:creationId xmlns:a16="http://schemas.microsoft.com/office/drawing/2014/main" id="{00000000-0008-0000-0300-00001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32</xdr:row>
          <xdr:rowOff>9525</xdr:rowOff>
        </xdr:from>
        <xdr:to>
          <xdr:col>8</xdr:col>
          <xdr:colOff>161925</xdr:colOff>
          <xdr:row>32</xdr:row>
          <xdr:rowOff>209550</xdr:rowOff>
        </xdr:to>
        <xdr:sp macro="" textlink="">
          <xdr:nvSpPr>
            <xdr:cNvPr id="157716" name="Drop Down 20" hidden="1">
              <a:extLst>
                <a:ext uri="{63B3BB69-23CF-44E3-9099-C40C66FF867C}">
                  <a14:compatExt spid="_x0000_s157716"/>
                </a:ext>
                <a:ext uri="{FF2B5EF4-FFF2-40B4-BE49-F238E27FC236}">
                  <a16:creationId xmlns:a16="http://schemas.microsoft.com/office/drawing/2014/main" id="{00000000-0008-0000-0300-00001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</xdr:row>
          <xdr:rowOff>9525</xdr:rowOff>
        </xdr:from>
        <xdr:to>
          <xdr:col>8</xdr:col>
          <xdr:colOff>114300</xdr:colOff>
          <xdr:row>13</xdr:row>
          <xdr:rowOff>209550</xdr:rowOff>
        </xdr:to>
        <xdr:sp macro="" textlink="">
          <xdr:nvSpPr>
            <xdr:cNvPr id="157717" name="Drop Down 21" hidden="1">
              <a:extLst>
                <a:ext uri="{63B3BB69-23CF-44E3-9099-C40C66FF867C}">
                  <a14:compatExt spid="_x0000_s157717"/>
                </a:ext>
                <a:ext uri="{FF2B5EF4-FFF2-40B4-BE49-F238E27FC236}">
                  <a16:creationId xmlns:a16="http://schemas.microsoft.com/office/drawing/2014/main" id="{00000000-0008-0000-0300-00001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9525</xdr:rowOff>
        </xdr:from>
        <xdr:to>
          <xdr:col>8</xdr:col>
          <xdr:colOff>457200</xdr:colOff>
          <xdr:row>34</xdr:row>
          <xdr:rowOff>200025</xdr:rowOff>
        </xdr:to>
        <xdr:sp macro="" textlink="">
          <xdr:nvSpPr>
            <xdr:cNvPr id="157720" name="Drop Down 24" hidden="1">
              <a:extLst>
                <a:ext uri="{63B3BB69-23CF-44E3-9099-C40C66FF867C}">
                  <a14:compatExt spid="_x0000_s157720"/>
                </a:ext>
                <a:ext uri="{FF2B5EF4-FFF2-40B4-BE49-F238E27FC236}">
                  <a16:creationId xmlns:a16="http://schemas.microsoft.com/office/drawing/2014/main" id="{00000000-0008-0000-0300-000018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</xdr:row>
          <xdr:rowOff>66675</xdr:rowOff>
        </xdr:from>
        <xdr:to>
          <xdr:col>20</xdr:col>
          <xdr:colOff>95250</xdr:colOff>
          <xdr:row>14</xdr:row>
          <xdr:rowOff>0</xdr:rowOff>
        </xdr:to>
        <xdr:sp macro="" textlink="">
          <xdr:nvSpPr>
            <xdr:cNvPr id="157722" name="Group Box 26" hidden="1">
              <a:extLst>
                <a:ext uri="{63B3BB69-23CF-44E3-9099-C40C66FF867C}">
                  <a14:compatExt spid="_x0000_s157722"/>
                </a:ext>
                <a:ext uri="{FF2B5EF4-FFF2-40B4-BE49-F238E27FC236}">
                  <a16:creationId xmlns:a16="http://schemas.microsoft.com/office/drawing/2014/main" id="{00000000-0008-0000-0300-00001A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15</xdr:row>
          <xdr:rowOff>0</xdr:rowOff>
        </xdr:from>
        <xdr:to>
          <xdr:col>20</xdr:col>
          <xdr:colOff>104775</xdr:colOff>
          <xdr:row>24</xdr:row>
          <xdr:rowOff>0</xdr:rowOff>
        </xdr:to>
        <xdr:sp macro="" textlink="">
          <xdr:nvSpPr>
            <xdr:cNvPr id="157723" name="Group Box 27" hidden="1">
              <a:extLst>
                <a:ext uri="{63B3BB69-23CF-44E3-9099-C40C66FF867C}">
                  <a14:compatExt spid="_x0000_s157723"/>
                </a:ext>
                <a:ext uri="{FF2B5EF4-FFF2-40B4-BE49-F238E27FC236}">
                  <a16:creationId xmlns:a16="http://schemas.microsoft.com/office/drawing/2014/main" id="{00000000-0008-0000-0300-00001B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</xdr:row>
          <xdr:rowOff>9525</xdr:rowOff>
        </xdr:from>
        <xdr:to>
          <xdr:col>8</xdr:col>
          <xdr:colOff>114300</xdr:colOff>
          <xdr:row>11</xdr:row>
          <xdr:rowOff>209550</xdr:rowOff>
        </xdr:to>
        <xdr:sp macro="" textlink="">
          <xdr:nvSpPr>
            <xdr:cNvPr id="157724" name="Drop Down 28" hidden="1">
              <a:extLst>
                <a:ext uri="{63B3BB69-23CF-44E3-9099-C40C66FF867C}">
                  <a14:compatExt spid="_x0000_s157724"/>
                </a:ext>
                <a:ext uri="{FF2B5EF4-FFF2-40B4-BE49-F238E27FC236}">
                  <a16:creationId xmlns:a16="http://schemas.microsoft.com/office/drawing/2014/main" id="{00000000-0008-0000-0300-00001C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5</xdr:row>
          <xdr:rowOff>9525</xdr:rowOff>
        </xdr:from>
        <xdr:to>
          <xdr:col>26</xdr:col>
          <xdr:colOff>533400</xdr:colOff>
          <xdr:row>25</xdr:row>
          <xdr:rowOff>19050</xdr:rowOff>
        </xdr:to>
        <xdr:sp macro="" textlink="">
          <xdr:nvSpPr>
            <xdr:cNvPr id="157725" name="TextBox1" hidden="1">
              <a:extLst>
                <a:ext uri="{63B3BB69-23CF-44E3-9099-C40C66FF867C}">
                  <a14:compatExt spid="_x0000_s157725"/>
                </a:ext>
                <a:ext uri="{FF2B5EF4-FFF2-40B4-BE49-F238E27FC236}">
                  <a16:creationId xmlns:a16="http://schemas.microsoft.com/office/drawing/2014/main" id="{00000000-0008-0000-0300-00001D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20</xdr:col>
          <xdr:colOff>123825</xdr:colOff>
          <xdr:row>36</xdr:row>
          <xdr:rowOff>133350</xdr:rowOff>
        </xdr:to>
        <xdr:sp macro="" textlink="">
          <xdr:nvSpPr>
            <xdr:cNvPr id="157726" name="TextBox3" hidden="1">
              <a:extLst>
                <a:ext uri="{63B3BB69-23CF-44E3-9099-C40C66FF867C}">
                  <a14:compatExt spid="_x0000_s157726"/>
                </a:ext>
                <a:ext uri="{FF2B5EF4-FFF2-40B4-BE49-F238E27FC236}">
                  <a16:creationId xmlns:a16="http://schemas.microsoft.com/office/drawing/2014/main" id="{00000000-0008-0000-0300-00001E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</xdr:col>
      <xdr:colOff>66674</xdr:colOff>
      <xdr:row>0</xdr:row>
      <xdr:rowOff>92246</xdr:rowOff>
    </xdr:from>
    <xdr:to>
      <xdr:col>2</xdr:col>
      <xdr:colOff>352424</xdr:colOff>
      <xdr:row>1</xdr:row>
      <xdr:rowOff>277702</xdr:rowOff>
    </xdr:to>
    <xdr:sp macro="[0]!goto_asfound" textlink="">
      <xdr:nvSpPr>
        <xdr:cNvPr id="32" name="Isosceles Triangle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 rot="16200000">
          <a:off x="221596" y="89724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440055</xdr:colOff>
      <xdr:row>0</xdr:row>
      <xdr:rowOff>85725</xdr:rowOff>
    </xdr:from>
    <xdr:to>
      <xdr:col>4</xdr:col>
      <xdr:colOff>80603</xdr:colOff>
      <xdr:row>1</xdr:row>
      <xdr:rowOff>281178</xdr:rowOff>
    </xdr:to>
    <xdr:sp macro="[0]!goto_main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687705" y="85725"/>
          <a:ext cx="1097873" cy="385953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4</xdr:col>
      <xdr:colOff>163626</xdr:colOff>
      <xdr:row>0</xdr:row>
      <xdr:rowOff>95384</xdr:rowOff>
    </xdr:from>
    <xdr:to>
      <xdr:col>6</xdr:col>
      <xdr:colOff>49326</xdr:colOff>
      <xdr:row>1</xdr:row>
      <xdr:rowOff>280840</xdr:rowOff>
    </xdr:to>
    <xdr:sp macro="[0]!goto_statorleads" textlink="">
      <xdr:nvSpPr>
        <xdr:cNvPr id="34" name="Isosceles Triangle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 rot="5400000">
          <a:off x="1871123" y="92862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4</xdr:row>
          <xdr:rowOff>180975</xdr:rowOff>
        </xdr:from>
        <xdr:to>
          <xdr:col>14</xdr:col>
          <xdr:colOff>476250</xdr:colOff>
          <xdr:row>6</xdr:row>
          <xdr:rowOff>0</xdr:rowOff>
        </xdr:to>
        <xdr:sp macro="" textlink="">
          <xdr:nvSpPr>
            <xdr:cNvPr id="157736" name="Group Box 40" hidden="1">
              <a:extLst>
                <a:ext uri="{63B3BB69-23CF-44E3-9099-C40C66FF867C}">
                  <a14:compatExt spid="_x0000_s157736"/>
                </a:ext>
                <a:ext uri="{FF2B5EF4-FFF2-40B4-BE49-F238E27FC236}">
                  <a16:creationId xmlns:a16="http://schemas.microsoft.com/office/drawing/2014/main" id="{00000000-0008-0000-0300-000028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5</xdr:row>
          <xdr:rowOff>9525</xdr:rowOff>
        </xdr:from>
        <xdr:to>
          <xdr:col>14</xdr:col>
          <xdr:colOff>47625</xdr:colOff>
          <xdr:row>5</xdr:row>
          <xdr:rowOff>219075</xdr:rowOff>
        </xdr:to>
        <xdr:sp macro="" textlink="">
          <xdr:nvSpPr>
            <xdr:cNvPr id="157737" name="Option Button 41" hidden="1">
              <a:extLst>
                <a:ext uri="{63B3BB69-23CF-44E3-9099-C40C66FF867C}">
                  <a14:compatExt spid="_x0000_s157737"/>
                </a:ext>
                <a:ext uri="{FF2B5EF4-FFF2-40B4-BE49-F238E27FC236}">
                  <a16:creationId xmlns:a16="http://schemas.microsoft.com/office/drawing/2014/main" id="{00000000-0008-0000-0300-000029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5</xdr:row>
          <xdr:rowOff>9525</xdr:rowOff>
        </xdr:from>
        <xdr:to>
          <xdr:col>14</xdr:col>
          <xdr:colOff>457200</xdr:colOff>
          <xdr:row>5</xdr:row>
          <xdr:rowOff>228600</xdr:rowOff>
        </xdr:to>
        <xdr:sp macro="" textlink="">
          <xdr:nvSpPr>
            <xdr:cNvPr id="157738" name="Option Button 42" hidden="1">
              <a:extLst>
                <a:ext uri="{63B3BB69-23CF-44E3-9099-C40C66FF867C}">
                  <a14:compatExt spid="_x0000_s157738"/>
                </a:ext>
                <a:ext uri="{FF2B5EF4-FFF2-40B4-BE49-F238E27FC236}">
                  <a16:creationId xmlns:a16="http://schemas.microsoft.com/office/drawing/2014/main" id="{00000000-0008-0000-0300-00002A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247650</xdr:colOff>
          <xdr:row>15</xdr:row>
          <xdr:rowOff>76200</xdr:rowOff>
        </xdr:from>
        <xdr:to>
          <xdr:col>14</xdr:col>
          <xdr:colOff>495300</xdr:colOff>
          <xdr:row>17</xdr:row>
          <xdr:rowOff>28575</xdr:rowOff>
        </xdr:to>
        <xdr:sp macro="" textlink="">
          <xdr:nvSpPr>
            <xdr:cNvPr id="157739" name="Group Box 43" hidden="1">
              <a:extLst>
                <a:ext uri="{63B3BB69-23CF-44E3-9099-C40C66FF867C}">
                  <a14:compatExt spid="_x0000_s157739"/>
                </a:ext>
                <a:ext uri="{FF2B5EF4-FFF2-40B4-BE49-F238E27FC236}">
                  <a16:creationId xmlns:a16="http://schemas.microsoft.com/office/drawing/2014/main" id="{00000000-0008-0000-0300-00002B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276225</xdr:colOff>
          <xdr:row>15</xdr:row>
          <xdr:rowOff>104775</xdr:rowOff>
        </xdr:from>
        <xdr:to>
          <xdr:col>14</xdr:col>
          <xdr:colOff>66675</xdr:colOff>
          <xdr:row>17</xdr:row>
          <xdr:rowOff>9525</xdr:rowOff>
        </xdr:to>
        <xdr:sp macro="" textlink="">
          <xdr:nvSpPr>
            <xdr:cNvPr id="157740" name="Option Button 44" hidden="1">
              <a:extLst>
                <a:ext uri="{63B3BB69-23CF-44E3-9099-C40C66FF867C}">
                  <a14:compatExt spid="_x0000_s157740"/>
                </a:ext>
                <a:ext uri="{FF2B5EF4-FFF2-40B4-BE49-F238E27FC236}">
                  <a16:creationId xmlns:a16="http://schemas.microsoft.com/office/drawing/2014/main" id="{00000000-0008-0000-0300-00002C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15</xdr:row>
          <xdr:rowOff>104775</xdr:rowOff>
        </xdr:from>
        <xdr:to>
          <xdr:col>14</xdr:col>
          <xdr:colOff>476250</xdr:colOff>
          <xdr:row>17</xdr:row>
          <xdr:rowOff>19050</xdr:rowOff>
        </xdr:to>
        <xdr:sp macro="" textlink="">
          <xdr:nvSpPr>
            <xdr:cNvPr id="157741" name="Option Button 45" hidden="1">
              <a:extLst>
                <a:ext uri="{63B3BB69-23CF-44E3-9099-C40C66FF867C}">
                  <a14:compatExt spid="_x0000_s157741"/>
                </a:ext>
                <a:ext uri="{FF2B5EF4-FFF2-40B4-BE49-F238E27FC236}">
                  <a16:creationId xmlns:a16="http://schemas.microsoft.com/office/drawing/2014/main" id="{00000000-0008-0000-0300-00002D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38100</xdr:rowOff>
        </xdr:from>
        <xdr:to>
          <xdr:col>2</xdr:col>
          <xdr:colOff>800100</xdr:colOff>
          <xdr:row>28</xdr:row>
          <xdr:rowOff>228600</xdr:rowOff>
        </xdr:to>
        <xdr:sp macro="" textlink="">
          <xdr:nvSpPr>
            <xdr:cNvPr id="157742" name="Group Box 46" hidden="1">
              <a:extLst>
                <a:ext uri="{63B3BB69-23CF-44E3-9099-C40C66FF867C}">
                  <a14:compatExt spid="_x0000_s157742"/>
                </a:ext>
                <a:ext uri="{FF2B5EF4-FFF2-40B4-BE49-F238E27FC236}">
                  <a16:creationId xmlns:a16="http://schemas.microsoft.com/office/drawing/2014/main" id="{00000000-0008-0000-0300-00002E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27</xdr:row>
          <xdr:rowOff>66675</xdr:rowOff>
        </xdr:from>
        <xdr:to>
          <xdr:col>2</xdr:col>
          <xdr:colOff>409575</xdr:colOff>
          <xdr:row>28</xdr:row>
          <xdr:rowOff>209550</xdr:rowOff>
        </xdr:to>
        <xdr:sp macro="" textlink="">
          <xdr:nvSpPr>
            <xdr:cNvPr id="157743" name="Option Button 47" hidden="1">
              <a:extLst>
                <a:ext uri="{63B3BB69-23CF-44E3-9099-C40C66FF867C}">
                  <a14:compatExt spid="_x0000_s157743"/>
                </a:ext>
                <a:ext uri="{FF2B5EF4-FFF2-40B4-BE49-F238E27FC236}">
                  <a16:creationId xmlns:a16="http://schemas.microsoft.com/office/drawing/2014/main" id="{00000000-0008-0000-0300-00002F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27</xdr:row>
          <xdr:rowOff>66675</xdr:rowOff>
        </xdr:from>
        <xdr:to>
          <xdr:col>2</xdr:col>
          <xdr:colOff>781050</xdr:colOff>
          <xdr:row>28</xdr:row>
          <xdr:rowOff>219075</xdr:rowOff>
        </xdr:to>
        <xdr:sp macro="" textlink="">
          <xdr:nvSpPr>
            <xdr:cNvPr id="157744" name="Option Button 48" hidden="1">
              <a:extLst>
                <a:ext uri="{63B3BB69-23CF-44E3-9099-C40C66FF867C}">
                  <a14:compatExt spid="_x0000_s157744"/>
                </a:ext>
                <a:ext uri="{FF2B5EF4-FFF2-40B4-BE49-F238E27FC236}">
                  <a16:creationId xmlns:a16="http://schemas.microsoft.com/office/drawing/2014/main" id="{00000000-0008-0000-0300-000030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28575</xdr:rowOff>
        </xdr:from>
        <xdr:to>
          <xdr:col>2</xdr:col>
          <xdr:colOff>790575</xdr:colOff>
          <xdr:row>5</xdr:row>
          <xdr:rowOff>85725</xdr:rowOff>
        </xdr:to>
        <xdr:sp macro="" textlink="">
          <xdr:nvSpPr>
            <xdr:cNvPr id="157748" name="Group Box 52" hidden="1">
              <a:extLst>
                <a:ext uri="{63B3BB69-23CF-44E3-9099-C40C66FF867C}">
                  <a14:compatExt spid="_x0000_s157748"/>
                </a:ext>
                <a:ext uri="{FF2B5EF4-FFF2-40B4-BE49-F238E27FC236}">
                  <a16:creationId xmlns:a16="http://schemas.microsoft.com/office/drawing/2014/main" id="{00000000-0008-0000-0300-00003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4</xdr:row>
          <xdr:rowOff>57150</xdr:rowOff>
        </xdr:from>
        <xdr:to>
          <xdr:col>2</xdr:col>
          <xdr:colOff>409575</xdr:colOff>
          <xdr:row>5</xdr:row>
          <xdr:rowOff>66675</xdr:rowOff>
        </xdr:to>
        <xdr:sp macro="" textlink="">
          <xdr:nvSpPr>
            <xdr:cNvPr id="157749" name="Option Button 53" hidden="1">
              <a:extLst>
                <a:ext uri="{63B3BB69-23CF-44E3-9099-C40C66FF867C}">
                  <a14:compatExt spid="_x0000_s157749"/>
                </a:ext>
                <a:ext uri="{FF2B5EF4-FFF2-40B4-BE49-F238E27FC236}">
                  <a16:creationId xmlns:a16="http://schemas.microsoft.com/office/drawing/2014/main" id="{00000000-0008-0000-0300-00003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4</xdr:row>
          <xdr:rowOff>57150</xdr:rowOff>
        </xdr:from>
        <xdr:to>
          <xdr:col>2</xdr:col>
          <xdr:colOff>771525</xdr:colOff>
          <xdr:row>5</xdr:row>
          <xdr:rowOff>76200</xdr:rowOff>
        </xdr:to>
        <xdr:sp macro="" textlink="">
          <xdr:nvSpPr>
            <xdr:cNvPr id="157750" name="Option Button 54" hidden="1">
              <a:extLst>
                <a:ext uri="{63B3BB69-23CF-44E3-9099-C40C66FF867C}">
                  <a14:compatExt spid="_x0000_s157750"/>
                </a:ext>
                <a:ext uri="{FF2B5EF4-FFF2-40B4-BE49-F238E27FC236}">
                  <a16:creationId xmlns:a16="http://schemas.microsoft.com/office/drawing/2014/main" id="{00000000-0008-0000-0300-00003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7</xdr:row>
          <xdr:rowOff>152400</xdr:rowOff>
        </xdr:to>
        <xdr:sp macro="" textlink="">
          <xdr:nvSpPr>
            <xdr:cNvPr id="141313" name="Group Box 1" hidden="1">
              <a:extLst>
                <a:ext uri="{63B3BB69-23CF-44E3-9099-C40C66FF867C}">
                  <a14:compatExt spid="_x0000_s141313"/>
                </a:ext>
                <a:ext uri="{FF2B5EF4-FFF2-40B4-BE49-F238E27FC236}">
                  <a16:creationId xmlns:a16="http://schemas.microsoft.com/office/drawing/2014/main" id="{00000000-0008-0000-0400-000001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5</xdr:row>
          <xdr:rowOff>28575</xdr:rowOff>
        </xdr:from>
        <xdr:to>
          <xdr:col>3</xdr:col>
          <xdr:colOff>619125</xdr:colOff>
          <xdr:row>5</xdr:row>
          <xdr:rowOff>276225</xdr:rowOff>
        </xdr:to>
        <xdr:sp macro="" textlink="">
          <xdr:nvSpPr>
            <xdr:cNvPr id="141314" name="Option Button 2" hidden="1">
              <a:extLst>
                <a:ext uri="{63B3BB69-23CF-44E3-9099-C40C66FF867C}">
                  <a14:compatExt spid="_x0000_s141314"/>
                </a:ext>
                <a:ext uri="{FF2B5EF4-FFF2-40B4-BE49-F238E27FC236}">
                  <a16:creationId xmlns:a16="http://schemas.microsoft.com/office/drawing/2014/main" id="{00000000-0008-0000-0400-000002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5</xdr:row>
          <xdr:rowOff>257175</xdr:rowOff>
        </xdr:from>
        <xdr:to>
          <xdr:col>3</xdr:col>
          <xdr:colOff>628650</xdr:colOff>
          <xdr:row>7</xdr:row>
          <xdr:rowOff>114300</xdr:rowOff>
        </xdr:to>
        <xdr:sp macro="" textlink="">
          <xdr:nvSpPr>
            <xdr:cNvPr id="141315" name="Option Button 3" hidden="1">
              <a:extLst>
                <a:ext uri="{63B3BB69-23CF-44E3-9099-C40C66FF867C}">
                  <a14:compatExt spid="_x0000_s141315"/>
                </a:ext>
                <a:ext uri="{FF2B5EF4-FFF2-40B4-BE49-F238E27FC236}">
                  <a16:creationId xmlns:a16="http://schemas.microsoft.com/office/drawing/2014/main" id="{00000000-0008-0000-0400-000003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IEC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141316" name="Drop Down 4" hidden="1">
              <a:extLst>
                <a:ext uri="{63B3BB69-23CF-44E3-9099-C40C66FF867C}">
                  <a14:compatExt spid="_x0000_s141316"/>
                </a:ext>
                <a:ext uri="{FF2B5EF4-FFF2-40B4-BE49-F238E27FC236}">
                  <a16:creationId xmlns:a16="http://schemas.microsoft.com/office/drawing/2014/main" id="{00000000-0008-0000-0400-000004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12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141317" name="Group Box 5" hidden="1">
              <a:extLst>
                <a:ext uri="{63B3BB69-23CF-44E3-9099-C40C66FF867C}">
                  <a14:compatExt spid="_x0000_s141317"/>
                </a:ext>
                <a:ext uri="{FF2B5EF4-FFF2-40B4-BE49-F238E27FC236}">
                  <a16:creationId xmlns:a16="http://schemas.microsoft.com/office/drawing/2014/main" id="{00000000-0008-0000-0400-000005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11</xdr:row>
          <xdr:rowOff>0</xdr:rowOff>
        </xdr:from>
        <xdr:to>
          <xdr:col>3</xdr:col>
          <xdr:colOff>676275</xdr:colOff>
          <xdr:row>12</xdr:row>
          <xdr:rowOff>0</xdr:rowOff>
        </xdr:to>
        <xdr:sp macro="" textlink="">
          <xdr:nvSpPr>
            <xdr:cNvPr id="141318" name="Drop Down 6" hidden="1">
              <a:extLst>
                <a:ext uri="{63B3BB69-23CF-44E3-9099-C40C66FF867C}">
                  <a14:compatExt spid="_x0000_s141318"/>
                </a:ext>
                <a:ext uri="{FF2B5EF4-FFF2-40B4-BE49-F238E27FC236}">
                  <a16:creationId xmlns:a16="http://schemas.microsoft.com/office/drawing/2014/main" id="{00000000-0008-0000-0400-000006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41319" name="Drop Down 7" hidden="1">
              <a:extLst>
                <a:ext uri="{63B3BB69-23CF-44E3-9099-C40C66FF867C}">
                  <a14:compatExt spid="_x0000_s141319"/>
                </a:ext>
                <a:ext uri="{FF2B5EF4-FFF2-40B4-BE49-F238E27FC236}">
                  <a16:creationId xmlns:a16="http://schemas.microsoft.com/office/drawing/2014/main" id="{00000000-0008-0000-0400-000007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141320" name="Drop Down 8" hidden="1">
              <a:extLst>
                <a:ext uri="{63B3BB69-23CF-44E3-9099-C40C66FF867C}">
                  <a14:compatExt spid="_x0000_s141320"/>
                </a:ext>
                <a:ext uri="{FF2B5EF4-FFF2-40B4-BE49-F238E27FC236}">
                  <a16:creationId xmlns:a16="http://schemas.microsoft.com/office/drawing/2014/main" id="{00000000-0008-0000-0400-000008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41321" name="Drop Down 9" hidden="1">
              <a:extLst>
                <a:ext uri="{63B3BB69-23CF-44E3-9099-C40C66FF867C}">
                  <a14:compatExt spid="_x0000_s141321"/>
                </a:ext>
                <a:ext uri="{FF2B5EF4-FFF2-40B4-BE49-F238E27FC236}">
                  <a16:creationId xmlns:a16="http://schemas.microsoft.com/office/drawing/2014/main" id="{00000000-0008-0000-0400-000009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141322" name="Drop Down 10" hidden="1">
              <a:extLst>
                <a:ext uri="{63B3BB69-23CF-44E3-9099-C40C66FF867C}">
                  <a14:compatExt spid="_x0000_s141322"/>
                </a:ext>
                <a:ext uri="{FF2B5EF4-FFF2-40B4-BE49-F238E27FC236}">
                  <a16:creationId xmlns:a16="http://schemas.microsoft.com/office/drawing/2014/main" id="{00000000-0008-0000-0400-00000A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141323" name="Drop Down 11" hidden="1">
              <a:extLst>
                <a:ext uri="{63B3BB69-23CF-44E3-9099-C40C66FF867C}">
                  <a14:compatExt spid="_x0000_s141323"/>
                </a:ext>
                <a:ext uri="{FF2B5EF4-FFF2-40B4-BE49-F238E27FC236}">
                  <a16:creationId xmlns:a16="http://schemas.microsoft.com/office/drawing/2014/main" id="{00000000-0008-0000-0400-00000B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41324" name="Drop Down 12" hidden="1">
              <a:extLst>
                <a:ext uri="{63B3BB69-23CF-44E3-9099-C40C66FF867C}">
                  <a14:compatExt spid="_x0000_s141324"/>
                </a:ext>
                <a:ext uri="{FF2B5EF4-FFF2-40B4-BE49-F238E27FC236}">
                  <a16:creationId xmlns:a16="http://schemas.microsoft.com/office/drawing/2014/main" id="{00000000-0008-0000-0400-00000C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12</xdr:row>
          <xdr:rowOff>0</xdr:rowOff>
        </xdr:from>
        <xdr:to>
          <xdr:col>2</xdr:col>
          <xdr:colOff>542925</xdr:colOff>
          <xdr:row>13</xdr:row>
          <xdr:rowOff>0</xdr:rowOff>
        </xdr:to>
        <xdr:sp macro="" textlink="">
          <xdr:nvSpPr>
            <xdr:cNvPr id="141331" name="Option Button 19" hidden="1">
              <a:extLst>
                <a:ext uri="{63B3BB69-23CF-44E3-9099-C40C66FF867C}">
                  <a14:compatExt spid="_x0000_s141331"/>
                </a:ext>
                <a:ext uri="{FF2B5EF4-FFF2-40B4-BE49-F238E27FC236}">
                  <a16:creationId xmlns:a16="http://schemas.microsoft.com/office/drawing/2014/main" id="{00000000-0008-0000-0400-000013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13</xdr:row>
          <xdr:rowOff>19050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41332" name="Option Button 20" hidden="1">
              <a:extLst>
                <a:ext uri="{63B3BB69-23CF-44E3-9099-C40C66FF867C}">
                  <a14:compatExt spid="_x0000_s141332"/>
                </a:ext>
                <a:ext uri="{FF2B5EF4-FFF2-40B4-BE49-F238E27FC236}">
                  <a16:creationId xmlns:a16="http://schemas.microsoft.com/office/drawing/2014/main" id="{00000000-0008-0000-0400-000014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14</xdr:row>
          <xdr:rowOff>9525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41333" name="Option Button 21" hidden="1">
              <a:extLst>
                <a:ext uri="{63B3BB69-23CF-44E3-9099-C40C66FF867C}">
                  <a14:compatExt spid="_x0000_s141333"/>
                </a:ext>
                <a:ext uri="{FF2B5EF4-FFF2-40B4-BE49-F238E27FC236}">
                  <a16:creationId xmlns:a16="http://schemas.microsoft.com/office/drawing/2014/main" id="{00000000-0008-0000-0400-000015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15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41334" name="Option Button 22" hidden="1">
              <a:extLst>
                <a:ext uri="{63B3BB69-23CF-44E3-9099-C40C66FF867C}">
                  <a14:compatExt spid="_x0000_s141334"/>
                </a:ext>
                <a:ext uri="{FF2B5EF4-FFF2-40B4-BE49-F238E27FC236}">
                  <a16:creationId xmlns:a16="http://schemas.microsoft.com/office/drawing/2014/main" id="{00000000-0008-0000-0400-000016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16</xdr:row>
          <xdr:rowOff>9525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141335" name="Option Button 23" hidden="1">
              <a:extLst>
                <a:ext uri="{63B3BB69-23CF-44E3-9099-C40C66FF867C}">
                  <a14:compatExt spid="_x0000_s141335"/>
                </a:ext>
                <a:ext uri="{FF2B5EF4-FFF2-40B4-BE49-F238E27FC236}">
                  <a16:creationId xmlns:a16="http://schemas.microsoft.com/office/drawing/2014/main" id="{00000000-0008-0000-0400-000017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17</xdr:row>
          <xdr:rowOff>9525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141336" name="Option Button 24" hidden="1">
              <a:extLst>
                <a:ext uri="{63B3BB69-23CF-44E3-9099-C40C66FF867C}">
                  <a14:compatExt spid="_x0000_s141336"/>
                </a:ext>
                <a:ext uri="{FF2B5EF4-FFF2-40B4-BE49-F238E27FC236}">
                  <a16:creationId xmlns:a16="http://schemas.microsoft.com/office/drawing/2014/main" id="{00000000-0008-0000-0400-000018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141337" name="Drop Down 25" hidden="1">
              <a:extLst>
                <a:ext uri="{63B3BB69-23CF-44E3-9099-C40C66FF867C}">
                  <a14:compatExt spid="_x0000_s141337"/>
                </a:ext>
                <a:ext uri="{FF2B5EF4-FFF2-40B4-BE49-F238E27FC236}">
                  <a16:creationId xmlns:a16="http://schemas.microsoft.com/office/drawing/2014/main" id="{00000000-0008-0000-0400-000019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6</xdr:row>
          <xdr:rowOff>0</xdr:rowOff>
        </xdr:from>
        <xdr:to>
          <xdr:col>6</xdr:col>
          <xdr:colOff>66675</xdr:colOff>
          <xdr:row>7</xdr:row>
          <xdr:rowOff>190500</xdr:rowOff>
        </xdr:to>
        <xdr:sp macro="" textlink="">
          <xdr:nvSpPr>
            <xdr:cNvPr id="141338" name="Drop Down 26" hidden="1">
              <a:extLst>
                <a:ext uri="{63B3BB69-23CF-44E3-9099-C40C66FF867C}">
                  <a14:compatExt spid="_x0000_s141338"/>
                </a:ext>
                <a:ext uri="{FF2B5EF4-FFF2-40B4-BE49-F238E27FC236}">
                  <a16:creationId xmlns:a16="http://schemas.microsoft.com/office/drawing/2014/main" id="{00000000-0008-0000-0400-00001A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9</xdr:row>
          <xdr:rowOff>104775</xdr:rowOff>
        </xdr:from>
        <xdr:to>
          <xdr:col>20</xdr:col>
          <xdr:colOff>533400</xdr:colOff>
          <xdr:row>24</xdr:row>
          <xdr:rowOff>9525</xdr:rowOff>
        </xdr:to>
        <xdr:sp macro="" textlink="">
          <xdr:nvSpPr>
            <xdr:cNvPr id="141346" name="TextBox1" hidden="1">
              <a:extLst>
                <a:ext uri="{63B3BB69-23CF-44E3-9099-C40C66FF867C}">
                  <a14:compatExt spid="_x0000_s141346"/>
                </a:ext>
                <a:ext uri="{FF2B5EF4-FFF2-40B4-BE49-F238E27FC236}">
                  <a16:creationId xmlns:a16="http://schemas.microsoft.com/office/drawing/2014/main" id="{00000000-0008-0000-0400-000022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5</xdr:col>
      <xdr:colOff>481425</xdr:colOff>
      <xdr:row>0</xdr:row>
      <xdr:rowOff>67815</xdr:rowOff>
    </xdr:from>
    <xdr:to>
      <xdr:col>8</xdr:col>
      <xdr:colOff>372643</xdr:colOff>
      <xdr:row>2</xdr:row>
      <xdr:rowOff>139824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2767425" y="67815"/>
          <a:ext cx="1548568" cy="5577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4</xdr:row>
          <xdr:rowOff>76200</xdr:rowOff>
        </xdr:from>
        <xdr:to>
          <xdr:col>20</xdr:col>
          <xdr:colOff>495300</xdr:colOff>
          <xdr:row>7</xdr:row>
          <xdr:rowOff>219075</xdr:rowOff>
        </xdr:to>
        <xdr:sp macro="" textlink="">
          <xdr:nvSpPr>
            <xdr:cNvPr id="141349" name="Group Box 37" hidden="1">
              <a:extLst>
                <a:ext uri="{63B3BB69-23CF-44E3-9099-C40C66FF867C}">
                  <a14:compatExt spid="_x0000_s141349"/>
                </a:ext>
                <a:ext uri="{FF2B5EF4-FFF2-40B4-BE49-F238E27FC236}">
                  <a16:creationId xmlns:a16="http://schemas.microsoft.com/office/drawing/2014/main" id="{00000000-0008-0000-0400-000025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5</xdr:row>
          <xdr:rowOff>28575</xdr:rowOff>
        </xdr:from>
        <xdr:to>
          <xdr:col>17</xdr:col>
          <xdr:colOff>171450</xdr:colOff>
          <xdr:row>5</xdr:row>
          <xdr:rowOff>247650</xdr:rowOff>
        </xdr:to>
        <xdr:sp macro="" textlink="">
          <xdr:nvSpPr>
            <xdr:cNvPr id="141350" name="Check Box 38" hidden="1">
              <a:extLst>
                <a:ext uri="{63B3BB69-23CF-44E3-9099-C40C66FF867C}">
                  <a14:compatExt spid="_x0000_s141350"/>
                </a:ext>
                <a:ext uri="{FF2B5EF4-FFF2-40B4-BE49-F238E27FC236}">
                  <a16:creationId xmlns:a16="http://schemas.microsoft.com/office/drawing/2014/main" id="{00000000-0008-0000-0400-000026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Reinsulate Leads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219075</xdr:colOff>
          <xdr:row>5</xdr:row>
          <xdr:rowOff>28575</xdr:rowOff>
        </xdr:from>
        <xdr:to>
          <xdr:col>14</xdr:col>
          <xdr:colOff>485775</xdr:colOff>
          <xdr:row>5</xdr:row>
          <xdr:rowOff>238125</xdr:rowOff>
        </xdr:to>
        <xdr:sp macro="" textlink="">
          <xdr:nvSpPr>
            <xdr:cNvPr id="141351" name="Check Box 39" hidden="1">
              <a:extLst>
                <a:ext uri="{63B3BB69-23CF-44E3-9099-C40C66FF867C}">
                  <a14:compatExt spid="_x0000_s141351"/>
                </a:ext>
                <a:ext uri="{FF2B5EF4-FFF2-40B4-BE49-F238E27FC236}">
                  <a16:creationId xmlns:a16="http://schemas.microsoft.com/office/drawing/2014/main" id="{00000000-0008-0000-0400-000027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Add Metal Tags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219075</xdr:colOff>
          <xdr:row>6</xdr:row>
          <xdr:rowOff>28575</xdr:rowOff>
        </xdr:from>
        <xdr:to>
          <xdr:col>15</xdr:col>
          <xdr:colOff>76200</xdr:colOff>
          <xdr:row>7</xdr:row>
          <xdr:rowOff>152400</xdr:rowOff>
        </xdr:to>
        <xdr:sp macro="" textlink="">
          <xdr:nvSpPr>
            <xdr:cNvPr id="141352" name="Check Box 40" hidden="1">
              <a:extLst>
                <a:ext uri="{63B3BB69-23CF-44E3-9099-C40C66FF867C}">
                  <a14:compatExt spid="_x0000_s141352"/>
                </a:ext>
                <a:ext uri="{FF2B5EF4-FFF2-40B4-BE49-F238E27FC236}">
                  <a16:creationId xmlns:a16="http://schemas.microsoft.com/office/drawing/2014/main" id="{00000000-0008-0000-0400-000028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Re-Apply Color tape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6</xdr:row>
          <xdr:rowOff>28575</xdr:rowOff>
        </xdr:from>
        <xdr:to>
          <xdr:col>17</xdr:col>
          <xdr:colOff>114300</xdr:colOff>
          <xdr:row>7</xdr:row>
          <xdr:rowOff>152400</xdr:rowOff>
        </xdr:to>
        <xdr:sp macro="" textlink="">
          <xdr:nvSpPr>
            <xdr:cNvPr id="141353" name="Check Box 41" hidden="1">
              <a:extLst>
                <a:ext uri="{63B3BB69-23CF-44E3-9099-C40C66FF867C}">
                  <a14:compatExt spid="_x0000_s141353"/>
                </a:ext>
                <a:ext uri="{FF2B5EF4-FFF2-40B4-BE49-F238E27FC236}">
                  <a16:creationId xmlns:a16="http://schemas.microsoft.com/office/drawing/2014/main" id="{00000000-0008-0000-0400-000029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Seal Leads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5</xdr:row>
          <xdr:rowOff>28575</xdr:rowOff>
        </xdr:from>
        <xdr:to>
          <xdr:col>20</xdr:col>
          <xdr:colOff>352425</xdr:colOff>
          <xdr:row>5</xdr:row>
          <xdr:rowOff>228600</xdr:rowOff>
        </xdr:to>
        <xdr:sp macro="" textlink="">
          <xdr:nvSpPr>
            <xdr:cNvPr id="141354" name="Check Box 42" hidden="1">
              <a:extLst>
                <a:ext uri="{63B3BB69-23CF-44E3-9099-C40C66FF867C}">
                  <a14:compatExt spid="_x0000_s141354"/>
                </a:ext>
                <a:ext uri="{FF2B5EF4-FFF2-40B4-BE49-F238E27FC236}">
                  <a16:creationId xmlns:a16="http://schemas.microsoft.com/office/drawing/2014/main" id="{00000000-0008-0000-0400-00002A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Sleeve Leads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6</xdr:row>
          <xdr:rowOff>28575</xdr:rowOff>
        </xdr:from>
        <xdr:to>
          <xdr:col>20</xdr:col>
          <xdr:colOff>371475</xdr:colOff>
          <xdr:row>7</xdr:row>
          <xdr:rowOff>152400</xdr:rowOff>
        </xdr:to>
        <xdr:sp macro="" textlink="">
          <xdr:nvSpPr>
            <xdr:cNvPr id="141355" name="Check Box 43" hidden="1">
              <a:extLst>
                <a:ext uri="{63B3BB69-23CF-44E3-9099-C40C66FF867C}">
                  <a14:compatExt spid="_x0000_s141355"/>
                </a:ext>
                <a:ext uri="{FF2B5EF4-FFF2-40B4-BE49-F238E27FC236}">
                  <a16:creationId xmlns:a16="http://schemas.microsoft.com/office/drawing/2014/main" id="{00000000-0008-0000-0400-00002B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Re-lead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6</xdr:row>
          <xdr:rowOff>28575</xdr:rowOff>
        </xdr:from>
        <xdr:to>
          <xdr:col>18</xdr:col>
          <xdr:colOff>514350</xdr:colOff>
          <xdr:row>7</xdr:row>
          <xdr:rowOff>152400</xdr:rowOff>
        </xdr:to>
        <xdr:sp macro="" textlink="">
          <xdr:nvSpPr>
            <xdr:cNvPr id="141356" name="Check Box 44" hidden="1">
              <a:extLst>
                <a:ext uri="{63B3BB69-23CF-44E3-9099-C40C66FF867C}">
                  <a14:compatExt spid="_x0000_s141356"/>
                </a:ext>
                <a:ext uri="{FF2B5EF4-FFF2-40B4-BE49-F238E27FC236}">
                  <a16:creationId xmlns:a16="http://schemas.microsoft.com/office/drawing/2014/main" id="{00000000-0008-0000-0400-00002C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Solder Leads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5</xdr:row>
          <xdr:rowOff>28575</xdr:rowOff>
        </xdr:from>
        <xdr:to>
          <xdr:col>18</xdr:col>
          <xdr:colOff>485775</xdr:colOff>
          <xdr:row>5</xdr:row>
          <xdr:rowOff>247650</xdr:rowOff>
        </xdr:to>
        <xdr:sp macro="" textlink="">
          <xdr:nvSpPr>
            <xdr:cNvPr id="141357" name="Check Box 45" hidden="1">
              <a:extLst>
                <a:ext uri="{63B3BB69-23CF-44E3-9099-C40C66FF867C}">
                  <a14:compatExt spid="_x0000_s141357"/>
                </a:ext>
                <a:ext uri="{FF2B5EF4-FFF2-40B4-BE49-F238E27FC236}">
                  <a16:creationId xmlns:a16="http://schemas.microsoft.com/office/drawing/2014/main" id="{00000000-0008-0000-0400-00002D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Re-Lug Leads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41359" name="Drop Down 47" hidden="1">
              <a:extLst>
                <a:ext uri="{63B3BB69-23CF-44E3-9099-C40C66FF867C}">
                  <a14:compatExt spid="_x0000_s141359"/>
                </a:ext>
                <a:ext uri="{FF2B5EF4-FFF2-40B4-BE49-F238E27FC236}">
                  <a16:creationId xmlns:a16="http://schemas.microsoft.com/office/drawing/2014/main" id="{00000000-0008-0000-0400-00002F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371475</xdr:colOff>
          <xdr:row>22</xdr:row>
          <xdr:rowOff>0</xdr:rowOff>
        </xdr:to>
        <xdr:sp macro="" textlink="">
          <xdr:nvSpPr>
            <xdr:cNvPr id="141360" name="Drop Down 48" hidden="1">
              <a:extLst>
                <a:ext uri="{63B3BB69-23CF-44E3-9099-C40C66FF867C}">
                  <a14:compatExt spid="_x0000_s141360"/>
                </a:ext>
                <a:ext uri="{FF2B5EF4-FFF2-40B4-BE49-F238E27FC236}">
                  <a16:creationId xmlns:a16="http://schemas.microsoft.com/office/drawing/2014/main" id="{00000000-0008-0000-0400-000030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609600</xdr:colOff>
          <xdr:row>20</xdr:row>
          <xdr:rowOff>0</xdr:rowOff>
        </xdr:to>
        <xdr:sp macro="" textlink="">
          <xdr:nvSpPr>
            <xdr:cNvPr id="141361" name="Group Box 49" hidden="1">
              <a:extLst>
                <a:ext uri="{63B3BB69-23CF-44E3-9099-C40C66FF867C}">
                  <a14:compatExt spid="_x0000_s141361"/>
                </a:ext>
                <a:ext uri="{FF2B5EF4-FFF2-40B4-BE49-F238E27FC236}">
                  <a16:creationId xmlns:a16="http://schemas.microsoft.com/office/drawing/2014/main" id="{00000000-0008-0000-0400-000031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23</xdr:row>
          <xdr:rowOff>9525</xdr:rowOff>
        </xdr:from>
        <xdr:to>
          <xdr:col>9</xdr:col>
          <xdr:colOff>409575</xdr:colOff>
          <xdr:row>23</xdr:row>
          <xdr:rowOff>228600</xdr:rowOff>
        </xdr:to>
        <xdr:sp macro="" textlink="">
          <xdr:nvSpPr>
            <xdr:cNvPr id="141364" name="Check Box 52" hidden="1">
              <a:extLst>
                <a:ext uri="{63B3BB69-23CF-44E3-9099-C40C66FF867C}">
                  <a14:compatExt spid="_x0000_s141364"/>
                </a:ext>
                <a:ext uri="{FF2B5EF4-FFF2-40B4-BE49-F238E27FC236}">
                  <a16:creationId xmlns:a16="http://schemas.microsoft.com/office/drawing/2014/main" id="{00000000-0008-0000-0400-000034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Where leads open when received?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19</xdr:row>
          <xdr:rowOff>38100</xdr:rowOff>
        </xdr:from>
        <xdr:to>
          <xdr:col>8</xdr:col>
          <xdr:colOff>619125</xdr:colOff>
          <xdr:row>19</xdr:row>
          <xdr:rowOff>257175</xdr:rowOff>
        </xdr:to>
        <xdr:sp macro="" textlink="">
          <xdr:nvSpPr>
            <xdr:cNvPr id="141365" name="Option Button 53" hidden="1">
              <a:extLst>
                <a:ext uri="{63B3BB69-23CF-44E3-9099-C40C66FF867C}">
                  <a14:compatExt spid="_x0000_s141365"/>
                </a:ext>
                <a:ext uri="{FF2B5EF4-FFF2-40B4-BE49-F238E27FC236}">
                  <a16:creationId xmlns:a16="http://schemas.microsoft.com/office/drawing/2014/main" id="{00000000-0008-0000-0400-000035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19</xdr:row>
          <xdr:rowOff>38100</xdr:rowOff>
        </xdr:from>
        <xdr:to>
          <xdr:col>9</xdr:col>
          <xdr:colOff>466725</xdr:colOff>
          <xdr:row>19</xdr:row>
          <xdr:rowOff>247650</xdr:rowOff>
        </xdr:to>
        <xdr:sp macro="" textlink="">
          <xdr:nvSpPr>
            <xdr:cNvPr id="141366" name="Option Button 54" hidden="1">
              <a:extLst>
                <a:ext uri="{63B3BB69-23CF-44E3-9099-C40C66FF867C}">
                  <a14:compatExt spid="_x0000_s141366"/>
                </a:ext>
                <a:ext uri="{FF2B5EF4-FFF2-40B4-BE49-F238E27FC236}">
                  <a16:creationId xmlns:a16="http://schemas.microsoft.com/office/drawing/2014/main" id="{00000000-0008-0000-0400-000036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104774</xdr:colOff>
      <xdr:row>0</xdr:row>
      <xdr:rowOff>92246</xdr:rowOff>
    </xdr:from>
    <xdr:to>
      <xdr:col>2</xdr:col>
      <xdr:colOff>295274</xdr:colOff>
      <xdr:row>1</xdr:row>
      <xdr:rowOff>277702</xdr:rowOff>
    </xdr:to>
    <xdr:sp macro="[0]!goto_accessories" textlink="">
      <xdr:nvSpPr>
        <xdr:cNvPr id="46" name="Isosceles Triangle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>
        <a:xfrm rot="16200000">
          <a:off x="221596" y="89724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382905</xdr:colOff>
      <xdr:row>0</xdr:row>
      <xdr:rowOff>85725</xdr:rowOff>
    </xdr:from>
    <xdr:to>
      <xdr:col>4</xdr:col>
      <xdr:colOff>185378</xdr:colOff>
      <xdr:row>1</xdr:row>
      <xdr:rowOff>281178</xdr:rowOff>
    </xdr:to>
    <xdr:sp macro="[0]!goto_main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687705" y="85725"/>
          <a:ext cx="1097873" cy="385953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4</xdr:col>
      <xdr:colOff>268401</xdr:colOff>
      <xdr:row>0</xdr:row>
      <xdr:rowOff>95384</xdr:rowOff>
    </xdr:from>
    <xdr:to>
      <xdr:col>4</xdr:col>
      <xdr:colOff>649401</xdr:colOff>
      <xdr:row>1</xdr:row>
      <xdr:rowOff>280840</xdr:rowOff>
    </xdr:to>
    <xdr:sp macro="[0]!goto_foundtests" textlink="">
      <xdr:nvSpPr>
        <xdr:cNvPr id="48" name="Isosceles Triangle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 rot="5400000">
          <a:off x="1871123" y="92862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21</xdr:row>
          <xdr:rowOff>38100</xdr:rowOff>
        </xdr:from>
        <xdr:to>
          <xdr:col>10</xdr:col>
          <xdr:colOff>657225</xdr:colOff>
          <xdr:row>21</xdr:row>
          <xdr:rowOff>247650</xdr:rowOff>
        </xdr:to>
        <xdr:sp macro="" textlink="">
          <xdr:nvSpPr>
            <xdr:cNvPr id="141367" name="Check Box 55" hidden="1">
              <a:extLst>
                <a:ext uri="{63B3BB69-23CF-44E3-9099-C40C66FF867C}">
                  <a14:compatExt spid="_x0000_s141367"/>
                </a:ext>
                <a:ext uri="{FF2B5EF4-FFF2-40B4-BE49-F238E27FC236}">
                  <a16:creationId xmlns:a16="http://schemas.microsoft.com/office/drawing/2014/main" id="{00000000-0008-0000-0400-000037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Soldered?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0</xdr:row>
      <xdr:rowOff>55247</xdr:rowOff>
    </xdr:from>
    <xdr:ext cx="1555802" cy="56049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3171826" y="55247"/>
          <a:ext cx="1555802" cy="56049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14</xdr:col>
          <xdr:colOff>95250</xdr:colOff>
          <xdr:row>9</xdr:row>
          <xdr:rowOff>276225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0</xdr:rowOff>
        </xdr:from>
        <xdr:to>
          <xdr:col>7</xdr:col>
          <xdr:colOff>152400</xdr:colOff>
          <xdr:row>16</xdr:row>
          <xdr:rowOff>0</xdr:rowOff>
        </xdr:to>
        <xdr:sp macro="" textlink="">
          <xdr:nvSpPr>
            <xdr:cNvPr id="7172" name="Drop Dow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5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9525</xdr:rowOff>
        </xdr:from>
        <xdr:to>
          <xdr:col>7</xdr:col>
          <xdr:colOff>142875</xdr:colOff>
          <xdr:row>18</xdr:row>
          <xdr:rowOff>9525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19</xdr:row>
          <xdr:rowOff>0</xdr:rowOff>
        </xdr:from>
        <xdr:to>
          <xdr:col>7</xdr:col>
          <xdr:colOff>152400</xdr:colOff>
          <xdr:row>20</xdr:row>
          <xdr:rowOff>0</xdr:rowOff>
        </xdr:to>
        <xdr:sp macro="" textlink="">
          <xdr:nvSpPr>
            <xdr:cNvPr id="7174" name="Drop Dow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5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228600</xdr:colOff>
          <xdr:row>8</xdr:row>
          <xdr:rowOff>9525</xdr:rowOff>
        </xdr:from>
        <xdr:to>
          <xdr:col>30</xdr:col>
          <xdr:colOff>590550</xdr:colOff>
          <xdr:row>9</xdr:row>
          <xdr:rowOff>152400</xdr:rowOff>
        </xdr:to>
        <xdr:sp macro="" textlink="">
          <xdr:nvSpPr>
            <xdr:cNvPr id="7176" name="Check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5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Soft Foot Observed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22</xdr:row>
          <xdr:rowOff>9525</xdr:rowOff>
        </xdr:from>
        <xdr:to>
          <xdr:col>30</xdr:col>
          <xdr:colOff>1047750</xdr:colOff>
          <xdr:row>29</xdr:row>
          <xdr:rowOff>123815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209550" y="4305300"/>
              <a:ext cx="12353925" cy="1447790"/>
              <a:chOff x="656670" y="3200854"/>
              <a:chExt cx="12402315" cy="1286796"/>
            </a:xfrm>
          </xdr:grpSpPr>
          <xdr:sp macro="" textlink="">
            <xdr:nvSpPr>
              <xdr:cNvPr id="7180" name="TextBox1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500-00000C1C0000}"/>
                  </a:ext>
                </a:extLst>
              </xdr:cNvPr>
              <xdr:cNvSpPr/>
            </xdr:nvSpPr>
            <xdr:spPr bwMode="auto">
              <a:xfrm>
                <a:off x="8077022" y="3378627"/>
                <a:ext cx="4981963" cy="110902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81" name="TextBox2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500-00000D1C0000}"/>
                  </a:ext>
                </a:extLst>
              </xdr:cNvPr>
              <xdr:cNvSpPr/>
            </xdr:nvSpPr>
            <xdr:spPr bwMode="auto">
              <a:xfrm>
                <a:off x="656670" y="3200854"/>
                <a:ext cx="7056978" cy="12867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276225</xdr:colOff>
          <xdr:row>14</xdr:row>
          <xdr:rowOff>47625</xdr:rowOff>
        </xdr:from>
        <xdr:to>
          <xdr:col>30</xdr:col>
          <xdr:colOff>981075</xdr:colOff>
          <xdr:row>15</xdr:row>
          <xdr:rowOff>38100</xdr:rowOff>
        </xdr:to>
        <xdr:sp macro="" textlink="">
          <xdr:nvSpPr>
            <xdr:cNvPr id="7183" name="Check Box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5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Electrical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14</xdr:row>
          <xdr:rowOff>57150</xdr:rowOff>
        </xdr:from>
        <xdr:to>
          <xdr:col>30</xdr:col>
          <xdr:colOff>238125</xdr:colOff>
          <xdr:row>15</xdr:row>
          <xdr:rowOff>28575</xdr:rowOff>
        </xdr:to>
        <xdr:sp macro="" textlink="">
          <xdr:nvSpPr>
            <xdr:cNvPr id="7184" name="Check Box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5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Bearings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114300</xdr:colOff>
          <xdr:row>15</xdr:row>
          <xdr:rowOff>95250</xdr:rowOff>
        </xdr:from>
        <xdr:to>
          <xdr:col>30</xdr:col>
          <xdr:colOff>238125</xdr:colOff>
          <xdr:row>16</xdr:row>
          <xdr:rowOff>19050</xdr:rowOff>
        </xdr:to>
        <xdr:sp macro="" textlink="">
          <xdr:nvSpPr>
            <xdr:cNvPr id="7185" name="Check Box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5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Rubbing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276225</xdr:colOff>
          <xdr:row>15</xdr:row>
          <xdr:rowOff>95250</xdr:rowOff>
        </xdr:from>
        <xdr:to>
          <xdr:col>30</xdr:col>
          <xdr:colOff>733425</xdr:colOff>
          <xdr:row>16</xdr:row>
          <xdr:rowOff>9525</xdr:rowOff>
        </xdr:to>
        <xdr:sp macro="" textlink="">
          <xdr:nvSpPr>
            <xdr:cNvPr id="7186" name="Check Box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5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Other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4</xdr:row>
          <xdr:rowOff>95250</xdr:rowOff>
        </xdr:from>
        <xdr:to>
          <xdr:col>8</xdr:col>
          <xdr:colOff>0</xdr:colOff>
          <xdr:row>21</xdr:row>
          <xdr:rowOff>228600</xdr:rowOff>
        </xdr:to>
        <xdr:sp macro="" textlink="">
          <xdr:nvSpPr>
            <xdr:cNvPr id="7187" name="Group Box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5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57150</xdr:rowOff>
        </xdr:from>
        <xdr:to>
          <xdr:col>18</xdr:col>
          <xdr:colOff>133350</xdr:colOff>
          <xdr:row>20</xdr:row>
          <xdr:rowOff>47625</xdr:rowOff>
        </xdr:to>
        <xdr:sp macro="" textlink="">
          <xdr:nvSpPr>
            <xdr:cNvPr id="7188" name="Group Box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5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66675</xdr:colOff>
          <xdr:row>12</xdr:row>
          <xdr:rowOff>66675</xdr:rowOff>
        </xdr:from>
        <xdr:to>
          <xdr:col>30</xdr:col>
          <xdr:colOff>904875</xdr:colOff>
          <xdr:row>16</xdr:row>
          <xdr:rowOff>28575</xdr:rowOff>
        </xdr:to>
        <xdr:sp macro="" textlink="">
          <xdr:nvSpPr>
            <xdr:cNvPr id="7189" name="Group Box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5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7</xdr:row>
          <xdr:rowOff>0</xdr:rowOff>
        </xdr:from>
        <xdr:to>
          <xdr:col>7</xdr:col>
          <xdr:colOff>66675</xdr:colOff>
          <xdr:row>7</xdr:row>
          <xdr:rowOff>276225</xdr:rowOff>
        </xdr:to>
        <xdr:sp macro="" textlink="">
          <xdr:nvSpPr>
            <xdr:cNvPr id="7190" name="Drop Dow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5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228600</xdr:colOff>
          <xdr:row>9</xdr:row>
          <xdr:rowOff>180975</xdr:rowOff>
        </xdr:from>
        <xdr:to>
          <xdr:col>30</xdr:col>
          <xdr:colOff>942975</xdr:colOff>
          <xdr:row>10</xdr:row>
          <xdr:rowOff>66675</xdr:rowOff>
        </xdr:to>
        <xdr:sp macro="" textlink="">
          <xdr:nvSpPr>
            <xdr:cNvPr id="7191" name="Check Box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5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if ran with load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76200</xdr:colOff>
          <xdr:row>7</xdr:row>
          <xdr:rowOff>238125</xdr:rowOff>
        </xdr:from>
        <xdr:to>
          <xdr:col>30</xdr:col>
          <xdr:colOff>923925</xdr:colOff>
          <xdr:row>11</xdr:row>
          <xdr:rowOff>9525</xdr:rowOff>
        </xdr:to>
        <xdr:sp macro="" textlink="">
          <xdr:nvSpPr>
            <xdr:cNvPr id="7192" name="Group Box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5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228600</xdr:colOff>
          <xdr:row>6</xdr:row>
          <xdr:rowOff>85725</xdr:rowOff>
        </xdr:from>
        <xdr:to>
          <xdr:col>30</xdr:col>
          <xdr:colOff>942975</xdr:colOff>
          <xdr:row>7</xdr:row>
          <xdr:rowOff>171450</xdr:rowOff>
        </xdr:to>
        <xdr:sp macro="" textlink="">
          <xdr:nvSpPr>
            <xdr:cNvPr id="7195" name="Check Box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5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Did not test run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95249</xdr:colOff>
      <xdr:row>0</xdr:row>
      <xdr:rowOff>92246</xdr:rowOff>
    </xdr:from>
    <xdr:to>
      <xdr:col>3</xdr:col>
      <xdr:colOff>171449</xdr:colOff>
      <xdr:row>1</xdr:row>
      <xdr:rowOff>277702</xdr:rowOff>
    </xdr:to>
    <xdr:sp macro="[0]!goto_statorleads" textlink="">
      <xdr:nvSpPr>
        <xdr:cNvPr id="26" name="Isosceles Triangle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 rot="16200000">
          <a:off x="221596" y="89724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259080</xdr:colOff>
      <xdr:row>0</xdr:row>
      <xdr:rowOff>85725</xdr:rowOff>
    </xdr:from>
    <xdr:to>
      <xdr:col>5</xdr:col>
      <xdr:colOff>42503</xdr:colOff>
      <xdr:row>1</xdr:row>
      <xdr:rowOff>281178</xdr:rowOff>
    </xdr:to>
    <xdr:sp macro="[0]!goto_main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687705" y="85725"/>
          <a:ext cx="1097873" cy="385953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5</xdr:col>
      <xdr:colOff>125526</xdr:colOff>
      <xdr:row>0</xdr:row>
      <xdr:rowOff>95384</xdr:rowOff>
    </xdr:from>
    <xdr:to>
      <xdr:col>6</xdr:col>
      <xdr:colOff>211251</xdr:colOff>
      <xdr:row>1</xdr:row>
      <xdr:rowOff>280840</xdr:rowOff>
    </xdr:to>
    <xdr:sp macro="[0]!goto_mechanical" textlink="">
      <xdr:nvSpPr>
        <xdr:cNvPr id="28" name="Isosceles Triangle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 rot="5400000">
          <a:off x="1871123" y="92862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104775</xdr:colOff>
          <xdr:row>6</xdr:row>
          <xdr:rowOff>57150</xdr:rowOff>
        </xdr:from>
        <xdr:to>
          <xdr:col>22</xdr:col>
          <xdr:colOff>533400</xdr:colOff>
          <xdr:row>7</xdr:row>
          <xdr:rowOff>133350</xdr:rowOff>
        </xdr:to>
        <xdr:sp macro="" textlink="">
          <xdr:nvSpPr>
            <xdr:cNvPr id="47108" name="Drop Dow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6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6</xdr:row>
          <xdr:rowOff>95250</xdr:rowOff>
        </xdr:from>
        <xdr:to>
          <xdr:col>11</xdr:col>
          <xdr:colOff>400050</xdr:colOff>
          <xdr:row>7</xdr:row>
          <xdr:rowOff>180975</xdr:rowOff>
        </xdr:to>
        <xdr:sp macro="" textlink="">
          <xdr:nvSpPr>
            <xdr:cNvPr id="47109" name="Check Box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6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Debris found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6</xdr:row>
          <xdr:rowOff>95250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47110" name="Check Box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6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Dirty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5</xdr:row>
          <xdr:rowOff>228600</xdr:rowOff>
        </xdr:from>
        <xdr:to>
          <xdr:col>9</xdr:col>
          <xdr:colOff>142875</xdr:colOff>
          <xdr:row>7</xdr:row>
          <xdr:rowOff>0</xdr:rowOff>
        </xdr:to>
        <xdr:sp macro="" textlink="">
          <xdr:nvSpPr>
            <xdr:cNvPr id="47111" name="Check Box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6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7</xdr:row>
          <xdr:rowOff>28575</xdr:rowOff>
        </xdr:from>
        <xdr:to>
          <xdr:col>17</xdr:col>
          <xdr:colOff>1066800</xdr:colOff>
          <xdr:row>8</xdr:row>
          <xdr:rowOff>9525</xdr:rowOff>
        </xdr:to>
        <xdr:sp macro="" textlink="">
          <xdr:nvSpPr>
            <xdr:cNvPr id="47117" name="Drop Dow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6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5</xdr:row>
          <xdr:rowOff>238125</xdr:rowOff>
        </xdr:from>
        <xdr:to>
          <xdr:col>13</xdr:col>
          <xdr:colOff>47625</xdr:colOff>
          <xdr:row>6</xdr:row>
          <xdr:rowOff>114300</xdr:rowOff>
        </xdr:to>
        <xdr:sp macro="" textlink="">
          <xdr:nvSpPr>
            <xdr:cNvPr id="47122" name="Check Box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6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Severely Overgreased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7</xdr:row>
          <xdr:rowOff>19050</xdr:rowOff>
        </xdr:from>
        <xdr:to>
          <xdr:col>7</xdr:col>
          <xdr:colOff>47625</xdr:colOff>
          <xdr:row>8</xdr:row>
          <xdr:rowOff>19050</xdr:rowOff>
        </xdr:to>
        <xdr:sp macro="" textlink="">
          <xdr:nvSpPr>
            <xdr:cNvPr id="47132" name="Drop Dow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6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17</xdr:row>
          <xdr:rowOff>19050</xdr:rowOff>
        </xdr:from>
        <xdr:to>
          <xdr:col>5</xdr:col>
          <xdr:colOff>428625</xdr:colOff>
          <xdr:row>17</xdr:row>
          <xdr:rowOff>190500</xdr:rowOff>
        </xdr:to>
        <xdr:sp macro="" textlink="">
          <xdr:nvSpPr>
            <xdr:cNvPr id="47133" name="Drop Dow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6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25</xdr:row>
          <xdr:rowOff>19050</xdr:rowOff>
        </xdr:from>
        <xdr:to>
          <xdr:col>5</xdr:col>
          <xdr:colOff>457200</xdr:colOff>
          <xdr:row>26</xdr:row>
          <xdr:rowOff>0</xdr:rowOff>
        </xdr:to>
        <xdr:sp macro="" textlink="">
          <xdr:nvSpPr>
            <xdr:cNvPr id="47134" name="Drop Dow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6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142875</xdr:rowOff>
        </xdr:from>
        <xdr:to>
          <xdr:col>7</xdr:col>
          <xdr:colOff>247650</xdr:colOff>
          <xdr:row>6</xdr:row>
          <xdr:rowOff>28575</xdr:rowOff>
        </xdr:to>
        <xdr:sp macro="" textlink="">
          <xdr:nvSpPr>
            <xdr:cNvPr id="47135" name="Drop Dow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6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7</xdr:row>
          <xdr:rowOff>142875</xdr:rowOff>
        </xdr:from>
        <xdr:to>
          <xdr:col>9</xdr:col>
          <xdr:colOff>333375</xdr:colOff>
          <xdr:row>8</xdr:row>
          <xdr:rowOff>152400</xdr:rowOff>
        </xdr:to>
        <xdr:sp macro="" textlink="">
          <xdr:nvSpPr>
            <xdr:cNvPr id="47136" name="Check Box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6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Submerged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7</xdr:row>
          <xdr:rowOff>142875</xdr:rowOff>
        </xdr:from>
        <xdr:to>
          <xdr:col>11</xdr:col>
          <xdr:colOff>476250</xdr:colOff>
          <xdr:row>8</xdr:row>
          <xdr:rowOff>161925</xdr:rowOff>
        </xdr:to>
        <xdr:sp macro="" textlink="">
          <xdr:nvSpPr>
            <xdr:cNvPr id="47137" name="Check Box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6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Moisture/Corrosion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23</xdr:row>
          <xdr:rowOff>0</xdr:rowOff>
        </xdr:from>
        <xdr:to>
          <xdr:col>33</xdr:col>
          <xdr:colOff>838200</xdr:colOff>
          <xdr:row>35</xdr:row>
          <xdr:rowOff>9525</xdr:rowOff>
        </xdr:to>
        <xdr:sp macro="" textlink="">
          <xdr:nvSpPr>
            <xdr:cNvPr id="47179" name="TextBox1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6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7181" name="Drop Dow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6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17</xdr:row>
          <xdr:rowOff>0</xdr:rowOff>
        </xdr:from>
        <xdr:to>
          <xdr:col>12</xdr:col>
          <xdr:colOff>19050</xdr:colOff>
          <xdr:row>18</xdr:row>
          <xdr:rowOff>0</xdr:rowOff>
        </xdr:to>
        <xdr:sp macro="" textlink="">
          <xdr:nvSpPr>
            <xdr:cNvPr id="47183" name="Drop Dow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6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28</xdr:row>
          <xdr:rowOff>47625</xdr:rowOff>
        </xdr:from>
        <xdr:to>
          <xdr:col>5</xdr:col>
          <xdr:colOff>85725</xdr:colOff>
          <xdr:row>32</xdr:row>
          <xdr:rowOff>9525</xdr:rowOff>
        </xdr:to>
        <xdr:sp macro="" textlink="">
          <xdr:nvSpPr>
            <xdr:cNvPr id="47199" name="Check Box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6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for Thrust/Wide Race Bearings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11</xdr:row>
          <xdr:rowOff>0</xdr:rowOff>
        </xdr:from>
        <xdr:to>
          <xdr:col>12</xdr:col>
          <xdr:colOff>66675</xdr:colOff>
          <xdr:row>13</xdr:row>
          <xdr:rowOff>190500</xdr:rowOff>
        </xdr:to>
        <xdr:sp macro="" textlink="">
          <xdr:nvSpPr>
            <xdr:cNvPr id="47200" name="Group Box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6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10</xdr:row>
          <xdr:rowOff>200025</xdr:rowOff>
        </xdr:from>
        <xdr:to>
          <xdr:col>11</xdr:col>
          <xdr:colOff>57150</xdr:colOff>
          <xdr:row>12</xdr:row>
          <xdr:rowOff>0</xdr:rowOff>
        </xdr:to>
        <xdr:sp macro="" textlink="">
          <xdr:nvSpPr>
            <xdr:cNvPr id="47201" name="Check Box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6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Tapered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10</xdr:row>
          <xdr:rowOff>209550</xdr:rowOff>
        </xdr:from>
        <xdr:to>
          <xdr:col>12</xdr:col>
          <xdr:colOff>76200</xdr:colOff>
          <xdr:row>12</xdr:row>
          <xdr:rowOff>0</xdr:rowOff>
        </xdr:to>
        <xdr:sp macro="" textlink="">
          <xdr:nvSpPr>
            <xdr:cNvPr id="47202" name="Check Box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6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Fretted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11</xdr:row>
          <xdr:rowOff>190500</xdr:rowOff>
        </xdr:from>
        <xdr:to>
          <xdr:col>11</xdr:col>
          <xdr:colOff>95250</xdr:colOff>
          <xdr:row>12</xdr:row>
          <xdr:rowOff>200025</xdr:rowOff>
        </xdr:to>
        <xdr:sp macro="" textlink="">
          <xdr:nvSpPr>
            <xdr:cNvPr id="47203" name="Check Box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6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 of Round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12</xdr:row>
          <xdr:rowOff>190500</xdr:rowOff>
        </xdr:from>
        <xdr:to>
          <xdr:col>11</xdr:col>
          <xdr:colOff>95250</xdr:colOff>
          <xdr:row>13</xdr:row>
          <xdr:rowOff>190500</xdr:rowOff>
        </xdr:to>
        <xdr:sp macro="" textlink="">
          <xdr:nvSpPr>
            <xdr:cNvPr id="47204" name="Check Box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6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Loose Material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11</xdr:row>
          <xdr:rowOff>190500</xdr:rowOff>
        </xdr:from>
        <xdr:to>
          <xdr:col>12</xdr:col>
          <xdr:colOff>85725</xdr:colOff>
          <xdr:row>12</xdr:row>
          <xdr:rowOff>200025</xdr:rowOff>
        </xdr:to>
        <xdr:sp macro="" textlink="">
          <xdr:nvSpPr>
            <xdr:cNvPr id="47206" name="Check Box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6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Galled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12</xdr:row>
          <xdr:rowOff>180975</xdr:rowOff>
        </xdr:from>
        <xdr:to>
          <xdr:col>12</xdr:col>
          <xdr:colOff>66675</xdr:colOff>
          <xdr:row>13</xdr:row>
          <xdr:rowOff>190500</xdr:rowOff>
        </xdr:to>
        <xdr:sp macro="" textlink="">
          <xdr:nvSpPr>
            <xdr:cNvPr id="47207" name="Check Box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6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11</xdr:row>
          <xdr:rowOff>0</xdr:rowOff>
        </xdr:from>
        <xdr:to>
          <xdr:col>17</xdr:col>
          <xdr:colOff>1438275</xdr:colOff>
          <xdr:row>13</xdr:row>
          <xdr:rowOff>190500</xdr:rowOff>
        </xdr:to>
        <xdr:sp macro="" textlink="">
          <xdr:nvSpPr>
            <xdr:cNvPr id="47208" name="Group Box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6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10</xdr:row>
          <xdr:rowOff>200025</xdr:rowOff>
        </xdr:from>
        <xdr:to>
          <xdr:col>17</xdr:col>
          <xdr:colOff>809625</xdr:colOff>
          <xdr:row>12</xdr:row>
          <xdr:rowOff>0</xdr:rowOff>
        </xdr:to>
        <xdr:sp macro="" textlink="">
          <xdr:nvSpPr>
            <xdr:cNvPr id="47209" name="Check Box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6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Tapered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809625</xdr:colOff>
          <xdr:row>10</xdr:row>
          <xdr:rowOff>200025</xdr:rowOff>
        </xdr:from>
        <xdr:to>
          <xdr:col>17</xdr:col>
          <xdr:colOff>1457325</xdr:colOff>
          <xdr:row>11</xdr:row>
          <xdr:rowOff>200025</xdr:rowOff>
        </xdr:to>
        <xdr:sp macro="" textlink="">
          <xdr:nvSpPr>
            <xdr:cNvPr id="47210" name="Check Box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6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Fretted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11</xdr:row>
          <xdr:rowOff>190500</xdr:rowOff>
        </xdr:from>
        <xdr:to>
          <xdr:col>17</xdr:col>
          <xdr:colOff>857250</xdr:colOff>
          <xdr:row>12</xdr:row>
          <xdr:rowOff>200025</xdr:rowOff>
        </xdr:to>
        <xdr:sp macro="" textlink="">
          <xdr:nvSpPr>
            <xdr:cNvPr id="47211" name="Check Box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6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 of Round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12</xdr:row>
          <xdr:rowOff>190500</xdr:rowOff>
        </xdr:from>
        <xdr:to>
          <xdr:col>17</xdr:col>
          <xdr:colOff>857250</xdr:colOff>
          <xdr:row>13</xdr:row>
          <xdr:rowOff>190500</xdr:rowOff>
        </xdr:to>
        <xdr:sp macro="" textlink="">
          <xdr:nvSpPr>
            <xdr:cNvPr id="47212" name="Check Box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6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Loose Material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809625</xdr:colOff>
          <xdr:row>11</xdr:row>
          <xdr:rowOff>190500</xdr:rowOff>
        </xdr:from>
        <xdr:to>
          <xdr:col>17</xdr:col>
          <xdr:colOff>1438275</xdr:colOff>
          <xdr:row>12</xdr:row>
          <xdr:rowOff>200025</xdr:rowOff>
        </xdr:to>
        <xdr:sp macro="" textlink="">
          <xdr:nvSpPr>
            <xdr:cNvPr id="47213" name="Check Box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6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Galled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809625</xdr:colOff>
          <xdr:row>12</xdr:row>
          <xdr:rowOff>180975</xdr:rowOff>
        </xdr:from>
        <xdr:to>
          <xdr:col>20</xdr:col>
          <xdr:colOff>57150</xdr:colOff>
          <xdr:row>13</xdr:row>
          <xdr:rowOff>190500</xdr:rowOff>
        </xdr:to>
        <xdr:sp macro="" textlink="">
          <xdr:nvSpPr>
            <xdr:cNvPr id="47214" name="Check Box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6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19</xdr:row>
          <xdr:rowOff>9525</xdr:rowOff>
        </xdr:from>
        <xdr:to>
          <xdr:col>12</xdr:col>
          <xdr:colOff>66675</xdr:colOff>
          <xdr:row>22</xdr:row>
          <xdr:rowOff>0</xdr:rowOff>
        </xdr:to>
        <xdr:sp macro="" textlink="">
          <xdr:nvSpPr>
            <xdr:cNvPr id="47227" name="Group Box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6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18</xdr:row>
          <xdr:rowOff>85725</xdr:rowOff>
        </xdr:from>
        <xdr:to>
          <xdr:col>11</xdr:col>
          <xdr:colOff>9525</xdr:colOff>
          <xdr:row>20</xdr:row>
          <xdr:rowOff>19050</xdr:rowOff>
        </xdr:to>
        <xdr:sp macro="" textlink="">
          <xdr:nvSpPr>
            <xdr:cNvPr id="47228" name="Check Box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6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Tapered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19</xdr:row>
          <xdr:rowOff>0</xdr:rowOff>
        </xdr:from>
        <xdr:to>
          <xdr:col>12</xdr:col>
          <xdr:colOff>76200</xdr:colOff>
          <xdr:row>20</xdr:row>
          <xdr:rowOff>9525</xdr:rowOff>
        </xdr:to>
        <xdr:sp macro="" textlink="">
          <xdr:nvSpPr>
            <xdr:cNvPr id="47229" name="Check Box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6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Fretted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19</xdr:row>
          <xdr:rowOff>190500</xdr:rowOff>
        </xdr:from>
        <xdr:to>
          <xdr:col>11</xdr:col>
          <xdr:colOff>9525</xdr:colOff>
          <xdr:row>21</xdr:row>
          <xdr:rowOff>9525</xdr:rowOff>
        </xdr:to>
        <xdr:sp macro="" textlink="">
          <xdr:nvSpPr>
            <xdr:cNvPr id="47230" name="Check Box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6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 of Round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190500</xdr:rowOff>
        </xdr:from>
        <xdr:to>
          <xdr:col>11</xdr:col>
          <xdr:colOff>47625</xdr:colOff>
          <xdr:row>22</xdr:row>
          <xdr:rowOff>0</xdr:rowOff>
        </xdr:to>
        <xdr:sp macro="" textlink="">
          <xdr:nvSpPr>
            <xdr:cNvPr id="47231" name="Check Box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6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Loose Material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19</xdr:row>
          <xdr:rowOff>190500</xdr:rowOff>
        </xdr:from>
        <xdr:to>
          <xdr:col>12</xdr:col>
          <xdr:colOff>76200</xdr:colOff>
          <xdr:row>21</xdr:row>
          <xdr:rowOff>9525</xdr:rowOff>
        </xdr:to>
        <xdr:sp macro="" textlink="">
          <xdr:nvSpPr>
            <xdr:cNvPr id="47232" name="Check Box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6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Galled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20</xdr:row>
          <xdr:rowOff>190500</xdr:rowOff>
        </xdr:from>
        <xdr:to>
          <xdr:col>12</xdr:col>
          <xdr:colOff>28575</xdr:colOff>
          <xdr:row>22</xdr:row>
          <xdr:rowOff>9525</xdr:rowOff>
        </xdr:to>
        <xdr:sp macro="" textlink="">
          <xdr:nvSpPr>
            <xdr:cNvPr id="47233" name="Check Box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6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19</xdr:row>
          <xdr:rowOff>0</xdr:rowOff>
        </xdr:from>
        <xdr:to>
          <xdr:col>17</xdr:col>
          <xdr:colOff>1428750</xdr:colOff>
          <xdr:row>22</xdr:row>
          <xdr:rowOff>0</xdr:rowOff>
        </xdr:to>
        <xdr:sp macro="" textlink="">
          <xdr:nvSpPr>
            <xdr:cNvPr id="47234" name="Group Box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6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18</xdr:row>
          <xdr:rowOff>76200</xdr:rowOff>
        </xdr:from>
        <xdr:to>
          <xdr:col>17</xdr:col>
          <xdr:colOff>809625</xdr:colOff>
          <xdr:row>20</xdr:row>
          <xdr:rowOff>9525</xdr:rowOff>
        </xdr:to>
        <xdr:sp macro="" textlink="">
          <xdr:nvSpPr>
            <xdr:cNvPr id="47235" name="Check Box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6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Tapered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828675</xdr:colOff>
          <xdr:row>19</xdr:row>
          <xdr:rowOff>0</xdr:rowOff>
        </xdr:from>
        <xdr:to>
          <xdr:col>17</xdr:col>
          <xdr:colOff>1447800</xdr:colOff>
          <xdr:row>20</xdr:row>
          <xdr:rowOff>9525</xdr:rowOff>
        </xdr:to>
        <xdr:sp macro="" textlink="">
          <xdr:nvSpPr>
            <xdr:cNvPr id="47236" name="Check Box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6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Fretted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19</xdr:row>
          <xdr:rowOff>190500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47237" name="Check Box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6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 of Round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21</xdr:row>
          <xdr:rowOff>0</xdr:rowOff>
        </xdr:from>
        <xdr:to>
          <xdr:col>17</xdr:col>
          <xdr:colOff>819150</xdr:colOff>
          <xdr:row>22</xdr:row>
          <xdr:rowOff>9525</xdr:rowOff>
        </xdr:to>
        <xdr:sp macro="" textlink="">
          <xdr:nvSpPr>
            <xdr:cNvPr id="47238" name="Check Box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6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Loose Material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828675</xdr:colOff>
          <xdr:row>19</xdr:row>
          <xdr:rowOff>200025</xdr:rowOff>
        </xdr:from>
        <xdr:to>
          <xdr:col>17</xdr:col>
          <xdr:colOff>1438275</xdr:colOff>
          <xdr:row>21</xdr:row>
          <xdr:rowOff>19050</xdr:rowOff>
        </xdr:to>
        <xdr:sp macro="" textlink="">
          <xdr:nvSpPr>
            <xdr:cNvPr id="47239" name="Check Box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6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Galled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828675</xdr:colOff>
          <xdr:row>21</xdr:row>
          <xdr:rowOff>0</xdr:rowOff>
        </xdr:from>
        <xdr:to>
          <xdr:col>17</xdr:col>
          <xdr:colOff>1428750</xdr:colOff>
          <xdr:row>22</xdr:row>
          <xdr:rowOff>19050</xdr:rowOff>
        </xdr:to>
        <xdr:sp macro="" textlink="">
          <xdr:nvSpPr>
            <xdr:cNvPr id="47240" name="Check Box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6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14</xdr:row>
          <xdr:rowOff>66675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47250" name="Option Button 146" hidden="1">
              <a:extLst>
                <a:ext uri="{63B3BB69-23CF-44E3-9099-C40C66FF867C}">
                  <a14:compatExt spid="_x0000_s47250"/>
                </a:ext>
                <a:ext uri="{FF2B5EF4-FFF2-40B4-BE49-F238E27FC236}">
                  <a16:creationId xmlns:a16="http://schemas.microsoft.com/office/drawing/2014/main" id="{00000000-0008-0000-0600-00009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47251" name="Option Button 147" hidden="1">
              <a:extLst>
                <a:ext uri="{63B3BB69-23CF-44E3-9099-C40C66FF867C}">
                  <a14:compatExt spid="_x0000_s47251"/>
                </a:ext>
                <a:ext uri="{FF2B5EF4-FFF2-40B4-BE49-F238E27FC236}">
                  <a16:creationId xmlns:a16="http://schemas.microsoft.com/office/drawing/2014/main" id="{00000000-0008-0000-0600-00009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66675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47252" name="Group Box 148" hidden="1">
              <a:extLst>
                <a:ext uri="{63B3BB69-23CF-44E3-9099-C40C66FF867C}">
                  <a14:compatExt spid="_x0000_s47252"/>
                </a:ext>
                <a:ext uri="{FF2B5EF4-FFF2-40B4-BE49-F238E27FC236}">
                  <a16:creationId xmlns:a16="http://schemas.microsoft.com/office/drawing/2014/main" id="{00000000-0008-0000-0600-00009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15</xdr:row>
          <xdr:rowOff>0</xdr:rowOff>
        </xdr:from>
        <xdr:to>
          <xdr:col>17</xdr:col>
          <xdr:colOff>666750</xdr:colOff>
          <xdr:row>16</xdr:row>
          <xdr:rowOff>0</xdr:rowOff>
        </xdr:to>
        <xdr:sp macro="" textlink="">
          <xdr:nvSpPr>
            <xdr:cNvPr id="47253" name="Option Button 149" hidden="1">
              <a:extLst>
                <a:ext uri="{63B3BB69-23CF-44E3-9099-C40C66FF867C}">
                  <a14:compatExt spid="_x0000_s47253"/>
                </a:ext>
                <a:ext uri="{FF2B5EF4-FFF2-40B4-BE49-F238E27FC236}">
                  <a16:creationId xmlns:a16="http://schemas.microsoft.com/office/drawing/2014/main" id="{00000000-0008-0000-0600-00009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800100</xdr:colOff>
          <xdr:row>15</xdr:row>
          <xdr:rowOff>0</xdr:rowOff>
        </xdr:from>
        <xdr:to>
          <xdr:col>17</xdr:col>
          <xdr:colOff>1381125</xdr:colOff>
          <xdr:row>16</xdr:row>
          <xdr:rowOff>0</xdr:rowOff>
        </xdr:to>
        <xdr:sp macro="" textlink="">
          <xdr:nvSpPr>
            <xdr:cNvPr id="47254" name="Option Button 150" hidden="1">
              <a:extLst>
                <a:ext uri="{63B3BB69-23CF-44E3-9099-C40C66FF867C}">
                  <a14:compatExt spid="_x0000_s47254"/>
                </a:ext>
                <a:ext uri="{FF2B5EF4-FFF2-40B4-BE49-F238E27FC236}">
                  <a16:creationId xmlns:a16="http://schemas.microsoft.com/office/drawing/2014/main" id="{00000000-0008-0000-0600-00009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17</xdr:col>
          <xdr:colOff>1390650</xdr:colOff>
          <xdr:row>16</xdr:row>
          <xdr:rowOff>0</xdr:rowOff>
        </xdr:to>
        <xdr:sp macro="" textlink="">
          <xdr:nvSpPr>
            <xdr:cNvPr id="47255" name="Group Box 151" hidden="1">
              <a:extLst>
                <a:ext uri="{63B3BB69-23CF-44E3-9099-C40C66FF867C}">
                  <a14:compatExt spid="_x0000_s47255"/>
                </a:ext>
                <a:ext uri="{FF2B5EF4-FFF2-40B4-BE49-F238E27FC236}">
                  <a16:creationId xmlns:a16="http://schemas.microsoft.com/office/drawing/2014/main" id="{00000000-0008-0000-0600-00009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23</xdr:row>
          <xdr:rowOff>9525</xdr:rowOff>
        </xdr:from>
        <xdr:to>
          <xdr:col>10</xdr:col>
          <xdr:colOff>85725</xdr:colOff>
          <xdr:row>24</xdr:row>
          <xdr:rowOff>0</xdr:rowOff>
        </xdr:to>
        <xdr:sp macro="" textlink="">
          <xdr:nvSpPr>
            <xdr:cNvPr id="47256" name="Option Button 152" hidden="1">
              <a:extLst>
                <a:ext uri="{63B3BB69-23CF-44E3-9099-C40C66FF867C}">
                  <a14:compatExt spid="_x0000_s47256"/>
                </a:ext>
                <a:ext uri="{FF2B5EF4-FFF2-40B4-BE49-F238E27FC236}">
                  <a16:creationId xmlns:a16="http://schemas.microsoft.com/office/drawing/2014/main" id="{00000000-0008-0000-0600-00009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11</xdr:col>
          <xdr:colOff>476250</xdr:colOff>
          <xdr:row>24</xdr:row>
          <xdr:rowOff>0</xdr:rowOff>
        </xdr:to>
        <xdr:sp macro="" textlink="">
          <xdr:nvSpPr>
            <xdr:cNvPr id="47257" name="Option Button 153" hidden="1">
              <a:extLst>
                <a:ext uri="{63B3BB69-23CF-44E3-9099-C40C66FF867C}">
                  <a14:compatExt spid="_x0000_s47257"/>
                </a:ext>
                <a:ext uri="{FF2B5EF4-FFF2-40B4-BE49-F238E27FC236}">
                  <a16:creationId xmlns:a16="http://schemas.microsoft.com/office/drawing/2014/main" id="{00000000-0008-0000-0600-00009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47258" name="Group Box 154" hidden="1">
              <a:extLst>
                <a:ext uri="{63B3BB69-23CF-44E3-9099-C40C66FF867C}">
                  <a14:compatExt spid="_x0000_s47258"/>
                </a:ext>
                <a:ext uri="{FF2B5EF4-FFF2-40B4-BE49-F238E27FC236}">
                  <a16:creationId xmlns:a16="http://schemas.microsoft.com/office/drawing/2014/main" id="{00000000-0008-0000-0600-00009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23</xdr:row>
          <xdr:rowOff>9525</xdr:rowOff>
        </xdr:from>
        <xdr:to>
          <xdr:col>17</xdr:col>
          <xdr:colOff>704850</xdr:colOff>
          <xdr:row>24</xdr:row>
          <xdr:rowOff>0</xdr:rowOff>
        </xdr:to>
        <xdr:sp macro="" textlink="">
          <xdr:nvSpPr>
            <xdr:cNvPr id="47259" name="Option Button 155" hidden="1">
              <a:extLst>
                <a:ext uri="{63B3BB69-23CF-44E3-9099-C40C66FF867C}">
                  <a14:compatExt spid="_x0000_s47259"/>
                </a:ext>
                <a:ext uri="{FF2B5EF4-FFF2-40B4-BE49-F238E27FC236}">
                  <a16:creationId xmlns:a16="http://schemas.microsoft.com/office/drawing/2014/main" id="{00000000-0008-0000-0600-00009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800100</xdr:colOff>
          <xdr:row>23</xdr:row>
          <xdr:rowOff>9525</xdr:rowOff>
        </xdr:from>
        <xdr:to>
          <xdr:col>17</xdr:col>
          <xdr:colOff>1371600</xdr:colOff>
          <xdr:row>24</xdr:row>
          <xdr:rowOff>0</xdr:rowOff>
        </xdr:to>
        <xdr:sp macro="" textlink="">
          <xdr:nvSpPr>
            <xdr:cNvPr id="47260" name="Option Button 156" hidden="1">
              <a:extLst>
                <a:ext uri="{63B3BB69-23CF-44E3-9099-C40C66FF867C}">
                  <a14:compatExt spid="_x0000_s47260"/>
                </a:ext>
                <a:ext uri="{FF2B5EF4-FFF2-40B4-BE49-F238E27FC236}">
                  <a16:creationId xmlns:a16="http://schemas.microsoft.com/office/drawing/2014/main" id="{00000000-0008-0000-0600-00009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22</xdr:row>
          <xdr:rowOff>66675</xdr:rowOff>
        </xdr:from>
        <xdr:to>
          <xdr:col>17</xdr:col>
          <xdr:colOff>1371600</xdr:colOff>
          <xdr:row>24</xdr:row>
          <xdr:rowOff>0</xdr:rowOff>
        </xdr:to>
        <xdr:sp macro="" textlink="">
          <xdr:nvSpPr>
            <xdr:cNvPr id="47261" name="Group Box 157" hidden="1">
              <a:extLst>
                <a:ext uri="{63B3BB69-23CF-44E3-9099-C40C66FF867C}">
                  <a14:compatExt spid="_x0000_s47261"/>
                </a:ext>
                <a:ext uri="{FF2B5EF4-FFF2-40B4-BE49-F238E27FC236}">
                  <a16:creationId xmlns:a16="http://schemas.microsoft.com/office/drawing/2014/main" id="{00000000-0008-0000-0600-00009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27</xdr:row>
          <xdr:rowOff>0</xdr:rowOff>
        </xdr:from>
        <xdr:to>
          <xdr:col>17</xdr:col>
          <xdr:colOff>1209675</xdr:colOff>
          <xdr:row>28</xdr:row>
          <xdr:rowOff>38100</xdr:rowOff>
        </xdr:to>
        <xdr:sp macro="" textlink="">
          <xdr:nvSpPr>
            <xdr:cNvPr id="47266" name="Option Button 162" hidden="1">
              <a:extLst>
                <a:ext uri="{63B3BB69-23CF-44E3-9099-C40C66FF867C}">
                  <a14:compatExt spid="_x0000_s47266"/>
                </a:ext>
                <a:ext uri="{FF2B5EF4-FFF2-40B4-BE49-F238E27FC236}">
                  <a16:creationId xmlns:a16="http://schemas.microsoft.com/office/drawing/2014/main" id="{00000000-0008-0000-0600-0000A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Back-to-Back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28</xdr:row>
          <xdr:rowOff>38100</xdr:rowOff>
        </xdr:from>
        <xdr:to>
          <xdr:col>17</xdr:col>
          <xdr:colOff>1209675</xdr:colOff>
          <xdr:row>29</xdr:row>
          <xdr:rowOff>47625</xdr:rowOff>
        </xdr:to>
        <xdr:sp macro="" textlink="">
          <xdr:nvSpPr>
            <xdr:cNvPr id="47267" name="Option Button 163" hidden="1">
              <a:extLst>
                <a:ext uri="{63B3BB69-23CF-44E3-9099-C40C66FF867C}">
                  <a14:compatExt spid="_x0000_s47267"/>
                </a:ext>
                <a:ext uri="{FF2B5EF4-FFF2-40B4-BE49-F238E27FC236}">
                  <a16:creationId xmlns:a16="http://schemas.microsoft.com/office/drawing/2014/main" id="{00000000-0008-0000-0600-0000A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Face-to-Face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29</xdr:row>
          <xdr:rowOff>57150</xdr:rowOff>
        </xdr:from>
        <xdr:to>
          <xdr:col>17</xdr:col>
          <xdr:colOff>1209675</xdr:colOff>
          <xdr:row>31</xdr:row>
          <xdr:rowOff>0</xdr:rowOff>
        </xdr:to>
        <xdr:sp macro="" textlink="">
          <xdr:nvSpPr>
            <xdr:cNvPr id="47268" name="Option Button 164" hidden="1">
              <a:extLst>
                <a:ext uri="{63B3BB69-23CF-44E3-9099-C40C66FF867C}">
                  <a14:compatExt spid="_x0000_s47268"/>
                </a:ext>
                <a:ext uri="{FF2B5EF4-FFF2-40B4-BE49-F238E27FC236}">
                  <a16:creationId xmlns:a16="http://schemas.microsoft.com/office/drawing/2014/main" id="{00000000-0008-0000-0600-0000A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Tandem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26</xdr:row>
          <xdr:rowOff>104775</xdr:rowOff>
        </xdr:from>
        <xdr:to>
          <xdr:col>17</xdr:col>
          <xdr:colOff>1476375</xdr:colOff>
          <xdr:row>33</xdr:row>
          <xdr:rowOff>123825</xdr:rowOff>
        </xdr:to>
        <xdr:sp macro="" textlink="">
          <xdr:nvSpPr>
            <xdr:cNvPr id="47270" name="Group Box 166" hidden="1">
              <a:extLst>
                <a:ext uri="{63B3BB69-23CF-44E3-9099-C40C66FF867C}">
                  <a14:compatExt spid="_x0000_s47270"/>
                </a:ext>
                <a:ext uri="{FF2B5EF4-FFF2-40B4-BE49-F238E27FC236}">
                  <a16:creationId xmlns:a16="http://schemas.microsoft.com/office/drawing/2014/main" id="{00000000-0008-0000-0600-0000A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5</xdr:row>
          <xdr:rowOff>76200</xdr:rowOff>
        </xdr:from>
        <xdr:to>
          <xdr:col>30</xdr:col>
          <xdr:colOff>0</xdr:colOff>
          <xdr:row>8</xdr:row>
          <xdr:rowOff>66675</xdr:rowOff>
        </xdr:to>
        <xdr:sp macro="" textlink="">
          <xdr:nvSpPr>
            <xdr:cNvPr id="47271" name="Group Box 167" hidden="1">
              <a:extLst>
                <a:ext uri="{63B3BB69-23CF-44E3-9099-C40C66FF867C}">
                  <a14:compatExt spid="_x0000_s47271"/>
                </a:ext>
                <a:ext uri="{FF2B5EF4-FFF2-40B4-BE49-F238E27FC236}">
                  <a16:creationId xmlns:a16="http://schemas.microsoft.com/office/drawing/2014/main" id="{00000000-0008-0000-0600-0000A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209550</xdr:colOff>
          <xdr:row>6</xdr:row>
          <xdr:rowOff>9525</xdr:rowOff>
        </xdr:from>
        <xdr:to>
          <xdr:col>25</xdr:col>
          <xdr:colOff>9525</xdr:colOff>
          <xdr:row>7</xdr:row>
          <xdr:rowOff>76200</xdr:rowOff>
        </xdr:to>
        <xdr:sp macro="" textlink="">
          <xdr:nvSpPr>
            <xdr:cNvPr id="47274" name="Option Button 170" hidden="1">
              <a:extLst>
                <a:ext uri="{63B3BB69-23CF-44E3-9099-C40C66FF867C}">
                  <a14:compatExt spid="_x0000_s47274"/>
                </a:ext>
                <a:ext uri="{FF2B5EF4-FFF2-40B4-BE49-F238E27FC236}">
                  <a16:creationId xmlns:a16="http://schemas.microsoft.com/office/drawing/2014/main" id="{00000000-0008-0000-0600-0000A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6</xdr:row>
          <xdr:rowOff>9525</xdr:rowOff>
        </xdr:from>
        <xdr:to>
          <xdr:col>25</xdr:col>
          <xdr:colOff>466725</xdr:colOff>
          <xdr:row>7</xdr:row>
          <xdr:rowOff>76200</xdr:rowOff>
        </xdr:to>
        <xdr:sp macro="" textlink="">
          <xdr:nvSpPr>
            <xdr:cNvPr id="47275" name="Option Button 171" hidden="1">
              <a:extLst>
                <a:ext uri="{63B3BB69-23CF-44E3-9099-C40C66FF867C}">
                  <a14:compatExt spid="_x0000_s47275"/>
                </a:ext>
                <a:ext uri="{FF2B5EF4-FFF2-40B4-BE49-F238E27FC236}">
                  <a16:creationId xmlns:a16="http://schemas.microsoft.com/office/drawing/2014/main" id="{00000000-0008-0000-0600-0000A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552450</xdr:colOff>
          <xdr:row>5</xdr:row>
          <xdr:rowOff>85725</xdr:rowOff>
        </xdr:from>
        <xdr:to>
          <xdr:col>27</xdr:col>
          <xdr:colOff>561975</xdr:colOff>
          <xdr:row>6</xdr:row>
          <xdr:rowOff>9525</xdr:rowOff>
        </xdr:to>
        <xdr:sp macro="" textlink="">
          <xdr:nvSpPr>
            <xdr:cNvPr id="47277" name="Check Box 173" hidden="1">
              <a:extLst>
                <a:ext uri="{63B3BB69-23CF-44E3-9099-C40C66FF867C}">
                  <a14:compatExt spid="_x0000_s47277"/>
                </a:ext>
                <a:ext uri="{FF2B5EF4-FFF2-40B4-BE49-F238E27FC236}">
                  <a16:creationId xmlns:a16="http://schemas.microsoft.com/office/drawing/2014/main" id="{00000000-0008-0000-0600-0000A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Tapered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266700</xdr:rowOff>
        </xdr:from>
        <xdr:to>
          <xdr:col>29</xdr:col>
          <xdr:colOff>476250</xdr:colOff>
          <xdr:row>7</xdr:row>
          <xdr:rowOff>66675</xdr:rowOff>
        </xdr:to>
        <xdr:sp macro="" textlink="">
          <xdr:nvSpPr>
            <xdr:cNvPr id="47278" name="Check Box 174" hidden="1">
              <a:extLst>
                <a:ext uri="{63B3BB69-23CF-44E3-9099-C40C66FF867C}">
                  <a14:compatExt spid="_x0000_s47278"/>
                </a:ext>
                <a:ext uri="{FF2B5EF4-FFF2-40B4-BE49-F238E27FC236}">
                  <a16:creationId xmlns:a16="http://schemas.microsoft.com/office/drawing/2014/main" id="{00000000-0008-0000-0600-0000A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Galled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95250</xdr:rowOff>
        </xdr:from>
        <xdr:to>
          <xdr:col>29</xdr:col>
          <xdr:colOff>495300</xdr:colOff>
          <xdr:row>6</xdr:row>
          <xdr:rowOff>0</xdr:rowOff>
        </xdr:to>
        <xdr:sp macro="" textlink="">
          <xdr:nvSpPr>
            <xdr:cNvPr id="47279" name="Check Box 175" hidden="1">
              <a:extLst>
                <a:ext uri="{63B3BB69-23CF-44E3-9099-C40C66FF867C}">
                  <a14:compatExt spid="_x0000_s47279"/>
                </a:ext>
                <a:ext uri="{FF2B5EF4-FFF2-40B4-BE49-F238E27FC236}">
                  <a16:creationId xmlns:a16="http://schemas.microsoft.com/office/drawing/2014/main" id="{00000000-0008-0000-0600-0000A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Fretted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552450</xdr:colOff>
          <xdr:row>5</xdr:row>
          <xdr:rowOff>295275</xdr:rowOff>
        </xdr:from>
        <xdr:to>
          <xdr:col>28</xdr:col>
          <xdr:colOff>9525</xdr:colOff>
          <xdr:row>7</xdr:row>
          <xdr:rowOff>66675</xdr:rowOff>
        </xdr:to>
        <xdr:sp macro="" textlink="">
          <xdr:nvSpPr>
            <xdr:cNvPr id="47280" name="Check Box 176" hidden="1">
              <a:extLst>
                <a:ext uri="{63B3BB69-23CF-44E3-9099-C40C66FF867C}">
                  <a14:compatExt spid="_x0000_s47280"/>
                </a:ext>
                <a:ext uri="{FF2B5EF4-FFF2-40B4-BE49-F238E27FC236}">
                  <a16:creationId xmlns:a16="http://schemas.microsoft.com/office/drawing/2014/main" id="{00000000-0008-0000-0600-0000B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 of Round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552450</xdr:colOff>
          <xdr:row>7</xdr:row>
          <xdr:rowOff>38100</xdr:rowOff>
        </xdr:from>
        <xdr:to>
          <xdr:col>28</xdr:col>
          <xdr:colOff>47625</xdr:colOff>
          <xdr:row>8</xdr:row>
          <xdr:rowOff>38100</xdr:rowOff>
        </xdr:to>
        <xdr:sp macro="" textlink="">
          <xdr:nvSpPr>
            <xdr:cNvPr id="47281" name="Check Box 177" hidden="1">
              <a:extLst>
                <a:ext uri="{63B3BB69-23CF-44E3-9099-C40C66FF867C}">
                  <a14:compatExt spid="_x0000_s47281"/>
                </a:ext>
                <a:ext uri="{FF2B5EF4-FFF2-40B4-BE49-F238E27FC236}">
                  <a16:creationId xmlns:a16="http://schemas.microsoft.com/office/drawing/2014/main" id="{00000000-0008-0000-0600-0000B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Loose Material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7</xdr:row>
          <xdr:rowOff>19050</xdr:rowOff>
        </xdr:from>
        <xdr:to>
          <xdr:col>29</xdr:col>
          <xdr:colOff>485775</xdr:colOff>
          <xdr:row>8</xdr:row>
          <xdr:rowOff>57150</xdr:rowOff>
        </xdr:to>
        <xdr:sp macro="" textlink="">
          <xdr:nvSpPr>
            <xdr:cNvPr id="47282" name="Check Box 178" hidden="1">
              <a:extLst>
                <a:ext uri="{63B3BB69-23CF-44E3-9099-C40C66FF867C}">
                  <a14:compatExt spid="_x0000_s47282"/>
                </a:ext>
                <a:ext uri="{FF2B5EF4-FFF2-40B4-BE49-F238E27FC236}">
                  <a16:creationId xmlns:a16="http://schemas.microsoft.com/office/drawing/2014/main" id="{00000000-0008-0000-0600-0000B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5</xdr:row>
          <xdr:rowOff>57150</xdr:rowOff>
        </xdr:from>
        <xdr:to>
          <xdr:col>17</xdr:col>
          <xdr:colOff>1314450</xdr:colOff>
          <xdr:row>8</xdr:row>
          <xdr:rowOff>123825</xdr:rowOff>
        </xdr:to>
        <xdr:sp macro="" textlink="">
          <xdr:nvSpPr>
            <xdr:cNvPr id="47291" name="Group Box 187" hidden="1">
              <a:extLst>
                <a:ext uri="{63B3BB69-23CF-44E3-9099-C40C66FF867C}">
                  <a14:compatExt spid="_x0000_s47291"/>
                </a:ext>
                <a:ext uri="{FF2B5EF4-FFF2-40B4-BE49-F238E27FC236}">
                  <a16:creationId xmlns:a16="http://schemas.microsoft.com/office/drawing/2014/main" id="{00000000-0008-0000-0600-0000B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5</xdr:row>
          <xdr:rowOff>133350</xdr:rowOff>
        </xdr:from>
        <xdr:to>
          <xdr:col>15</xdr:col>
          <xdr:colOff>600075</xdr:colOff>
          <xdr:row>6</xdr:row>
          <xdr:rowOff>28575</xdr:rowOff>
        </xdr:to>
        <xdr:sp macro="" textlink="">
          <xdr:nvSpPr>
            <xdr:cNvPr id="47295" name="Option Button 191" hidden="1">
              <a:extLst>
                <a:ext uri="{63B3BB69-23CF-44E3-9099-C40C66FF867C}">
                  <a14:compatExt spid="_x0000_s47295"/>
                </a:ext>
                <a:ext uri="{FF2B5EF4-FFF2-40B4-BE49-F238E27FC236}">
                  <a16:creationId xmlns:a16="http://schemas.microsoft.com/office/drawing/2014/main" id="{00000000-0008-0000-0600-0000B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5</xdr:row>
          <xdr:rowOff>133350</xdr:rowOff>
        </xdr:from>
        <xdr:to>
          <xdr:col>17</xdr:col>
          <xdr:colOff>476250</xdr:colOff>
          <xdr:row>6</xdr:row>
          <xdr:rowOff>28575</xdr:rowOff>
        </xdr:to>
        <xdr:sp macro="" textlink="">
          <xdr:nvSpPr>
            <xdr:cNvPr id="47296" name="Option Button 192" hidden="1">
              <a:extLst>
                <a:ext uri="{63B3BB69-23CF-44E3-9099-C40C66FF867C}">
                  <a14:compatExt spid="_x0000_s47296"/>
                </a:ext>
                <a:ext uri="{FF2B5EF4-FFF2-40B4-BE49-F238E27FC236}">
                  <a16:creationId xmlns:a16="http://schemas.microsoft.com/office/drawing/2014/main" id="{00000000-0008-0000-0600-0000C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561975</xdr:colOff>
          <xdr:row>5</xdr:row>
          <xdr:rowOff>142875</xdr:rowOff>
        </xdr:from>
        <xdr:to>
          <xdr:col>17</xdr:col>
          <xdr:colOff>1114425</xdr:colOff>
          <xdr:row>6</xdr:row>
          <xdr:rowOff>19050</xdr:rowOff>
        </xdr:to>
        <xdr:sp macro="" textlink="">
          <xdr:nvSpPr>
            <xdr:cNvPr id="47297" name="Option Button 193" hidden="1">
              <a:extLst>
                <a:ext uri="{63B3BB69-23CF-44E3-9099-C40C66FF867C}">
                  <a14:compatExt spid="_x0000_s47297"/>
                </a:ext>
                <a:ext uri="{FF2B5EF4-FFF2-40B4-BE49-F238E27FC236}">
                  <a16:creationId xmlns:a16="http://schemas.microsoft.com/office/drawing/2014/main" id="{00000000-0008-0000-0600-0000C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None</a:t>
              </a:r>
            </a:p>
          </xdr:txBody>
        </xdr:sp>
        <xdr:clientData/>
      </xdr:twoCellAnchor>
    </mc:Choice>
    <mc:Fallback/>
  </mc:AlternateContent>
  <xdr:twoCellAnchor editAs="oneCell">
    <xdr:from>
      <xdr:col>9</xdr:col>
      <xdr:colOff>133350</xdr:colOff>
      <xdr:row>0</xdr:row>
      <xdr:rowOff>66675</xdr:rowOff>
    </xdr:from>
    <xdr:to>
      <xdr:col>13</xdr:col>
      <xdr:colOff>184202</xdr:colOff>
      <xdr:row>2</xdr:row>
      <xdr:rowOff>141391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3171825" y="66675"/>
          <a:ext cx="1555802" cy="56049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31</xdr:row>
          <xdr:rowOff>9525</xdr:rowOff>
        </xdr:from>
        <xdr:to>
          <xdr:col>17</xdr:col>
          <xdr:colOff>1209675</xdr:colOff>
          <xdr:row>32</xdr:row>
          <xdr:rowOff>152400</xdr:rowOff>
        </xdr:to>
        <xdr:sp macro="" textlink="">
          <xdr:nvSpPr>
            <xdr:cNvPr id="47299" name="Option Button 195" hidden="1">
              <a:extLst>
                <a:ext uri="{63B3BB69-23CF-44E3-9099-C40C66FF867C}">
                  <a14:compatExt spid="_x0000_s47299"/>
                </a:ext>
                <a:ext uri="{FF2B5EF4-FFF2-40B4-BE49-F238E27FC236}">
                  <a16:creationId xmlns:a16="http://schemas.microsoft.com/office/drawing/2014/main" id="{00000000-0008-0000-0600-0000C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Single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104774</xdr:colOff>
      <xdr:row>0</xdr:row>
      <xdr:rowOff>92246</xdr:rowOff>
    </xdr:from>
    <xdr:to>
      <xdr:col>2</xdr:col>
      <xdr:colOff>352424</xdr:colOff>
      <xdr:row>1</xdr:row>
      <xdr:rowOff>277702</xdr:rowOff>
    </xdr:to>
    <xdr:sp macro="[0]!goto_foundtests" textlink="">
      <xdr:nvSpPr>
        <xdr:cNvPr id="81" name="Isosceles Tri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 rot="16200000">
          <a:off x="221596" y="89724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68580</xdr:colOff>
      <xdr:row>0</xdr:row>
      <xdr:rowOff>85725</xdr:rowOff>
    </xdr:from>
    <xdr:to>
      <xdr:col>5</xdr:col>
      <xdr:colOff>204428</xdr:colOff>
      <xdr:row>1</xdr:row>
      <xdr:rowOff>281178</xdr:rowOff>
    </xdr:to>
    <xdr:sp macro="[0]!goto_main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/>
      </xdr:nvSpPr>
      <xdr:spPr>
        <a:xfrm>
          <a:off x="687705" y="85725"/>
          <a:ext cx="1097873" cy="385953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5</xdr:col>
      <xdr:colOff>287451</xdr:colOff>
      <xdr:row>0</xdr:row>
      <xdr:rowOff>95384</xdr:rowOff>
    </xdr:from>
    <xdr:to>
      <xdr:col>6</xdr:col>
      <xdr:colOff>58851</xdr:colOff>
      <xdr:row>1</xdr:row>
      <xdr:rowOff>280840</xdr:rowOff>
    </xdr:to>
    <xdr:sp macro="[0]!goto_mechanical2" textlink="">
      <xdr:nvSpPr>
        <xdr:cNvPr id="87" name="Isosceles Triangle 86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/>
      </xdr:nvSpPr>
      <xdr:spPr>
        <a:xfrm rot="5400000">
          <a:off x="1871123" y="92862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16</xdr:col>
          <xdr:colOff>0</xdr:colOff>
          <xdr:row>24</xdr:row>
          <xdr:rowOff>0</xdr:rowOff>
        </xdr:to>
        <xdr:sp macro="" textlink="">
          <xdr:nvSpPr>
            <xdr:cNvPr id="176146" name="Drop Down 18" hidden="1">
              <a:extLst>
                <a:ext uri="{63B3BB69-23CF-44E3-9099-C40C66FF867C}">
                  <a14:compatExt spid="_x0000_s176146"/>
                </a:ext>
                <a:ext uri="{FF2B5EF4-FFF2-40B4-BE49-F238E27FC236}">
                  <a16:creationId xmlns:a16="http://schemas.microsoft.com/office/drawing/2014/main" id="{00000000-0008-0000-0700-000012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16</xdr:col>
          <xdr:colOff>0</xdr:colOff>
          <xdr:row>34</xdr:row>
          <xdr:rowOff>9525</xdr:rowOff>
        </xdr:to>
        <xdr:sp macro="" textlink="">
          <xdr:nvSpPr>
            <xdr:cNvPr id="176152" name="Drop Down 24" hidden="1">
              <a:extLst>
                <a:ext uri="{63B3BB69-23CF-44E3-9099-C40C66FF867C}">
                  <a14:compatExt spid="_x0000_s176152"/>
                </a:ext>
                <a:ext uri="{FF2B5EF4-FFF2-40B4-BE49-F238E27FC236}">
                  <a16:creationId xmlns:a16="http://schemas.microsoft.com/office/drawing/2014/main" id="{00000000-0008-0000-0700-000018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23</xdr:row>
          <xdr:rowOff>0</xdr:rowOff>
        </xdr:from>
        <xdr:to>
          <xdr:col>21</xdr:col>
          <xdr:colOff>0</xdr:colOff>
          <xdr:row>24</xdr:row>
          <xdr:rowOff>0</xdr:rowOff>
        </xdr:to>
        <xdr:sp macro="" textlink="">
          <xdr:nvSpPr>
            <xdr:cNvPr id="176153" name="Drop Down 25" hidden="1">
              <a:extLst>
                <a:ext uri="{63B3BB69-23CF-44E3-9099-C40C66FF867C}">
                  <a14:compatExt spid="_x0000_s176153"/>
                </a:ext>
                <a:ext uri="{FF2B5EF4-FFF2-40B4-BE49-F238E27FC236}">
                  <a16:creationId xmlns:a16="http://schemas.microsoft.com/office/drawing/2014/main" id="{00000000-0008-0000-0700-000019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33</xdr:row>
          <xdr:rowOff>0</xdr:rowOff>
        </xdr:from>
        <xdr:to>
          <xdr:col>21</xdr:col>
          <xdr:colOff>0</xdr:colOff>
          <xdr:row>34</xdr:row>
          <xdr:rowOff>9525</xdr:rowOff>
        </xdr:to>
        <xdr:sp macro="" textlink="">
          <xdr:nvSpPr>
            <xdr:cNvPr id="176154" name="Drop Down 26" hidden="1">
              <a:extLst>
                <a:ext uri="{63B3BB69-23CF-44E3-9099-C40C66FF867C}">
                  <a14:compatExt spid="_x0000_s176154"/>
                </a:ext>
                <a:ext uri="{FF2B5EF4-FFF2-40B4-BE49-F238E27FC236}">
                  <a16:creationId xmlns:a16="http://schemas.microsoft.com/office/drawing/2014/main" id="{00000000-0008-0000-0700-00001A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</xdr:row>
          <xdr:rowOff>66675</xdr:rowOff>
        </xdr:from>
        <xdr:to>
          <xdr:col>21</xdr:col>
          <xdr:colOff>514350</xdr:colOff>
          <xdr:row>16</xdr:row>
          <xdr:rowOff>0</xdr:rowOff>
        </xdr:to>
        <xdr:sp macro="" textlink="">
          <xdr:nvSpPr>
            <xdr:cNvPr id="176156" name="TextBox2" hidden="1">
              <a:extLst>
                <a:ext uri="{63B3BB69-23CF-44E3-9099-C40C66FF867C}">
                  <a14:compatExt spid="_x0000_s176156"/>
                </a:ext>
                <a:ext uri="{FF2B5EF4-FFF2-40B4-BE49-F238E27FC236}">
                  <a16:creationId xmlns:a16="http://schemas.microsoft.com/office/drawing/2014/main" id="{00000000-0008-0000-0700-00001C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5</xdr:col>
      <xdr:colOff>285750</xdr:colOff>
      <xdr:row>0</xdr:row>
      <xdr:rowOff>76200</xdr:rowOff>
    </xdr:from>
    <xdr:to>
      <xdr:col>8</xdr:col>
      <xdr:colOff>272218</xdr:colOff>
      <xdr:row>2</xdr:row>
      <xdr:rowOff>148209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2419350" y="76200"/>
          <a:ext cx="1548568" cy="5577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176208" name="Group Box 80" hidden="1">
              <a:extLst>
                <a:ext uri="{63B3BB69-23CF-44E3-9099-C40C66FF867C}">
                  <a14:compatExt spid="_x0000_s176208"/>
                </a:ext>
                <a:ext uri="{FF2B5EF4-FFF2-40B4-BE49-F238E27FC236}">
                  <a16:creationId xmlns:a16="http://schemas.microsoft.com/office/drawing/2014/main" id="{00000000-0008-0000-0700-000050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11</xdr:row>
          <xdr:rowOff>19050</xdr:rowOff>
        </xdr:from>
        <xdr:to>
          <xdr:col>4</xdr:col>
          <xdr:colOff>219075</xdr:colOff>
          <xdr:row>11</xdr:row>
          <xdr:rowOff>228600</xdr:rowOff>
        </xdr:to>
        <xdr:sp macro="" textlink="">
          <xdr:nvSpPr>
            <xdr:cNvPr id="176209" name="Option Button 81" hidden="1">
              <a:extLst>
                <a:ext uri="{63B3BB69-23CF-44E3-9099-C40C66FF867C}">
                  <a14:compatExt spid="_x0000_s176209"/>
                </a:ext>
                <a:ext uri="{FF2B5EF4-FFF2-40B4-BE49-F238E27FC236}">
                  <a16:creationId xmlns:a16="http://schemas.microsoft.com/office/drawing/2014/main" id="{00000000-0008-0000-0700-000051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11</xdr:row>
          <xdr:rowOff>19050</xdr:rowOff>
        </xdr:from>
        <xdr:to>
          <xdr:col>5</xdr:col>
          <xdr:colOff>361950</xdr:colOff>
          <xdr:row>11</xdr:row>
          <xdr:rowOff>228600</xdr:rowOff>
        </xdr:to>
        <xdr:sp macro="" textlink="">
          <xdr:nvSpPr>
            <xdr:cNvPr id="176210" name="Option Button 82" hidden="1">
              <a:extLst>
                <a:ext uri="{63B3BB69-23CF-44E3-9099-C40C66FF867C}">
                  <a14:compatExt spid="_x0000_s176210"/>
                </a:ext>
                <a:ext uri="{FF2B5EF4-FFF2-40B4-BE49-F238E27FC236}">
                  <a16:creationId xmlns:a16="http://schemas.microsoft.com/office/drawing/2014/main" id="{00000000-0008-0000-0700-000052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76274" name="Group Box 146" hidden="1">
              <a:extLst>
                <a:ext uri="{63B3BB69-23CF-44E3-9099-C40C66FF867C}">
                  <a14:compatExt spid="_x0000_s176274"/>
                </a:ext>
                <a:ext uri="{FF2B5EF4-FFF2-40B4-BE49-F238E27FC236}">
                  <a16:creationId xmlns:a16="http://schemas.microsoft.com/office/drawing/2014/main" id="{00000000-0008-0000-0700-000092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11</xdr:row>
          <xdr:rowOff>19050</xdr:rowOff>
        </xdr:from>
        <xdr:to>
          <xdr:col>9</xdr:col>
          <xdr:colOff>219075</xdr:colOff>
          <xdr:row>11</xdr:row>
          <xdr:rowOff>228600</xdr:rowOff>
        </xdr:to>
        <xdr:sp macro="" textlink="">
          <xdr:nvSpPr>
            <xdr:cNvPr id="176275" name="Option Button 147" hidden="1">
              <a:extLst>
                <a:ext uri="{63B3BB69-23CF-44E3-9099-C40C66FF867C}">
                  <a14:compatExt spid="_x0000_s176275"/>
                </a:ext>
                <a:ext uri="{FF2B5EF4-FFF2-40B4-BE49-F238E27FC236}">
                  <a16:creationId xmlns:a16="http://schemas.microsoft.com/office/drawing/2014/main" id="{00000000-0008-0000-0700-000093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11</xdr:row>
          <xdr:rowOff>19050</xdr:rowOff>
        </xdr:from>
        <xdr:to>
          <xdr:col>10</xdr:col>
          <xdr:colOff>361950</xdr:colOff>
          <xdr:row>11</xdr:row>
          <xdr:rowOff>228600</xdr:rowOff>
        </xdr:to>
        <xdr:sp macro="" textlink="">
          <xdr:nvSpPr>
            <xdr:cNvPr id="176276" name="Option Button 148" hidden="1">
              <a:extLst>
                <a:ext uri="{63B3BB69-23CF-44E3-9099-C40C66FF867C}">
                  <a14:compatExt spid="_x0000_s176276"/>
                </a:ext>
                <a:ext uri="{FF2B5EF4-FFF2-40B4-BE49-F238E27FC236}">
                  <a16:creationId xmlns:a16="http://schemas.microsoft.com/office/drawing/2014/main" id="{00000000-0008-0000-0700-000094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176277" name="Group Box 149" hidden="1">
              <a:extLst>
                <a:ext uri="{63B3BB69-23CF-44E3-9099-C40C66FF867C}">
                  <a14:compatExt spid="_x0000_s176277"/>
                </a:ext>
                <a:ext uri="{FF2B5EF4-FFF2-40B4-BE49-F238E27FC236}">
                  <a16:creationId xmlns:a16="http://schemas.microsoft.com/office/drawing/2014/main" id="{00000000-0008-0000-0700-000095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19</xdr:row>
          <xdr:rowOff>19050</xdr:rowOff>
        </xdr:from>
        <xdr:to>
          <xdr:col>4</xdr:col>
          <xdr:colOff>219075</xdr:colOff>
          <xdr:row>19</xdr:row>
          <xdr:rowOff>228600</xdr:rowOff>
        </xdr:to>
        <xdr:sp macro="" textlink="">
          <xdr:nvSpPr>
            <xdr:cNvPr id="176278" name="Option Button 150" hidden="1">
              <a:extLst>
                <a:ext uri="{63B3BB69-23CF-44E3-9099-C40C66FF867C}">
                  <a14:compatExt spid="_x0000_s176278"/>
                </a:ext>
                <a:ext uri="{FF2B5EF4-FFF2-40B4-BE49-F238E27FC236}">
                  <a16:creationId xmlns:a16="http://schemas.microsoft.com/office/drawing/2014/main" id="{00000000-0008-0000-0700-000096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19</xdr:row>
          <xdr:rowOff>19050</xdr:rowOff>
        </xdr:from>
        <xdr:to>
          <xdr:col>5</xdr:col>
          <xdr:colOff>361950</xdr:colOff>
          <xdr:row>19</xdr:row>
          <xdr:rowOff>228600</xdr:rowOff>
        </xdr:to>
        <xdr:sp macro="" textlink="">
          <xdr:nvSpPr>
            <xdr:cNvPr id="176279" name="Option Button 151" hidden="1">
              <a:extLst>
                <a:ext uri="{63B3BB69-23CF-44E3-9099-C40C66FF867C}">
                  <a14:compatExt spid="_x0000_s176279"/>
                </a:ext>
                <a:ext uri="{FF2B5EF4-FFF2-40B4-BE49-F238E27FC236}">
                  <a16:creationId xmlns:a16="http://schemas.microsoft.com/office/drawing/2014/main" id="{00000000-0008-0000-0700-000097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176280" name="Group Box 152" hidden="1">
              <a:extLst>
                <a:ext uri="{63B3BB69-23CF-44E3-9099-C40C66FF867C}">
                  <a14:compatExt spid="_x0000_s176280"/>
                </a:ext>
                <a:ext uri="{FF2B5EF4-FFF2-40B4-BE49-F238E27FC236}">
                  <a16:creationId xmlns:a16="http://schemas.microsoft.com/office/drawing/2014/main" id="{00000000-0008-0000-0700-000098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19</xdr:row>
          <xdr:rowOff>19050</xdr:rowOff>
        </xdr:from>
        <xdr:to>
          <xdr:col>9</xdr:col>
          <xdr:colOff>219075</xdr:colOff>
          <xdr:row>19</xdr:row>
          <xdr:rowOff>228600</xdr:rowOff>
        </xdr:to>
        <xdr:sp macro="" textlink="">
          <xdr:nvSpPr>
            <xdr:cNvPr id="176281" name="Option Button 153" hidden="1">
              <a:extLst>
                <a:ext uri="{63B3BB69-23CF-44E3-9099-C40C66FF867C}">
                  <a14:compatExt spid="_x0000_s176281"/>
                </a:ext>
                <a:ext uri="{FF2B5EF4-FFF2-40B4-BE49-F238E27FC236}">
                  <a16:creationId xmlns:a16="http://schemas.microsoft.com/office/drawing/2014/main" id="{00000000-0008-0000-0700-000099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19</xdr:row>
          <xdr:rowOff>19050</xdr:rowOff>
        </xdr:from>
        <xdr:to>
          <xdr:col>10</xdr:col>
          <xdr:colOff>361950</xdr:colOff>
          <xdr:row>19</xdr:row>
          <xdr:rowOff>228600</xdr:rowOff>
        </xdr:to>
        <xdr:sp macro="" textlink="">
          <xdr:nvSpPr>
            <xdr:cNvPr id="176282" name="Option Button 154" hidden="1">
              <a:extLst>
                <a:ext uri="{63B3BB69-23CF-44E3-9099-C40C66FF867C}">
                  <a14:compatExt spid="_x0000_s176282"/>
                </a:ext>
                <a:ext uri="{FF2B5EF4-FFF2-40B4-BE49-F238E27FC236}">
                  <a16:creationId xmlns:a16="http://schemas.microsoft.com/office/drawing/2014/main" id="{00000000-0008-0000-0700-00009A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176283" name="Group Box 155" hidden="1">
              <a:extLst>
                <a:ext uri="{63B3BB69-23CF-44E3-9099-C40C66FF867C}">
                  <a14:compatExt spid="_x0000_s176283"/>
                </a:ext>
                <a:ext uri="{FF2B5EF4-FFF2-40B4-BE49-F238E27FC236}">
                  <a16:creationId xmlns:a16="http://schemas.microsoft.com/office/drawing/2014/main" id="{00000000-0008-0000-0700-00009B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27</xdr:row>
          <xdr:rowOff>19050</xdr:rowOff>
        </xdr:from>
        <xdr:to>
          <xdr:col>4</xdr:col>
          <xdr:colOff>219075</xdr:colOff>
          <xdr:row>27</xdr:row>
          <xdr:rowOff>228600</xdr:rowOff>
        </xdr:to>
        <xdr:sp macro="" textlink="">
          <xdr:nvSpPr>
            <xdr:cNvPr id="176284" name="Option Button 156" hidden="1">
              <a:extLst>
                <a:ext uri="{63B3BB69-23CF-44E3-9099-C40C66FF867C}">
                  <a14:compatExt spid="_x0000_s176284"/>
                </a:ext>
                <a:ext uri="{FF2B5EF4-FFF2-40B4-BE49-F238E27FC236}">
                  <a16:creationId xmlns:a16="http://schemas.microsoft.com/office/drawing/2014/main" id="{00000000-0008-0000-0700-00009C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27</xdr:row>
          <xdr:rowOff>19050</xdr:rowOff>
        </xdr:from>
        <xdr:to>
          <xdr:col>5</xdr:col>
          <xdr:colOff>361950</xdr:colOff>
          <xdr:row>27</xdr:row>
          <xdr:rowOff>228600</xdr:rowOff>
        </xdr:to>
        <xdr:sp macro="" textlink="">
          <xdr:nvSpPr>
            <xdr:cNvPr id="176285" name="Option Button 157" hidden="1">
              <a:extLst>
                <a:ext uri="{63B3BB69-23CF-44E3-9099-C40C66FF867C}">
                  <a14:compatExt spid="_x0000_s176285"/>
                </a:ext>
                <a:ext uri="{FF2B5EF4-FFF2-40B4-BE49-F238E27FC236}">
                  <a16:creationId xmlns:a16="http://schemas.microsoft.com/office/drawing/2014/main" id="{00000000-0008-0000-0700-00009D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176286" name="Group Box 158" hidden="1">
              <a:extLst>
                <a:ext uri="{63B3BB69-23CF-44E3-9099-C40C66FF867C}">
                  <a14:compatExt spid="_x0000_s176286"/>
                </a:ext>
                <a:ext uri="{FF2B5EF4-FFF2-40B4-BE49-F238E27FC236}">
                  <a16:creationId xmlns:a16="http://schemas.microsoft.com/office/drawing/2014/main" id="{00000000-0008-0000-0700-00009E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27</xdr:row>
          <xdr:rowOff>19050</xdr:rowOff>
        </xdr:from>
        <xdr:to>
          <xdr:col>9</xdr:col>
          <xdr:colOff>219075</xdr:colOff>
          <xdr:row>27</xdr:row>
          <xdr:rowOff>228600</xdr:rowOff>
        </xdr:to>
        <xdr:sp macro="" textlink="">
          <xdr:nvSpPr>
            <xdr:cNvPr id="176287" name="Option Button 159" hidden="1">
              <a:extLst>
                <a:ext uri="{63B3BB69-23CF-44E3-9099-C40C66FF867C}">
                  <a14:compatExt spid="_x0000_s176287"/>
                </a:ext>
                <a:ext uri="{FF2B5EF4-FFF2-40B4-BE49-F238E27FC236}">
                  <a16:creationId xmlns:a16="http://schemas.microsoft.com/office/drawing/2014/main" id="{00000000-0008-0000-0700-00009F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27</xdr:row>
          <xdr:rowOff>19050</xdr:rowOff>
        </xdr:from>
        <xdr:to>
          <xdr:col>10</xdr:col>
          <xdr:colOff>361950</xdr:colOff>
          <xdr:row>27</xdr:row>
          <xdr:rowOff>228600</xdr:rowOff>
        </xdr:to>
        <xdr:sp macro="" textlink="">
          <xdr:nvSpPr>
            <xdr:cNvPr id="176288" name="Option Button 160" hidden="1">
              <a:extLst>
                <a:ext uri="{63B3BB69-23CF-44E3-9099-C40C66FF867C}">
                  <a14:compatExt spid="_x0000_s176288"/>
                </a:ext>
                <a:ext uri="{FF2B5EF4-FFF2-40B4-BE49-F238E27FC236}">
                  <a16:creationId xmlns:a16="http://schemas.microsoft.com/office/drawing/2014/main" id="{00000000-0008-0000-0700-0000A0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76289" name="Group Box 161" hidden="1">
              <a:extLst>
                <a:ext uri="{63B3BB69-23CF-44E3-9099-C40C66FF867C}">
                  <a14:compatExt spid="_x0000_s176289"/>
                </a:ext>
                <a:ext uri="{FF2B5EF4-FFF2-40B4-BE49-F238E27FC236}">
                  <a16:creationId xmlns:a16="http://schemas.microsoft.com/office/drawing/2014/main" id="{00000000-0008-0000-0700-0000A1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35</xdr:row>
          <xdr:rowOff>19050</xdr:rowOff>
        </xdr:from>
        <xdr:to>
          <xdr:col>4</xdr:col>
          <xdr:colOff>219075</xdr:colOff>
          <xdr:row>35</xdr:row>
          <xdr:rowOff>228600</xdr:rowOff>
        </xdr:to>
        <xdr:sp macro="" textlink="">
          <xdr:nvSpPr>
            <xdr:cNvPr id="176290" name="Option Button 162" hidden="1">
              <a:extLst>
                <a:ext uri="{63B3BB69-23CF-44E3-9099-C40C66FF867C}">
                  <a14:compatExt spid="_x0000_s176290"/>
                </a:ext>
                <a:ext uri="{FF2B5EF4-FFF2-40B4-BE49-F238E27FC236}">
                  <a16:creationId xmlns:a16="http://schemas.microsoft.com/office/drawing/2014/main" id="{00000000-0008-0000-0700-0000A2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35</xdr:row>
          <xdr:rowOff>19050</xdr:rowOff>
        </xdr:from>
        <xdr:to>
          <xdr:col>5</xdr:col>
          <xdr:colOff>361950</xdr:colOff>
          <xdr:row>35</xdr:row>
          <xdr:rowOff>228600</xdr:rowOff>
        </xdr:to>
        <xdr:sp macro="" textlink="">
          <xdr:nvSpPr>
            <xdr:cNvPr id="176291" name="Option Button 163" hidden="1">
              <a:extLst>
                <a:ext uri="{63B3BB69-23CF-44E3-9099-C40C66FF867C}">
                  <a14:compatExt spid="_x0000_s176291"/>
                </a:ext>
                <a:ext uri="{FF2B5EF4-FFF2-40B4-BE49-F238E27FC236}">
                  <a16:creationId xmlns:a16="http://schemas.microsoft.com/office/drawing/2014/main" id="{00000000-0008-0000-0700-0000A3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176292" name="Group Box 164" hidden="1">
              <a:extLst>
                <a:ext uri="{63B3BB69-23CF-44E3-9099-C40C66FF867C}">
                  <a14:compatExt spid="_x0000_s176292"/>
                </a:ext>
                <a:ext uri="{FF2B5EF4-FFF2-40B4-BE49-F238E27FC236}">
                  <a16:creationId xmlns:a16="http://schemas.microsoft.com/office/drawing/2014/main" id="{00000000-0008-0000-0700-0000A4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35</xdr:row>
          <xdr:rowOff>19050</xdr:rowOff>
        </xdr:from>
        <xdr:to>
          <xdr:col>9</xdr:col>
          <xdr:colOff>219075</xdr:colOff>
          <xdr:row>35</xdr:row>
          <xdr:rowOff>228600</xdr:rowOff>
        </xdr:to>
        <xdr:sp macro="" textlink="">
          <xdr:nvSpPr>
            <xdr:cNvPr id="176293" name="Option Button 165" hidden="1">
              <a:extLst>
                <a:ext uri="{63B3BB69-23CF-44E3-9099-C40C66FF867C}">
                  <a14:compatExt spid="_x0000_s176293"/>
                </a:ext>
                <a:ext uri="{FF2B5EF4-FFF2-40B4-BE49-F238E27FC236}">
                  <a16:creationId xmlns:a16="http://schemas.microsoft.com/office/drawing/2014/main" id="{00000000-0008-0000-0700-0000A5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35</xdr:row>
          <xdr:rowOff>19050</xdr:rowOff>
        </xdr:from>
        <xdr:to>
          <xdr:col>10</xdr:col>
          <xdr:colOff>361950</xdr:colOff>
          <xdr:row>35</xdr:row>
          <xdr:rowOff>228600</xdr:rowOff>
        </xdr:to>
        <xdr:sp macro="" textlink="">
          <xdr:nvSpPr>
            <xdr:cNvPr id="176294" name="Option Button 166" hidden="1">
              <a:extLst>
                <a:ext uri="{63B3BB69-23CF-44E3-9099-C40C66FF867C}">
                  <a14:compatExt spid="_x0000_s176294"/>
                </a:ext>
                <a:ext uri="{FF2B5EF4-FFF2-40B4-BE49-F238E27FC236}">
                  <a16:creationId xmlns:a16="http://schemas.microsoft.com/office/drawing/2014/main" id="{00000000-0008-0000-0700-0000A6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176295" name="Group Box 167" hidden="1">
              <a:extLst>
                <a:ext uri="{63B3BB69-23CF-44E3-9099-C40C66FF867C}">
                  <a14:compatExt spid="_x0000_s176295"/>
                </a:ext>
                <a:ext uri="{FF2B5EF4-FFF2-40B4-BE49-F238E27FC236}">
                  <a16:creationId xmlns:a16="http://schemas.microsoft.com/office/drawing/2014/main" id="{00000000-0008-0000-0700-0000A7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43</xdr:row>
          <xdr:rowOff>19050</xdr:rowOff>
        </xdr:from>
        <xdr:to>
          <xdr:col>4</xdr:col>
          <xdr:colOff>219075</xdr:colOff>
          <xdr:row>43</xdr:row>
          <xdr:rowOff>228600</xdr:rowOff>
        </xdr:to>
        <xdr:sp macro="" textlink="">
          <xdr:nvSpPr>
            <xdr:cNvPr id="176296" name="Option Button 168" hidden="1">
              <a:extLst>
                <a:ext uri="{63B3BB69-23CF-44E3-9099-C40C66FF867C}">
                  <a14:compatExt spid="_x0000_s176296"/>
                </a:ext>
                <a:ext uri="{FF2B5EF4-FFF2-40B4-BE49-F238E27FC236}">
                  <a16:creationId xmlns:a16="http://schemas.microsoft.com/office/drawing/2014/main" id="{00000000-0008-0000-0700-0000A8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43</xdr:row>
          <xdr:rowOff>19050</xdr:rowOff>
        </xdr:from>
        <xdr:to>
          <xdr:col>5</xdr:col>
          <xdr:colOff>361950</xdr:colOff>
          <xdr:row>43</xdr:row>
          <xdr:rowOff>228600</xdr:rowOff>
        </xdr:to>
        <xdr:sp macro="" textlink="">
          <xdr:nvSpPr>
            <xdr:cNvPr id="176297" name="Option Button 169" hidden="1">
              <a:extLst>
                <a:ext uri="{63B3BB69-23CF-44E3-9099-C40C66FF867C}">
                  <a14:compatExt spid="_x0000_s176297"/>
                </a:ext>
                <a:ext uri="{FF2B5EF4-FFF2-40B4-BE49-F238E27FC236}">
                  <a16:creationId xmlns:a16="http://schemas.microsoft.com/office/drawing/2014/main" id="{00000000-0008-0000-0700-0000A9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176298" name="Group Box 170" hidden="1">
              <a:extLst>
                <a:ext uri="{63B3BB69-23CF-44E3-9099-C40C66FF867C}">
                  <a14:compatExt spid="_x0000_s176298"/>
                </a:ext>
                <a:ext uri="{FF2B5EF4-FFF2-40B4-BE49-F238E27FC236}">
                  <a16:creationId xmlns:a16="http://schemas.microsoft.com/office/drawing/2014/main" id="{00000000-0008-0000-0700-0000AA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43</xdr:row>
          <xdr:rowOff>19050</xdr:rowOff>
        </xdr:from>
        <xdr:to>
          <xdr:col>9</xdr:col>
          <xdr:colOff>219075</xdr:colOff>
          <xdr:row>43</xdr:row>
          <xdr:rowOff>228600</xdr:rowOff>
        </xdr:to>
        <xdr:sp macro="" textlink="">
          <xdr:nvSpPr>
            <xdr:cNvPr id="176299" name="Option Button 171" hidden="1">
              <a:extLst>
                <a:ext uri="{63B3BB69-23CF-44E3-9099-C40C66FF867C}">
                  <a14:compatExt spid="_x0000_s176299"/>
                </a:ext>
                <a:ext uri="{FF2B5EF4-FFF2-40B4-BE49-F238E27FC236}">
                  <a16:creationId xmlns:a16="http://schemas.microsoft.com/office/drawing/2014/main" id="{00000000-0008-0000-0700-0000AB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43</xdr:row>
          <xdr:rowOff>19050</xdr:rowOff>
        </xdr:from>
        <xdr:to>
          <xdr:col>10</xdr:col>
          <xdr:colOff>361950</xdr:colOff>
          <xdr:row>43</xdr:row>
          <xdr:rowOff>228600</xdr:rowOff>
        </xdr:to>
        <xdr:sp macro="" textlink="">
          <xdr:nvSpPr>
            <xdr:cNvPr id="176300" name="Option Button 172" hidden="1">
              <a:extLst>
                <a:ext uri="{63B3BB69-23CF-44E3-9099-C40C66FF867C}">
                  <a14:compatExt spid="_x0000_s176300"/>
                </a:ext>
                <a:ext uri="{FF2B5EF4-FFF2-40B4-BE49-F238E27FC236}">
                  <a16:creationId xmlns:a16="http://schemas.microsoft.com/office/drawing/2014/main" id="{00000000-0008-0000-0700-0000AC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114300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176301" name="Group Box 173" hidden="1">
              <a:extLst>
                <a:ext uri="{63B3BB69-23CF-44E3-9099-C40C66FF867C}">
                  <a14:compatExt spid="_x0000_s176301"/>
                </a:ext>
                <a:ext uri="{FF2B5EF4-FFF2-40B4-BE49-F238E27FC236}">
                  <a16:creationId xmlns:a16="http://schemas.microsoft.com/office/drawing/2014/main" id="{00000000-0008-0000-0700-0000AD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25</xdr:row>
          <xdr:rowOff>19050</xdr:rowOff>
        </xdr:from>
        <xdr:to>
          <xdr:col>16</xdr:col>
          <xdr:colOff>142875</xdr:colOff>
          <xdr:row>25</xdr:row>
          <xdr:rowOff>228600</xdr:rowOff>
        </xdr:to>
        <xdr:sp macro="" textlink="">
          <xdr:nvSpPr>
            <xdr:cNvPr id="176302" name="Option Button 174" hidden="1">
              <a:extLst>
                <a:ext uri="{63B3BB69-23CF-44E3-9099-C40C66FF867C}">
                  <a14:compatExt spid="_x0000_s176302"/>
                </a:ext>
                <a:ext uri="{FF2B5EF4-FFF2-40B4-BE49-F238E27FC236}">
                  <a16:creationId xmlns:a16="http://schemas.microsoft.com/office/drawing/2014/main" id="{00000000-0008-0000-0700-0000AE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133350</xdr:colOff>
          <xdr:row>25</xdr:row>
          <xdr:rowOff>19050</xdr:rowOff>
        </xdr:from>
        <xdr:to>
          <xdr:col>16</xdr:col>
          <xdr:colOff>571500</xdr:colOff>
          <xdr:row>25</xdr:row>
          <xdr:rowOff>228600</xdr:rowOff>
        </xdr:to>
        <xdr:sp macro="" textlink="">
          <xdr:nvSpPr>
            <xdr:cNvPr id="176303" name="Option Button 175" hidden="1">
              <a:extLst>
                <a:ext uri="{63B3BB69-23CF-44E3-9099-C40C66FF867C}">
                  <a14:compatExt spid="_x0000_s176303"/>
                </a:ext>
                <a:ext uri="{FF2B5EF4-FFF2-40B4-BE49-F238E27FC236}">
                  <a16:creationId xmlns:a16="http://schemas.microsoft.com/office/drawing/2014/main" id="{00000000-0008-0000-0700-0000AF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25</xdr:row>
          <xdr:rowOff>0</xdr:rowOff>
        </xdr:from>
        <xdr:to>
          <xdr:col>22</xdr:col>
          <xdr:colOff>0</xdr:colOff>
          <xdr:row>26</xdr:row>
          <xdr:rowOff>0</xdr:rowOff>
        </xdr:to>
        <xdr:sp macro="" textlink="">
          <xdr:nvSpPr>
            <xdr:cNvPr id="176304" name="Group Box 176" hidden="1">
              <a:extLst>
                <a:ext uri="{63B3BB69-23CF-44E3-9099-C40C66FF867C}">
                  <a14:compatExt spid="_x0000_s176304"/>
                </a:ext>
                <a:ext uri="{FF2B5EF4-FFF2-40B4-BE49-F238E27FC236}">
                  <a16:creationId xmlns:a16="http://schemas.microsoft.com/office/drawing/2014/main" id="{00000000-0008-0000-0700-0000B0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171450</xdr:colOff>
          <xdr:row>25</xdr:row>
          <xdr:rowOff>19050</xdr:rowOff>
        </xdr:from>
        <xdr:to>
          <xdr:col>21</xdr:col>
          <xdr:colOff>142875</xdr:colOff>
          <xdr:row>25</xdr:row>
          <xdr:rowOff>228600</xdr:rowOff>
        </xdr:to>
        <xdr:sp macro="" textlink="">
          <xdr:nvSpPr>
            <xdr:cNvPr id="176305" name="Option Button 177" hidden="1">
              <a:extLst>
                <a:ext uri="{63B3BB69-23CF-44E3-9099-C40C66FF867C}">
                  <a14:compatExt spid="_x0000_s176305"/>
                </a:ext>
                <a:ext uri="{FF2B5EF4-FFF2-40B4-BE49-F238E27FC236}">
                  <a16:creationId xmlns:a16="http://schemas.microsoft.com/office/drawing/2014/main" id="{00000000-0008-0000-0700-0000B1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133350</xdr:colOff>
          <xdr:row>25</xdr:row>
          <xdr:rowOff>19050</xdr:rowOff>
        </xdr:from>
        <xdr:to>
          <xdr:col>21</xdr:col>
          <xdr:colOff>571500</xdr:colOff>
          <xdr:row>25</xdr:row>
          <xdr:rowOff>228600</xdr:rowOff>
        </xdr:to>
        <xdr:sp macro="" textlink="">
          <xdr:nvSpPr>
            <xdr:cNvPr id="176306" name="Option Button 178" hidden="1">
              <a:extLst>
                <a:ext uri="{63B3BB69-23CF-44E3-9099-C40C66FF867C}">
                  <a14:compatExt spid="_x0000_s176306"/>
                </a:ext>
                <a:ext uri="{FF2B5EF4-FFF2-40B4-BE49-F238E27FC236}">
                  <a16:creationId xmlns:a16="http://schemas.microsoft.com/office/drawing/2014/main" id="{00000000-0008-0000-0700-0000B2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114300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176307" name="Group Box 179" hidden="1">
              <a:extLst>
                <a:ext uri="{63B3BB69-23CF-44E3-9099-C40C66FF867C}">
                  <a14:compatExt spid="_x0000_s176307"/>
                </a:ext>
                <a:ext uri="{FF2B5EF4-FFF2-40B4-BE49-F238E27FC236}">
                  <a16:creationId xmlns:a16="http://schemas.microsoft.com/office/drawing/2014/main" id="{00000000-0008-0000-0700-0000B3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35</xdr:row>
          <xdr:rowOff>19050</xdr:rowOff>
        </xdr:from>
        <xdr:to>
          <xdr:col>16</xdr:col>
          <xdr:colOff>142875</xdr:colOff>
          <xdr:row>35</xdr:row>
          <xdr:rowOff>228600</xdr:rowOff>
        </xdr:to>
        <xdr:sp macro="" textlink="">
          <xdr:nvSpPr>
            <xdr:cNvPr id="176308" name="Option Button 180" hidden="1">
              <a:extLst>
                <a:ext uri="{63B3BB69-23CF-44E3-9099-C40C66FF867C}">
                  <a14:compatExt spid="_x0000_s176308"/>
                </a:ext>
                <a:ext uri="{FF2B5EF4-FFF2-40B4-BE49-F238E27FC236}">
                  <a16:creationId xmlns:a16="http://schemas.microsoft.com/office/drawing/2014/main" id="{00000000-0008-0000-0700-0000B4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133350</xdr:colOff>
          <xdr:row>35</xdr:row>
          <xdr:rowOff>19050</xdr:rowOff>
        </xdr:from>
        <xdr:to>
          <xdr:col>16</xdr:col>
          <xdr:colOff>571500</xdr:colOff>
          <xdr:row>35</xdr:row>
          <xdr:rowOff>228600</xdr:rowOff>
        </xdr:to>
        <xdr:sp macro="" textlink="">
          <xdr:nvSpPr>
            <xdr:cNvPr id="176309" name="Option Button 181" hidden="1">
              <a:extLst>
                <a:ext uri="{63B3BB69-23CF-44E3-9099-C40C66FF867C}">
                  <a14:compatExt spid="_x0000_s176309"/>
                </a:ext>
                <a:ext uri="{FF2B5EF4-FFF2-40B4-BE49-F238E27FC236}">
                  <a16:creationId xmlns:a16="http://schemas.microsoft.com/office/drawing/2014/main" id="{00000000-0008-0000-0700-0000B5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35</xdr:row>
          <xdr:rowOff>0</xdr:rowOff>
        </xdr:from>
        <xdr:to>
          <xdr:col>22</xdr:col>
          <xdr:colOff>0</xdr:colOff>
          <xdr:row>36</xdr:row>
          <xdr:rowOff>0</xdr:rowOff>
        </xdr:to>
        <xdr:sp macro="" textlink="">
          <xdr:nvSpPr>
            <xdr:cNvPr id="176310" name="Group Box 182" hidden="1">
              <a:extLst>
                <a:ext uri="{63B3BB69-23CF-44E3-9099-C40C66FF867C}">
                  <a14:compatExt spid="_x0000_s176310"/>
                </a:ext>
                <a:ext uri="{FF2B5EF4-FFF2-40B4-BE49-F238E27FC236}">
                  <a16:creationId xmlns:a16="http://schemas.microsoft.com/office/drawing/2014/main" id="{00000000-0008-0000-0700-0000B6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171450</xdr:colOff>
          <xdr:row>35</xdr:row>
          <xdr:rowOff>19050</xdr:rowOff>
        </xdr:from>
        <xdr:to>
          <xdr:col>21</xdr:col>
          <xdr:colOff>142875</xdr:colOff>
          <xdr:row>35</xdr:row>
          <xdr:rowOff>228600</xdr:rowOff>
        </xdr:to>
        <xdr:sp macro="" textlink="">
          <xdr:nvSpPr>
            <xdr:cNvPr id="176311" name="Option Button 183" hidden="1">
              <a:extLst>
                <a:ext uri="{63B3BB69-23CF-44E3-9099-C40C66FF867C}">
                  <a14:compatExt spid="_x0000_s176311"/>
                </a:ext>
                <a:ext uri="{FF2B5EF4-FFF2-40B4-BE49-F238E27FC236}">
                  <a16:creationId xmlns:a16="http://schemas.microsoft.com/office/drawing/2014/main" id="{00000000-0008-0000-0700-0000B7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Good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133350</xdr:colOff>
          <xdr:row>35</xdr:row>
          <xdr:rowOff>19050</xdr:rowOff>
        </xdr:from>
        <xdr:to>
          <xdr:col>21</xdr:col>
          <xdr:colOff>571500</xdr:colOff>
          <xdr:row>35</xdr:row>
          <xdr:rowOff>228600</xdr:rowOff>
        </xdr:to>
        <xdr:sp macro="" textlink="">
          <xdr:nvSpPr>
            <xdr:cNvPr id="176312" name="Option Button 184" hidden="1">
              <a:extLst>
                <a:ext uri="{63B3BB69-23CF-44E3-9099-C40C66FF867C}">
                  <a14:compatExt spid="_x0000_s176312"/>
                </a:ext>
                <a:ext uri="{FF2B5EF4-FFF2-40B4-BE49-F238E27FC236}">
                  <a16:creationId xmlns:a16="http://schemas.microsoft.com/office/drawing/2014/main" id="{00000000-0008-0000-0700-0000B8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37</xdr:row>
          <xdr:rowOff>19050</xdr:rowOff>
        </xdr:from>
        <xdr:to>
          <xdr:col>22</xdr:col>
          <xdr:colOff>66675</xdr:colOff>
          <xdr:row>44</xdr:row>
          <xdr:rowOff>28575</xdr:rowOff>
        </xdr:to>
        <xdr:sp macro="" textlink="">
          <xdr:nvSpPr>
            <xdr:cNvPr id="176313" name="TextBox1" hidden="1">
              <a:extLst>
                <a:ext uri="{63B3BB69-23CF-44E3-9099-C40C66FF867C}">
                  <a14:compatExt spid="_x0000_s176313"/>
                </a:ext>
                <a:ext uri="{FF2B5EF4-FFF2-40B4-BE49-F238E27FC236}">
                  <a16:creationId xmlns:a16="http://schemas.microsoft.com/office/drawing/2014/main" id="{00000000-0008-0000-0700-0000B9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</xdr:col>
      <xdr:colOff>104774</xdr:colOff>
      <xdr:row>0</xdr:row>
      <xdr:rowOff>92246</xdr:rowOff>
    </xdr:from>
    <xdr:to>
      <xdr:col>2</xdr:col>
      <xdr:colOff>352424</xdr:colOff>
      <xdr:row>1</xdr:row>
      <xdr:rowOff>277702</xdr:rowOff>
    </xdr:to>
    <xdr:sp macro="[0]!goto_mechanical" textlink="">
      <xdr:nvSpPr>
        <xdr:cNvPr id="55" name="Isosceles Triangle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>
        <a:xfrm rot="16200000">
          <a:off x="221596" y="89724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440055</xdr:colOff>
      <xdr:row>0</xdr:row>
      <xdr:rowOff>85725</xdr:rowOff>
    </xdr:from>
    <xdr:to>
      <xdr:col>4</xdr:col>
      <xdr:colOff>261578</xdr:colOff>
      <xdr:row>1</xdr:row>
      <xdr:rowOff>281178</xdr:rowOff>
    </xdr:to>
    <xdr:sp macro="[0]!goto_main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>
        <a:xfrm>
          <a:off x="687705" y="85725"/>
          <a:ext cx="1097873" cy="385953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4</xdr:col>
      <xdr:colOff>344601</xdr:colOff>
      <xdr:row>0</xdr:row>
      <xdr:rowOff>95384</xdr:rowOff>
    </xdr:from>
    <xdr:to>
      <xdr:col>5</xdr:col>
      <xdr:colOff>116001</xdr:colOff>
      <xdr:row>1</xdr:row>
      <xdr:rowOff>280840</xdr:rowOff>
    </xdr:to>
    <xdr:sp macro="[0]!goto_electrical" textlink="">
      <xdr:nvSpPr>
        <xdr:cNvPr id="57" name="Isosceles Triangle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>
        <a:xfrm rot="5400000">
          <a:off x="1871123" y="92862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44033" name="Drop Dow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190500</xdr:rowOff>
        </xdr:from>
        <xdr:to>
          <xdr:col>8</xdr:col>
          <xdr:colOff>657225</xdr:colOff>
          <xdr:row>16</xdr:row>
          <xdr:rowOff>0</xdr:rowOff>
        </xdr:to>
        <xdr:sp macro="" textlink="">
          <xdr:nvSpPr>
            <xdr:cNvPr id="44034" name="Drop Dow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9525</xdr:rowOff>
        </xdr:from>
        <xdr:to>
          <xdr:col>8</xdr:col>
          <xdr:colOff>571500</xdr:colOff>
          <xdr:row>8</xdr:row>
          <xdr:rowOff>0</xdr:rowOff>
        </xdr:to>
        <xdr:sp macro="" textlink="">
          <xdr:nvSpPr>
            <xdr:cNvPr id="44035" name="Drop Dow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5</xdr:col>
          <xdr:colOff>390525</xdr:colOff>
          <xdr:row>17</xdr:row>
          <xdr:rowOff>0</xdr:rowOff>
        </xdr:to>
        <xdr:sp macro="" textlink="">
          <xdr:nvSpPr>
            <xdr:cNvPr id="44036" name="Drop Dow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8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9</xdr:row>
          <xdr:rowOff>76200</xdr:rowOff>
        </xdr:from>
        <xdr:to>
          <xdr:col>5</xdr:col>
          <xdr:colOff>400050</xdr:colOff>
          <xdr:row>14</xdr:row>
          <xdr:rowOff>114300</xdr:rowOff>
        </xdr:to>
        <xdr:sp macro="" textlink="">
          <xdr:nvSpPr>
            <xdr:cNvPr id="44038" name="Group Box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8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9</xdr:row>
          <xdr:rowOff>66675</xdr:rowOff>
        </xdr:from>
        <xdr:to>
          <xdr:col>9</xdr:col>
          <xdr:colOff>495300</xdr:colOff>
          <xdr:row>16</xdr:row>
          <xdr:rowOff>66675</xdr:rowOff>
        </xdr:to>
        <xdr:sp macro="" textlink="">
          <xdr:nvSpPr>
            <xdr:cNvPr id="44039" name="Group Box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8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19</xdr:col>
          <xdr:colOff>523875</xdr:colOff>
          <xdr:row>25</xdr:row>
          <xdr:rowOff>104775</xdr:rowOff>
        </xdr:to>
        <xdr:sp macro="" textlink="">
          <xdr:nvSpPr>
            <xdr:cNvPr id="44040" name="TextBox1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8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17</xdr:row>
          <xdr:rowOff>171450</xdr:rowOff>
        </xdr:from>
        <xdr:to>
          <xdr:col>4</xdr:col>
          <xdr:colOff>514350</xdr:colOff>
          <xdr:row>19</xdr:row>
          <xdr:rowOff>76200</xdr:rowOff>
        </xdr:to>
        <xdr:sp macro="" textlink="">
          <xdr:nvSpPr>
            <xdr:cNvPr id="44041" name="Group Box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8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</xdr:row>
          <xdr:rowOff>219075</xdr:rowOff>
        </xdr:from>
        <xdr:to>
          <xdr:col>4</xdr:col>
          <xdr:colOff>495300</xdr:colOff>
          <xdr:row>19</xdr:row>
          <xdr:rowOff>47625</xdr:rowOff>
        </xdr:to>
        <xdr:sp macro="" textlink="">
          <xdr:nvSpPr>
            <xdr:cNvPr id="44042" name="Check Box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8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0</xdr:row>
      <xdr:rowOff>85726</xdr:rowOff>
    </xdr:from>
    <xdr:to>
      <xdr:col>7</xdr:col>
      <xdr:colOff>304800</xdr:colOff>
      <xdr:row>2</xdr:row>
      <xdr:rowOff>124965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2286000" y="85726"/>
          <a:ext cx="1457325" cy="5250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7</xdr:col>
          <xdr:colOff>657225</xdr:colOff>
          <xdr:row>25</xdr:row>
          <xdr:rowOff>0</xdr:rowOff>
        </xdr:to>
        <xdr:sp macro="" textlink="">
          <xdr:nvSpPr>
            <xdr:cNvPr id="44043" name="Drop Dow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8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9</xdr:col>
          <xdr:colOff>657225</xdr:colOff>
          <xdr:row>25</xdr:row>
          <xdr:rowOff>0</xdr:rowOff>
        </xdr:to>
        <xdr:sp macro="" textlink="">
          <xdr:nvSpPr>
            <xdr:cNvPr id="44044" name="Drop Dow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8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20</xdr:row>
          <xdr:rowOff>219075</xdr:rowOff>
        </xdr:from>
        <xdr:to>
          <xdr:col>6</xdr:col>
          <xdr:colOff>28575</xdr:colOff>
          <xdr:row>22</xdr:row>
          <xdr:rowOff>161925</xdr:rowOff>
        </xdr:to>
        <xdr:sp macro="" textlink="">
          <xdr:nvSpPr>
            <xdr:cNvPr id="44045" name="Check Box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8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Did heaters functionally operate? (If equipped)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95249</xdr:colOff>
      <xdr:row>0</xdr:row>
      <xdr:rowOff>92246</xdr:rowOff>
    </xdr:from>
    <xdr:to>
      <xdr:col>2</xdr:col>
      <xdr:colOff>19049</xdr:colOff>
      <xdr:row>1</xdr:row>
      <xdr:rowOff>277702</xdr:rowOff>
    </xdr:to>
    <xdr:sp macro="[0]!goto_mechanical2" textlink="">
      <xdr:nvSpPr>
        <xdr:cNvPr id="19" name="Isosceles Triangle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 rot="16200000">
          <a:off x="221596" y="89724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106680</xdr:colOff>
      <xdr:row>0</xdr:row>
      <xdr:rowOff>85725</xdr:rowOff>
    </xdr:from>
    <xdr:to>
      <xdr:col>4</xdr:col>
      <xdr:colOff>166328</xdr:colOff>
      <xdr:row>1</xdr:row>
      <xdr:rowOff>281178</xdr:rowOff>
    </xdr:to>
    <xdr:sp macro="[0]!goto_main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687705" y="85725"/>
          <a:ext cx="1097873" cy="385953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4</xdr:col>
      <xdr:colOff>249351</xdr:colOff>
      <xdr:row>0</xdr:row>
      <xdr:rowOff>95384</xdr:rowOff>
    </xdr:from>
    <xdr:to>
      <xdr:col>4</xdr:col>
      <xdr:colOff>630351</xdr:colOff>
      <xdr:row>1</xdr:row>
      <xdr:rowOff>280840</xdr:rowOff>
    </xdr:to>
    <xdr:sp macro="[0]!goto_required" textlink="">
      <xdr:nvSpPr>
        <xdr:cNvPr id="23" name="Isosceles Triangle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 rot="5400000">
          <a:off x="1871123" y="92862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12</xdr:row>
          <xdr:rowOff>19050</xdr:rowOff>
        </xdr:from>
        <xdr:to>
          <xdr:col>4</xdr:col>
          <xdr:colOff>2419350</xdr:colOff>
          <xdr:row>19</xdr:row>
          <xdr:rowOff>9525</xdr:rowOff>
        </xdr:to>
        <xdr:sp macro="" textlink="">
          <xdr:nvSpPr>
            <xdr:cNvPr id="35865" name="TextBox1" hidden="1">
              <a:extLst>
                <a:ext uri="{63B3BB69-23CF-44E3-9099-C40C66FF867C}">
                  <a14:compatExt spid="_x0000_s35865"/>
                </a:ext>
                <a:ext uri="{FF2B5EF4-FFF2-40B4-BE49-F238E27FC236}">
                  <a16:creationId xmlns:a16="http://schemas.microsoft.com/office/drawing/2014/main" id="{00000000-0008-0000-0900-00001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27</xdr:row>
          <xdr:rowOff>28575</xdr:rowOff>
        </xdr:from>
        <xdr:to>
          <xdr:col>4</xdr:col>
          <xdr:colOff>2419350</xdr:colOff>
          <xdr:row>33</xdr:row>
          <xdr:rowOff>180975</xdr:rowOff>
        </xdr:to>
        <xdr:sp macro="" textlink="">
          <xdr:nvSpPr>
            <xdr:cNvPr id="35867" name="TextBox2" hidden="1">
              <a:extLst>
                <a:ext uri="{63B3BB69-23CF-44E3-9099-C40C66FF867C}">
                  <a14:compatExt spid="_x0000_s35867"/>
                </a:ext>
                <a:ext uri="{FF2B5EF4-FFF2-40B4-BE49-F238E27FC236}">
                  <a16:creationId xmlns:a16="http://schemas.microsoft.com/office/drawing/2014/main" id="{00000000-0008-0000-0900-00001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26</xdr:row>
          <xdr:rowOff>28575</xdr:rowOff>
        </xdr:from>
        <xdr:to>
          <xdr:col>7</xdr:col>
          <xdr:colOff>2009775</xdr:colOff>
          <xdr:row>34</xdr:row>
          <xdr:rowOff>9525</xdr:rowOff>
        </xdr:to>
        <xdr:sp macro="" textlink="">
          <xdr:nvSpPr>
            <xdr:cNvPr id="35868" name="TextBox3" hidden="1">
              <a:extLst>
                <a:ext uri="{63B3BB69-23CF-44E3-9099-C40C66FF867C}">
                  <a14:compatExt spid="_x0000_s35868"/>
                </a:ext>
                <a:ext uri="{FF2B5EF4-FFF2-40B4-BE49-F238E27FC236}">
                  <a16:creationId xmlns:a16="http://schemas.microsoft.com/office/drawing/2014/main" id="{00000000-0008-0000-0900-00001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371466</xdr:colOff>
          <xdr:row>21</xdr:row>
          <xdr:rowOff>54770</xdr:rowOff>
        </xdr:from>
        <xdr:to>
          <xdr:col>4</xdr:col>
          <xdr:colOff>2438400</xdr:colOff>
          <xdr:row>26</xdr:row>
          <xdr:rowOff>16212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GrpSpPr/>
          </xdr:nvGrpSpPr>
          <xdr:grpSpPr>
            <a:xfrm>
              <a:off x="552441" y="4417220"/>
              <a:ext cx="5019684" cy="913942"/>
              <a:chOff x="552441" y="4350545"/>
              <a:chExt cx="5019684" cy="913942"/>
            </a:xfrm>
          </xdr:grpSpPr>
          <xdr:grpSp>
            <xdr:nvGrpSpPr>
              <xdr:cNvPr id="3" name="Group 2">
                <a:extLst>
                  <a:ext uri="{FF2B5EF4-FFF2-40B4-BE49-F238E27FC236}">
                    <a16:creationId xmlns:a16="http://schemas.microsoft.com/office/drawing/2014/main" id="{00000000-0008-0000-0900-000003000000}"/>
                  </a:ext>
                </a:extLst>
              </xdr:cNvPr>
              <xdr:cNvGrpSpPr/>
            </xdr:nvGrpSpPr>
            <xdr:grpSpPr>
              <a:xfrm>
                <a:off x="552441" y="4350545"/>
                <a:ext cx="4563623" cy="913942"/>
                <a:chOff x="6334574" y="1054895"/>
                <a:chExt cx="5758477" cy="928683"/>
              </a:xfrm>
            </xdr:grpSpPr>
            <xdr:sp macro="" textlink="">
              <xdr:nvSpPr>
                <xdr:cNvPr id="35854" name="Check Box 14" hidden="1">
                  <a:extLst>
                    <a:ext uri="{63B3BB69-23CF-44E3-9099-C40C66FF867C}">
                      <a14:compatExt spid="_x0000_s35854"/>
                    </a:ext>
                    <a:ext uri="{FF2B5EF4-FFF2-40B4-BE49-F238E27FC236}">
                      <a16:creationId xmlns:a16="http://schemas.microsoft.com/office/drawing/2014/main" id="{00000000-0008-0000-0900-00000E8C0000}"/>
                    </a:ext>
                  </a:extLst>
                </xdr:cNvPr>
                <xdr:cNvSpPr/>
              </xdr:nvSpPr>
              <xdr:spPr bwMode="auto">
                <a:xfrm>
                  <a:off x="6334574" y="1057275"/>
                  <a:ext cx="1371602" cy="2476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Repair IB Journal</a:t>
                  </a:r>
                </a:p>
              </xdr:txBody>
            </xdr:sp>
            <xdr:sp macro="" textlink="">
              <xdr:nvSpPr>
                <xdr:cNvPr id="35855" name="Check Box 15" hidden="1">
                  <a:extLst>
                    <a:ext uri="{63B3BB69-23CF-44E3-9099-C40C66FF867C}">
                      <a14:compatExt spid="_x0000_s35855"/>
                    </a:ext>
                    <a:ext uri="{FF2B5EF4-FFF2-40B4-BE49-F238E27FC236}">
                      <a16:creationId xmlns:a16="http://schemas.microsoft.com/office/drawing/2014/main" id="{00000000-0008-0000-0900-00000F8C0000}"/>
                    </a:ext>
                  </a:extLst>
                </xdr:cNvPr>
                <xdr:cNvSpPr/>
              </xdr:nvSpPr>
              <xdr:spPr bwMode="auto">
                <a:xfrm>
                  <a:off x="6334574" y="1283497"/>
                  <a:ext cx="1371602" cy="2476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Repair OB Journal</a:t>
                  </a:r>
                </a:p>
              </xdr:txBody>
            </xdr:sp>
            <xdr:sp macro="" textlink="">
              <xdr:nvSpPr>
                <xdr:cNvPr id="35856" name="Check Box 16" hidden="1">
                  <a:extLst>
                    <a:ext uri="{63B3BB69-23CF-44E3-9099-C40C66FF867C}">
                      <a14:compatExt spid="_x0000_s35856"/>
                    </a:ext>
                    <a:ext uri="{FF2B5EF4-FFF2-40B4-BE49-F238E27FC236}">
                      <a16:creationId xmlns:a16="http://schemas.microsoft.com/office/drawing/2014/main" id="{00000000-0008-0000-0900-0000108C0000}"/>
                    </a:ext>
                  </a:extLst>
                </xdr:cNvPr>
                <xdr:cNvSpPr/>
              </xdr:nvSpPr>
              <xdr:spPr bwMode="auto">
                <a:xfrm>
                  <a:off x="6334574" y="1500034"/>
                  <a:ext cx="1371602" cy="2476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Repair IB Housing</a:t>
                  </a:r>
                </a:p>
              </xdr:txBody>
            </xdr:sp>
            <xdr:sp macro="" textlink="">
              <xdr:nvSpPr>
                <xdr:cNvPr id="35857" name="Check Box 17" hidden="1">
                  <a:extLst>
                    <a:ext uri="{63B3BB69-23CF-44E3-9099-C40C66FF867C}">
                      <a14:compatExt spid="_x0000_s35857"/>
                    </a:ext>
                    <a:ext uri="{FF2B5EF4-FFF2-40B4-BE49-F238E27FC236}">
                      <a16:creationId xmlns:a16="http://schemas.microsoft.com/office/drawing/2014/main" id="{00000000-0008-0000-0900-0000118C0000}"/>
                    </a:ext>
                  </a:extLst>
                </xdr:cNvPr>
                <xdr:cNvSpPr/>
              </xdr:nvSpPr>
              <xdr:spPr bwMode="auto">
                <a:xfrm>
                  <a:off x="6334574" y="1735928"/>
                  <a:ext cx="1371602" cy="2476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Repair OB Housing</a:t>
                  </a:r>
                </a:p>
              </xdr:txBody>
            </xdr:sp>
            <xdr:sp macro="" textlink="">
              <xdr:nvSpPr>
                <xdr:cNvPr id="35858" name="Check Box 18" hidden="1">
                  <a:extLst>
                    <a:ext uri="{63B3BB69-23CF-44E3-9099-C40C66FF867C}">
                      <a14:compatExt spid="_x0000_s35858"/>
                    </a:ext>
                    <a:ext uri="{FF2B5EF4-FFF2-40B4-BE49-F238E27FC236}">
                      <a16:creationId xmlns:a16="http://schemas.microsoft.com/office/drawing/2014/main" id="{00000000-0008-0000-0900-0000128C0000}"/>
                    </a:ext>
                  </a:extLst>
                </xdr:cNvPr>
                <xdr:cNvSpPr/>
              </xdr:nvSpPr>
              <xdr:spPr bwMode="auto">
                <a:xfrm>
                  <a:off x="10721447" y="1058866"/>
                  <a:ext cx="1371604" cy="24766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Repair Shaft Extension</a:t>
                  </a:r>
                </a:p>
              </xdr:txBody>
            </xdr:sp>
            <xdr:sp macro="" textlink="">
              <xdr:nvSpPr>
                <xdr:cNvPr id="35859" name="Check Box 19" hidden="1">
                  <a:extLst>
                    <a:ext uri="{63B3BB69-23CF-44E3-9099-C40C66FF867C}">
                      <a14:compatExt spid="_x0000_s35859"/>
                    </a:ext>
                    <a:ext uri="{FF2B5EF4-FFF2-40B4-BE49-F238E27FC236}">
                      <a16:creationId xmlns:a16="http://schemas.microsoft.com/office/drawing/2014/main" id="{00000000-0008-0000-0900-0000138C0000}"/>
                    </a:ext>
                  </a:extLst>
                </xdr:cNvPr>
                <xdr:cNvSpPr/>
              </xdr:nvSpPr>
              <xdr:spPr bwMode="auto">
                <a:xfrm>
                  <a:off x="8517575" y="1054895"/>
                  <a:ext cx="1819274" cy="2476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Bore &amp; Broach New Coupling</a:t>
                  </a:r>
                </a:p>
              </xdr:txBody>
            </xdr:sp>
            <xdr:sp macro="" textlink="">
              <xdr:nvSpPr>
                <xdr:cNvPr id="35860" name="Check Box 20" hidden="1">
                  <a:extLst>
                    <a:ext uri="{63B3BB69-23CF-44E3-9099-C40C66FF867C}">
                      <a14:compatExt spid="_x0000_s35860"/>
                    </a:ext>
                    <a:ext uri="{FF2B5EF4-FFF2-40B4-BE49-F238E27FC236}">
                      <a16:creationId xmlns:a16="http://schemas.microsoft.com/office/drawing/2014/main" id="{00000000-0008-0000-0900-0000148C0000}"/>
                    </a:ext>
                  </a:extLst>
                </xdr:cNvPr>
                <xdr:cNvSpPr/>
              </xdr:nvSpPr>
              <xdr:spPr bwMode="auto">
                <a:xfrm>
                  <a:off x="8517568" y="1281114"/>
                  <a:ext cx="1371599" cy="2476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Replace Coupling Key</a:t>
                  </a:r>
                </a:p>
              </xdr:txBody>
            </xdr:sp>
            <xdr:sp macro="" textlink="">
              <xdr:nvSpPr>
                <xdr:cNvPr id="35861" name="Check Box 21" hidden="1">
                  <a:extLst>
                    <a:ext uri="{63B3BB69-23CF-44E3-9099-C40C66FF867C}">
                      <a14:compatExt spid="_x0000_s35861"/>
                    </a:ext>
                    <a:ext uri="{FF2B5EF4-FFF2-40B4-BE49-F238E27FC236}">
                      <a16:creationId xmlns:a16="http://schemas.microsoft.com/office/drawing/2014/main" id="{00000000-0008-0000-0900-0000158C0000}"/>
                    </a:ext>
                  </a:extLst>
                </xdr:cNvPr>
                <xdr:cNvSpPr/>
              </xdr:nvSpPr>
              <xdr:spPr bwMode="auto">
                <a:xfrm>
                  <a:off x="8517568" y="1507332"/>
                  <a:ext cx="1371599" cy="2476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Repair Seal Surface</a:t>
                  </a:r>
                </a:p>
              </xdr:txBody>
            </xdr:sp>
            <xdr:sp macro="" textlink="">
              <xdr:nvSpPr>
                <xdr:cNvPr id="35864" name="Check Box 24" hidden="1">
                  <a:extLst>
                    <a:ext uri="{63B3BB69-23CF-44E3-9099-C40C66FF867C}">
                      <a14:compatExt spid="_x0000_s35864"/>
                    </a:ext>
                    <a:ext uri="{FF2B5EF4-FFF2-40B4-BE49-F238E27FC236}">
                      <a16:creationId xmlns:a16="http://schemas.microsoft.com/office/drawing/2014/main" id="{00000000-0008-0000-0900-0000188C0000}"/>
                    </a:ext>
                  </a:extLst>
                </xdr:cNvPr>
                <xdr:cNvSpPr/>
              </xdr:nvSpPr>
              <xdr:spPr bwMode="auto">
                <a:xfrm>
                  <a:off x="8517568" y="1733551"/>
                  <a:ext cx="1371599" cy="2476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Machine/Bore Fan</a:t>
                  </a:r>
                </a:p>
              </xdr:txBody>
            </xdr:sp>
          </xdr:grpSp>
          <xdr:sp macro="" textlink="">
            <xdr:nvSpPr>
              <xdr:cNvPr id="35871" name="Check Box 31" hidden="1">
                <a:extLst>
                  <a:ext uri="{63B3BB69-23CF-44E3-9099-C40C66FF867C}">
                    <a14:compatExt spid="_x0000_s35871"/>
                  </a:ext>
                  <a:ext uri="{FF2B5EF4-FFF2-40B4-BE49-F238E27FC236}">
                    <a16:creationId xmlns:a16="http://schemas.microsoft.com/office/drawing/2014/main" id="{00000000-0008-0000-0900-00001F8C0000}"/>
                  </a:ext>
                </a:extLst>
              </xdr:cNvPr>
              <xdr:cNvSpPr/>
            </xdr:nvSpPr>
            <xdr:spPr bwMode="auto">
              <a:xfrm>
                <a:off x="4029075" y="4781550"/>
                <a:ext cx="1543050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Cut Face True</a:t>
                </a:r>
              </a:p>
            </xdr:txBody>
          </xdr:sp>
          <xdr:sp macro="" textlink="">
            <xdr:nvSpPr>
              <xdr:cNvPr id="35873" name="Check Box 33" hidden="1">
                <a:extLst>
                  <a:ext uri="{63B3BB69-23CF-44E3-9099-C40C66FF867C}">
                    <a14:compatExt spid="_x0000_s35873"/>
                  </a:ext>
                  <a:ext uri="{FF2B5EF4-FFF2-40B4-BE49-F238E27FC236}">
                    <a16:creationId xmlns:a16="http://schemas.microsoft.com/office/drawing/2014/main" id="{00000000-0008-0000-0900-0000218C0000}"/>
                  </a:ext>
                </a:extLst>
              </xdr:cNvPr>
              <xdr:cNvSpPr/>
            </xdr:nvSpPr>
            <xdr:spPr bwMode="auto">
              <a:xfrm>
                <a:off x="4029075" y="5038725"/>
                <a:ext cx="1200150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Cut Register True</a:t>
                </a:r>
              </a:p>
            </xdr:txBody>
          </xdr:sp>
          <xdr:sp macro="" textlink="">
            <xdr:nvSpPr>
              <xdr:cNvPr id="35874" name="Check Box 34" hidden="1">
                <a:extLst>
                  <a:ext uri="{63B3BB69-23CF-44E3-9099-C40C66FF867C}">
                    <a14:compatExt spid="_x0000_s35874"/>
                  </a:ext>
                  <a:ext uri="{FF2B5EF4-FFF2-40B4-BE49-F238E27FC236}">
                    <a16:creationId xmlns:a16="http://schemas.microsoft.com/office/drawing/2014/main" id="{00000000-0008-0000-0900-0000228C0000}"/>
                  </a:ext>
                </a:extLst>
              </xdr:cNvPr>
              <xdr:cNvSpPr/>
            </xdr:nvSpPr>
            <xdr:spPr bwMode="auto">
              <a:xfrm>
                <a:off x="4029075" y="4591050"/>
                <a:ext cx="12477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Repair Keyway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21</xdr:row>
          <xdr:rowOff>89529</xdr:rowOff>
        </xdr:from>
        <xdr:to>
          <xdr:col>7</xdr:col>
          <xdr:colOff>1562100</xdr:colOff>
          <xdr:row>24</xdr:row>
          <xdr:rowOff>171450</xdr:rowOff>
        </xdr:to>
        <xdr:grpSp>
          <xdr:nvGrpSpPr>
            <xdr:cNvPr id="7" name="Group 6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GrpSpPr/>
          </xdr:nvGrpSpPr>
          <xdr:grpSpPr>
            <a:xfrm>
              <a:off x="6667500" y="4451979"/>
              <a:ext cx="1304925" cy="653421"/>
              <a:chOff x="6715125" y="4471029"/>
              <a:chExt cx="1304925" cy="653421"/>
            </a:xfrm>
          </xdr:grpSpPr>
          <xdr:grpSp>
            <xdr:nvGrpSpPr>
              <xdr:cNvPr id="5" name="Group 4">
                <a:extLst>
                  <a:ext uri="{FF2B5EF4-FFF2-40B4-BE49-F238E27FC236}">
                    <a16:creationId xmlns:a16="http://schemas.microsoft.com/office/drawing/2014/main" id="{00000000-0008-0000-0900-000005000000}"/>
                  </a:ext>
                </a:extLst>
              </xdr:cNvPr>
              <xdr:cNvGrpSpPr/>
            </xdr:nvGrpSpPr>
            <xdr:grpSpPr>
              <a:xfrm>
                <a:off x="6715125" y="4471029"/>
                <a:ext cx="962025" cy="449575"/>
                <a:chOff x="10848975" y="914510"/>
                <a:chExt cx="1371600" cy="447787"/>
              </a:xfrm>
            </xdr:grpSpPr>
            <xdr:sp macro="" textlink="">
              <xdr:nvSpPr>
                <xdr:cNvPr id="35862" name="Check Box 22" hidden="1">
                  <a:extLst>
                    <a:ext uri="{63B3BB69-23CF-44E3-9099-C40C66FF867C}">
                      <a14:compatExt spid="_x0000_s35862"/>
                    </a:ext>
                    <a:ext uri="{FF2B5EF4-FFF2-40B4-BE49-F238E27FC236}">
                      <a16:creationId xmlns:a16="http://schemas.microsoft.com/office/drawing/2014/main" id="{00000000-0008-0000-0900-0000168C0000}"/>
                    </a:ext>
                  </a:extLst>
                </xdr:cNvPr>
                <xdr:cNvSpPr/>
              </xdr:nvSpPr>
              <xdr:spPr bwMode="auto">
                <a:xfrm>
                  <a:off x="10848975" y="914510"/>
                  <a:ext cx="1371600" cy="2476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Rewind Rotor</a:t>
                  </a:r>
                </a:p>
              </xdr:txBody>
            </xdr:sp>
            <xdr:sp macro="" textlink="">
              <xdr:nvSpPr>
                <xdr:cNvPr id="35863" name="Check Box 23" hidden="1">
                  <a:extLst>
                    <a:ext uri="{63B3BB69-23CF-44E3-9099-C40C66FF867C}">
                      <a14:compatExt spid="_x0000_s35863"/>
                    </a:ext>
                    <a:ext uri="{FF2B5EF4-FFF2-40B4-BE49-F238E27FC236}">
                      <a16:creationId xmlns:a16="http://schemas.microsoft.com/office/drawing/2014/main" id="{00000000-0008-0000-0900-0000178C0000}"/>
                    </a:ext>
                  </a:extLst>
                </xdr:cNvPr>
                <xdr:cNvSpPr/>
              </xdr:nvSpPr>
              <xdr:spPr bwMode="auto">
                <a:xfrm>
                  <a:off x="10848975" y="1114647"/>
                  <a:ext cx="1371600" cy="2476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Rewind Stator</a:t>
                  </a:r>
                </a:p>
              </xdr:txBody>
            </xdr:sp>
          </xdr:grpSp>
          <xdr:sp macro="" textlink="">
            <xdr:nvSpPr>
              <xdr:cNvPr id="35853" name="Check Box 13" hidden="1">
                <a:extLst>
                  <a:ext uri="{63B3BB69-23CF-44E3-9099-C40C66FF867C}">
                    <a14:compatExt spid="_x0000_s35853"/>
                  </a:ext>
                  <a:ext uri="{FF2B5EF4-FFF2-40B4-BE49-F238E27FC236}">
                    <a16:creationId xmlns:a16="http://schemas.microsoft.com/office/drawing/2014/main" id="{00000000-0008-0000-0900-00000D8C0000}"/>
                  </a:ext>
                </a:extLst>
              </xdr:cNvPr>
              <xdr:cNvSpPr/>
            </xdr:nvSpPr>
            <xdr:spPr bwMode="auto">
              <a:xfrm>
                <a:off x="6715125" y="4876800"/>
                <a:ext cx="13049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Perform Core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4</xdr:row>
          <xdr:rowOff>38100</xdr:rowOff>
        </xdr:from>
        <xdr:to>
          <xdr:col>4</xdr:col>
          <xdr:colOff>2514600</xdr:colOff>
          <xdr:row>11</xdr:row>
          <xdr:rowOff>0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pSpPr/>
          </xdr:nvGrpSpPr>
          <xdr:grpSpPr>
            <a:xfrm>
              <a:off x="314325" y="1028700"/>
              <a:ext cx="5334000" cy="1295400"/>
              <a:chOff x="314325" y="1028700"/>
              <a:chExt cx="5334000" cy="1295400"/>
            </a:xfrm>
          </xdr:grpSpPr>
          <xdr:sp macro="" textlink="">
            <xdr:nvSpPr>
              <xdr:cNvPr id="35841" name="Check Box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900-0000018C0000}"/>
                  </a:ext>
                </a:extLst>
              </xdr:cNvPr>
              <xdr:cNvSpPr/>
            </xdr:nvSpPr>
            <xdr:spPr bwMode="auto">
              <a:xfrm>
                <a:off x="323850" y="1038225"/>
                <a:ext cx="18573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Inpsect Motor</a:t>
                </a:r>
              </a:p>
            </xdr:txBody>
          </xdr:sp>
          <xdr:sp macro="" textlink="">
            <xdr:nvSpPr>
              <xdr:cNvPr id="35842" name="Check Box 2" hidden="1">
                <a:extLst>
                  <a:ext uri="{63B3BB69-23CF-44E3-9099-C40C66FF867C}">
                    <a14:compatExt spid="_x0000_s35842"/>
                  </a:ext>
                  <a:ext uri="{FF2B5EF4-FFF2-40B4-BE49-F238E27FC236}">
                    <a16:creationId xmlns:a16="http://schemas.microsoft.com/office/drawing/2014/main" id="{00000000-0008-0000-0900-0000028C0000}"/>
                  </a:ext>
                </a:extLst>
              </xdr:cNvPr>
              <xdr:cNvSpPr/>
            </xdr:nvSpPr>
            <xdr:spPr bwMode="auto">
              <a:xfrm>
                <a:off x="314325" y="1238250"/>
                <a:ext cx="1924050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Test Run (before disassembly)</a:t>
                </a:r>
              </a:p>
            </xdr:txBody>
          </xdr:sp>
          <xdr:sp macro="" textlink="">
            <xdr:nvSpPr>
              <xdr:cNvPr id="35843" name="Check Box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0900-0000038C0000}"/>
                  </a:ext>
                </a:extLst>
              </xdr:cNvPr>
              <xdr:cNvSpPr/>
            </xdr:nvSpPr>
            <xdr:spPr bwMode="auto">
              <a:xfrm>
                <a:off x="2457450" y="1028700"/>
                <a:ext cx="1409700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Balance Rotor</a:t>
                </a:r>
              </a:p>
            </xdr:txBody>
          </xdr:sp>
          <xdr:sp macro="" textlink="">
            <xdr:nvSpPr>
              <xdr:cNvPr id="35844" name="Check Box 4" hidden="1">
                <a:extLst>
                  <a:ext uri="{63B3BB69-23CF-44E3-9099-C40C66FF867C}">
                    <a14:compatExt spid="_x0000_s35844"/>
                  </a:ext>
                  <a:ext uri="{FF2B5EF4-FFF2-40B4-BE49-F238E27FC236}">
                    <a16:creationId xmlns:a16="http://schemas.microsoft.com/office/drawing/2014/main" id="{00000000-0008-0000-0900-0000048C0000}"/>
                  </a:ext>
                </a:extLst>
              </xdr:cNvPr>
              <xdr:cNvSpPr/>
            </xdr:nvSpPr>
            <xdr:spPr bwMode="auto">
              <a:xfrm>
                <a:off x="314325" y="1657350"/>
                <a:ext cx="19716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Check Shaft, Housing and Journal Fits</a:t>
                </a:r>
              </a:p>
            </xdr:txBody>
          </xdr:sp>
          <xdr:sp macro="" textlink="">
            <xdr:nvSpPr>
              <xdr:cNvPr id="35845" name="Check Box 5" hidden="1">
                <a:extLst>
                  <a:ext uri="{63B3BB69-23CF-44E3-9099-C40C66FF867C}">
                    <a14:compatExt spid="_x0000_s35845"/>
                  </a:ext>
                  <a:ext uri="{FF2B5EF4-FFF2-40B4-BE49-F238E27FC236}">
                    <a16:creationId xmlns:a16="http://schemas.microsoft.com/office/drawing/2014/main" id="{00000000-0008-0000-0900-0000058C0000}"/>
                  </a:ext>
                </a:extLst>
              </xdr:cNvPr>
              <xdr:cNvSpPr/>
            </xdr:nvSpPr>
            <xdr:spPr bwMode="auto">
              <a:xfrm>
                <a:off x="314325" y="1866900"/>
                <a:ext cx="19716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Perform Surge &amp; HiPot Tests</a:t>
                </a:r>
              </a:p>
            </xdr:txBody>
          </xdr:sp>
          <xdr:sp macro="" textlink="">
            <xdr:nvSpPr>
              <xdr:cNvPr id="35846" name="Check Box 6" hidden="1">
                <a:extLst>
                  <a:ext uri="{63B3BB69-23CF-44E3-9099-C40C66FF867C}">
                    <a14:compatExt spid="_x0000_s35846"/>
                  </a:ext>
                  <a:ext uri="{FF2B5EF4-FFF2-40B4-BE49-F238E27FC236}">
                    <a16:creationId xmlns:a16="http://schemas.microsoft.com/office/drawing/2014/main" id="{00000000-0008-0000-0900-0000068C0000}"/>
                  </a:ext>
                </a:extLst>
              </xdr:cNvPr>
              <xdr:cNvSpPr/>
            </xdr:nvSpPr>
            <xdr:spPr bwMode="auto">
              <a:xfrm>
                <a:off x="314325" y="2076450"/>
                <a:ext cx="13239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Clean Parts</a:t>
                </a:r>
              </a:p>
            </xdr:txBody>
          </xdr:sp>
          <xdr:sp macro="" textlink="">
            <xdr:nvSpPr>
              <xdr:cNvPr id="35847" name="Check Box 7" hidden="1">
                <a:extLst>
                  <a:ext uri="{63B3BB69-23CF-44E3-9099-C40C66FF867C}">
                    <a14:compatExt spid="_x0000_s35847"/>
                  </a:ext>
                  <a:ext uri="{FF2B5EF4-FFF2-40B4-BE49-F238E27FC236}">
                    <a16:creationId xmlns:a16="http://schemas.microsoft.com/office/drawing/2014/main" id="{00000000-0008-0000-0900-0000078C0000}"/>
                  </a:ext>
                </a:extLst>
              </xdr:cNvPr>
              <xdr:cNvSpPr/>
            </xdr:nvSpPr>
            <xdr:spPr bwMode="auto">
              <a:xfrm>
                <a:off x="314325" y="1447800"/>
                <a:ext cx="19145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Disassemble Motor</a:t>
                </a:r>
              </a:p>
            </xdr:txBody>
          </xdr:sp>
          <xdr:sp macro="" textlink="">
            <xdr:nvSpPr>
              <xdr:cNvPr id="35848" name="Check Box 8" hidden="1">
                <a:extLst>
                  <a:ext uri="{63B3BB69-23CF-44E3-9099-C40C66FF867C}">
                    <a14:compatExt spid="_x0000_s35848"/>
                  </a:ext>
                  <a:ext uri="{FF2B5EF4-FFF2-40B4-BE49-F238E27FC236}">
                    <a16:creationId xmlns:a16="http://schemas.microsoft.com/office/drawing/2014/main" id="{00000000-0008-0000-0900-0000088C0000}"/>
                  </a:ext>
                </a:extLst>
              </xdr:cNvPr>
              <xdr:cNvSpPr/>
            </xdr:nvSpPr>
            <xdr:spPr bwMode="auto">
              <a:xfrm>
                <a:off x="2457450" y="1238250"/>
                <a:ext cx="1276350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Dip and Bake Stator</a:t>
                </a:r>
              </a:p>
            </xdr:txBody>
          </xdr:sp>
          <xdr:sp macro="" textlink="">
            <xdr:nvSpPr>
              <xdr:cNvPr id="35849" name="Check Box 9" hidden="1">
                <a:extLst>
                  <a:ext uri="{63B3BB69-23CF-44E3-9099-C40C66FF867C}">
                    <a14:compatExt spid="_x0000_s35849"/>
                  </a:ext>
                  <a:ext uri="{FF2B5EF4-FFF2-40B4-BE49-F238E27FC236}">
                    <a16:creationId xmlns:a16="http://schemas.microsoft.com/office/drawing/2014/main" id="{00000000-0008-0000-0900-0000098C0000}"/>
                  </a:ext>
                </a:extLst>
              </xdr:cNvPr>
              <xdr:cNvSpPr/>
            </xdr:nvSpPr>
            <xdr:spPr bwMode="auto">
              <a:xfrm>
                <a:off x="2457450" y="1657350"/>
                <a:ext cx="14001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Assemble Motor</a:t>
                </a:r>
              </a:p>
            </xdr:txBody>
          </xdr:sp>
          <xdr:sp macro="" textlink="">
            <xdr:nvSpPr>
              <xdr:cNvPr id="35850" name="Check Box 10" hidden="1">
                <a:extLst>
                  <a:ext uri="{63B3BB69-23CF-44E3-9099-C40C66FF867C}">
                    <a14:compatExt spid="_x0000_s35850"/>
                  </a:ext>
                  <a:ext uri="{FF2B5EF4-FFF2-40B4-BE49-F238E27FC236}">
                    <a16:creationId xmlns:a16="http://schemas.microsoft.com/office/drawing/2014/main" id="{00000000-0008-0000-0900-00000A8C0000}"/>
                  </a:ext>
                </a:extLst>
              </xdr:cNvPr>
              <xdr:cNvSpPr/>
            </xdr:nvSpPr>
            <xdr:spPr bwMode="auto">
              <a:xfrm>
                <a:off x="2457450" y="1866900"/>
                <a:ext cx="14382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Test Run (after assembly)</a:t>
                </a:r>
              </a:p>
            </xdr:txBody>
          </xdr:sp>
          <xdr:sp macro="" textlink="">
            <xdr:nvSpPr>
              <xdr:cNvPr id="35851" name="Check Box 11" hidden="1">
                <a:extLst>
                  <a:ext uri="{63B3BB69-23CF-44E3-9099-C40C66FF867C}">
                    <a14:compatExt spid="_x0000_s35851"/>
                  </a:ext>
                  <a:ext uri="{FF2B5EF4-FFF2-40B4-BE49-F238E27FC236}">
                    <a16:creationId xmlns:a16="http://schemas.microsoft.com/office/drawing/2014/main" id="{00000000-0008-0000-0900-00000B8C0000}"/>
                  </a:ext>
                </a:extLst>
              </xdr:cNvPr>
              <xdr:cNvSpPr/>
            </xdr:nvSpPr>
            <xdr:spPr bwMode="auto">
              <a:xfrm>
                <a:off x="4105275" y="1866900"/>
                <a:ext cx="11906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Tag Motor</a:t>
                </a:r>
              </a:p>
            </xdr:txBody>
          </xdr:sp>
          <xdr:sp macro="" textlink="">
            <xdr:nvSpPr>
              <xdr:cNvPr id="35852" name="Check Box 12" hidden="1">
                <a:extLst>
                  <a:ext uri="{63B3BB69-23CF-44E3-9099-C40C66FF867C}">
                    <a14:compatExt spid="_x0000_s35852"/>
                  </a:ext>
                  <a:ext uri="{FF2B5EF4-FFF2-40B4-BE49-F238E27FC236}">
                    <a16:creationId xmlns:a16="http://schemas.microsoft.com/office/drawing/2014/main" id="{00000000-0008-0000-0900-00000C8C0000}"/>
                  </a:ext>
                </a:extLst>
              </xdr:cNvPr>
              <xdr:cNvSpPr/>
            </xdr:nvSpPr>
            <xdr:spPr bwMode="auto">
              <a:xfrm>
                <a:off x="4105275" y="1657350"/>
                <a:ext cx="1543050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Paint Motor</a:t>
                </a:r>
              </a:p>
            </xdr:txBody>
          </xdr:sp>
          <xdr:sp macro="" textlink="">
            <xdr:nvSpPr>
              <xdr:cNvPr id="35872" name="Check Box 32" hidden="1">
                <a:extLst>
                  <a:ext uri="{63B3BB69-23CF-44E3-9099-C40C66FF867C}">
                    <a14:compatExt spid="_x0000_s35872"/>
                  </a:ext>
                  <a:ext uri="{FF2B5EF4-FFF2-40B4-BE49-F238E27FC236}">
                    <a16:creationId xmlns:a16="http://schemas.microsoft.com/office/drawing/2014/main" id="{00000000-0008-0000-0900-0000208C0000}"/>
                  </a:ext>
                </a:extLst>
              </xdr:cNvPr>
              <xdr:cNvSpPr/>
            </xdr:nvSpPr>
            <xdr:spPr bwMode="auto">
              <a:xfrm>
                <a:off x="4105275" y="1466850"/>
                <a:ext cx="15049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Make New Gaskets</a:t>
                </a:r>
              </a:p>
            </xdr:txBody>
          </xdr:sp>
          <xdr:sp macro="" textlink="">
            <xdr:nvSpPr>
              <xdr:cNvPr id="35876" name="Check Box 36" hidden="1">
                <a:extLst>
                  <a:ext uri="{63B3BB69-23CF-44E3-9099-C40C66FF867C}">
                    <a14:compatExt spid="_x0000_s35876"/>
                  </a:ext>
                  <a:ext uri="{FF2B5EF4-FFF2-40B4-BE49-F238E27FC236}">
                    <a16:creationId xmlns:a16="http://schemas.microsoft.com/office/drawing/2014/main" id="{00000000-0008-0000-0900-0000248C0000}"/>
                  </a:ext>
                </a:extLst>
              </xdr:cNvPr>
              <xdr:cNvSpPr/>
            </xdr:nvSpPr>
            <xdr:spPr bwMode="auto">
              <a:xfrm>
                <a:off x="2457450" y="1457325"/>
                <a:ext cx="10382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Seal Leads</a:t>
                </a:r>
              </a:p>
            </xdr:txBody>
          </xdr:sp>
          <xdr:sp macro="" textlink="">
            <xdr:nvSpPr>
              <xdr:cNvPr id="35877" name="Check Box 37" hidden="1">
                <a:extLst>
                  <a:ext uri="{63B3BB69-23CF-44E3-9099-C40C66FF867C}">
                    <a14:compatExt spid="_x0000_s35877"/>
                  </a:ext>
                  <a:ext uri="{FF2B5EF4-FFF2-40B4-BE49-F238E27FC236}">
                    <a16:creationId xmlns:a16="http://schemas.microsoft.com/office/drawing/2014/main" id="{00000000-0008-0000-0900-0000258C0000}"/>
                  </a:ext>
                </a:extLst>
              </xdr:cNvPr>
              <xdr:cNvSpPr/>
            </xdr:nvSpPr>
            <xdr:spPr bwMode="auto">
              <a:xfrm>
                <a:off x="2457450" y="2085975"/>
                <a:ext cx="1413841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Re-insulate/Sleeve Leads</a:t>
                </a:r>
              </a:p>
            </xdr:txBody>
          </xdr:sp>
          <xdr:sp macro="" textlink="">
            <xdr:nvSpPr>
              <xdr:cNvPr id="35878" name="Check Box 38" hidden="1">
                <a:extLst>
                  <a:ext uri="{63B3BB69-23CF-44E3-9099-C40C66FF867C}">
                    <a14:compatExt spid="_x0000_s35878"/>
                  </a:ext>
                  <a:ext uri="{FF2B5EF4-FFF2-40B4-BE49-F238E27FC236}">
                    <a16:creationId xmlns:a16="http://schemas.microsoft.com/office/drawing/2014/main" id="{00000000-0008-0000-0900-0000268C0000}"/>
                  </a:ext>
                </a:extLst>
              </xdr:cNvPr>
              <xdr:cNvSpPr/>
            </xdr:nvSpPr>
            <xdr:spPr bwMode="auto">
              <a:xfrm>
                <a:off x="4105275" y="1038225"/>
                <a:ext cx="8001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Re-Lug Leads</a:t>
                </a:r>
              </a:p>
            </xdr:txBody>
          </xdr:sp>
          <xdr:sp macro="" textlink="">
            <xdr:nvSpPr>
              <xdr:cNvPr id="35879" name="Check Box 39" hidden="1">
                <a:extLst>
                  <a:ext uri="{63B3BB69-23CF-44E3-9099-C40C66FF867C}">
                    <a14:compatExt spid="_x0000_s35879"/>
                  </a:ext>
                  <a:ext uri="{FF2B5EF4-FFF2-40B4-BE49-F238E27FC236}">
                    <a16:creationId xmlns:a16="http://schemas.microsoft.com/office/drawing/2014/main" id="{00000000-0008-0000-0900-0000278C0000}"/>
                  </a:ext>
                </a:extLst>
              </xdr:cNvPr>
              <xdr:cNvSpPr/>
            </xdr:nvSpPr>
            <xdr:spPr bwMode="auto">
              <a:xfrm>
                <a:off x="4105275" y="1247775"/>
                <a:ext cx="828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Sodder Leads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</xdr:col>
      <xdr:colOff>38099</xdr:colOff>
      <xdr:row>0</xdr:row>
      <xdr:rowOff>92246</xdr:rowOff>
    </xdr:from>
    <xdr:to>
      <xdr:col>1</xdr:col>
      <xdr:colOff>419099</xdr:colOff>
      <xdr:row>1</xdr:row>
      <xdr:rowOff>277702</xdr:rowOff>
    </xdr:to>
    <xdr:sp macro="[0]!goto_electrical" textlink="">
      <xdr:nvSpPr>
        <xdr:cNvPr id="46" name="Isosceles Triangle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SpPr/>
      </xdr:nvSpPr>
      <xdr:spPr>
        <a:xfrm rot="16200000">
          <a:off x="221596" y="89724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506730</xdr:colOff>
      <xdr:row>0</xdr:row>
      <xdr:rowOff>85725</xdr:rowOff>
    </xdr:from>
    <xdr:to>
      <xdr:col>2</xdr:col>
      <xdr:colOff>995003</xdr:colOff>
      <xdr:row>1</xdr:row>
      <xdr:rowOff>281178</xdr:rowOff>
    </xdr:to>
    <xdr:sp macro="[0]!goto_main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SpPr/>
      </xdr:nvSpPr>
      <xdr:spPr>
        <a:xfrm>
          <a:off x="687705" y="85725"/>
          <a:ext cx="1097873" cy="385953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2</xdr:col>
      <xdr:colOff>1078026</xdr:colOff>
      <xdr:row>0</xdr:row>
      <xdr:rowOff>95384</xdr:rowOff>
    </xdr:from>
    <xdr:to>
      <xdr:col>3</xdr:col>
      <xdr:colOff>182676</xdr:colOff>
      <xdr:row>1</xdr:row>
      <xdr:rowOff>280840</xdr:rowOff>
    </xdr:to>
    <xdr:sp macro="[0]!goto_reportgeneric" textlink="">
      <xdr:nvSpPr>
        <xdr:cNvPr id="48" name="Isosceles Triangle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SpPr/>
      </xdr:nvSpPr>
      <xdr:spPr>
        <a:xfrm rot="5400000">
          <a:off x="1871123" y="92862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885825</xdr:colOff>
      <xdr:row>0</xdr:row>
      <xdr:rowOff>95250</xdr:rowOff>
    </xdr:from>
    <xdr:to>
      <xdr:col>4</xdr:col>
      <xdr:colOff>1276350</xdr:colOff>
      <xdr:row>2</xdr:row>
      <xdr:rowOff>134489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2952750" y="95250"/>
          <a:ext cx="1457325" cy="52501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17</xdr:row>
          <xdr:rowOff>28575</xdr:rowOff>
        </xdr:from>
        <xdr:to>
          <xdr:col>2</xdr:col>
          <xdr:colOff>676275</xdr:colOff>
          <xdr:row>17</xdr:row>
          <xdr:rowOff>266700</xdr:rowOff>
        </xdr:to>
        <xdr:sp macro="" textlink="">
          <xdr:nvSpPr>
            <xdr:cNvPr id="134145" name="Check Box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id="{00000000-0008-0000-0A00-000001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Gearbox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17</xdr:row>
          <xdr:rowOff>28575</xdr:rowOff>
        </xdr:from>
        <xdr:to>
          <xdr:col>3</xdr:col>
          <xdr:colOff>809625</xdr:colOff>
          <xdr:row>17</xdr:row>
          <xdr:rowOff>276225</xdr:rowOff>
        </xdr:to>
        <xdr:sp macro="" textlink="">
          <xdr:nvSpPr>
            <xdr:cNvPr id="134146" name="Check Box 2" descr="Gearbox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id="{00000000-0008-0000-0A00-000002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17</xdr:row>
          <xdr:rowOff>28575</xdr:rowOff>
        </xdr:from>
        <xdr:to>
          <xdr:col>3</xdr:col>
          <xdr:colOff>295275</xdr:colOff>
          <xdr:row>17</xdr:row>
          <xdr:rowOff>266700</xdr:rowOff>
        </xdr:to>
        <xdr:sp macro="" textlink="">
          <xdr:nvSpPr>
            <xdr:cNvPr id="134147" name="Check Box 3" hidden="1">
              <a:extLst>
                <a:ext uri="{63B3BB69-23CF-44E3-9099-C40C66FF867C}">
                  <a14:compatExt spid="_x0000_s134147"/>
                </a:ext>
                <a:ext uri="{FF2B5EF4-FFF2-40B4-BE49-F238E27FC236}">
                  <a16:creationId xmlns:a16="http://schemas.microsoft.com/office/drawing/2014/main" id="{00000000-0008-0000-0A00-000003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Brake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17</xdr:row>
          <xdr:rowOff>257175</xdr:rowOff>
        </xdr:from>
        <xdr:to>
          <xdr:col>7</xdr:col>
          <xdr:colOff>38100</xdr:colOff>
          <xdr:row>19</xdr:row>
          <xdr:rowOff>57150</xdr:rowOff>
        </xdr:to>
        <xdr:sp macro="" textlink="">
          <xdr:nvSpPr>
            <xdr:cNvPr id="134148" name="Check Box 4" hidden="1">
              <a:extLst>
                <a:ext uri="{63B3BB69-23CF-44E3-9099-C40C66FF867C}">
                  <a14:compatExt spid="_x0000_s134148"/>
                </a:ext>
                <a:ext uri="{FF2B5EF4-FFF2-40B4-BE49-F238E27FC236}">
                  <a16:creationId xmlns:a16="http://schemas.microsoft.com/office/drawing/2014/main" id="{00000000-0008-0000-0A00-000004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Coupling/Pulley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278</xdr:row>
          <xdr:rowOff>180975</xdr:rowOff>
        </xdr:from>
        <xdr:to>
          <xdr:col>0</xdr:col>
          <xdr:colOff>895350</xdr:colOff>
          <xdr:row>280</xdr:row>
          <xdr:rowOff>38100</xdr:rowOff>
        </xdr:to>
        <xdr:sp macro="" textlink="">
          <xdr:nvSpPr>
            <xdr:cNvPr id="134150" name="Check Box 6" hidden="1">
              <a:extLst>
                <a:ext uri="{63B3BB69-23CF-44E3-9099-C40C66FF867C}">
                  <a14:compatExt spid="_x0000_s134150"/>
                </a:ext>
                <a:ext uri="{FF2B5EF4-FFF2-40B4-BE49-F238E27FC236}">
                  <a16:creationId xmlns:a16="http://schemas.microsoft.com/office/drawing/2014/main" id="{00000000-0008-0000-0A00-000006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278</xdr:row>
          <xdr:rowOff>180975</xdr:rowOff>
        </xdr:from>
        <xdr:to>
          <xdr:col>2</xdr:col>
          <xdr:colOff>752475</xdr:colOff>
          <xdr:row>280</xdr:row>
          <xdr:rowOff>47625</xdr:rowOff>
        </xdr:to>
        <xdr:sp macro="" textlink="">
          <xdr:nvSpPr>
            <xdr:cNvPr id="134151" name="Check Box 7" hidden="1">
              <a:extLst>
                <a:ext uri="{63B3BB69-23CF-44E3-9099-C40C66FF867C}">
                  <a14:compatExt spid="_x0000_s134151"/>
                </a:ext>
                <a:ext uri="{FF2B5EF4-FFF2-40B4-BE49-F238E27FC236}">
                  <a16:creationId xmlns:a16="http://schemas.microsoft.com/office/drawing/2014/main" id="{00000000-0008-0000-0A00-000007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Severely Overgreased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280</xdr:row>
          <xdr:rowOff>9525</xdr:rowOff>
        </xdr:from>
        <xdr:to>
          <xdr:col>1</xdr:col>
          <xdr:colOff>123825</xdr:colOff>
          <xdr:row>281</xdr:row>
          <xdr:rowOff>47625</xdr:rowOff>
        </xdr:to>
        <xdr:sp macro="" textlink="">
          <xdr:nvSpPr>
            <xdr:cNvPr id="134152" name="Check Box 8" hidden="1">
              <a:extLst>
                <a:ext uri="{63B3BB69-23CF-44E3-9099-C40C66FF867C}">
                  <a14:compatExt spid="_x0000_s134152"/>
                </a:ext>
                <a:ext uri="{FF2B5EF4-FFF2-40B4-BE49-F238E27FC236}">
                  <a16:creationId xmlns:a16="http://schemas.microsoft.com/office/drawing/2014/main" id="{00000000-0008-0000-0A00-000008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Dirty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280</xdr:row>
          <xdr:rowOff>19050</xdr:rowOff>
        </xdr:from>
        <xdr:to>
          <xdr:col>2</xdr:col>
          <xdr:colOff>419100</xdr:colOff>
          <xdr:row>281</xdr:row>
          <xdr:rowOff>57150</xdr:rowOff>
        </xdr:to>
        <xdr:sp macro="" textlink="">
          <xdr:nvSpPr>
            <xdr:cNvPr id="134153" name="Check Box 9" hidden="1">
              <a:extLst>
                <a:ext uri="{63B3BB69-23CF-44E3-9099-C40C66FF867C}">
                  <a14:compatExt spid="_x0000_s134153"/>
                </a:ext>
                <a:ext uri="{FF2B5EF4-FFF2-40B4-BE49-F238E27FC236}">
                  <a16:creationId xmlns:a16="http://schemas.microsoft.com/office/drawing/2014/main" id="{00000000-0008-0000-0A00-000009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Debris Inside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24849</xdr:colOff>
          <xdr:row>126</xdr:row>
          <xdr:rowOff>160052</xdr:rowOff>
        </xdr:from>
        <xdr:to>
          <xdr:col>4</xdr:col>
          <xdr:colOff>638174</xdr:colOff>
          <xdr:row>128</xdr:row>
          <xdr:rowOff>15128</xdr:rowOff>
        </xdr:to>
        <xdr:grpSp>
          <xdr:nvGrpSpPr>
            <xdr:cNvPr id="23" name="Group 22">
              <a:extLst>
                <a:ext uri="{FF2B5EF4-FFF2-40B4-BE49-F238E27FC236}">
                  <a16:creationId xmlns:a16="http://schemas.microsoft.com/office/drawing/2014/main" id="{00000000-0008-0000-0A00-000017000000}"/>
                </a:ext>
              </a:extLst>
            </xdr:cNvPr>
            <xdr:cNvGrpSpPr/>
          </xdr:nvGrpSpPr>
          <xdr:grpSpPr>
            <a:xfrm>
              <a:off x="1963467" y="23995069"/>
              <a:ext cx="2518325" cy="236076"/>
              <a:chOff x="4591018" y="8234969"/>
              <a:chExt cx="2131409" cy="149369"/>
            </a:xfrm>
          </xdr:grpSpPr>
          <xdr:sp macro="" textlink="">
            <xdr:nvSpPr>
              <xdr:cNvPr id="134164" name="Check Box 20" hidden="1">
                <a:extLst>
                  <a:ext uri="{63B3BB69-23CF-44E3-9099-C40C66FF867C}">
                    <a14:compatExt spid="_x0000_s134164"/>
                  </a:ext>
                  <a:ext uri="{FF2B5EF4-FFF2-40B4-BE49-F238E27FC236}">
                    <a16:creationId xmlns:a16="http://schemas.microsoft.com/office/drawing/2014/main" id="{00000000-0008-0000-0A00-0000140C0200}"/>
                  </a:ext>
                </a:extLst>
              </xdr:cNvPr>
              <xdr:cNvSpPr/>
            </xdr:nvSpPr>
            <xdr:spPr bwMode="auto">
              <a:xfrm>
                <a:off x="4591018" y="8237610"/>
                <a:ext cx="790576" cy="1428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Electrical</a:t>
                </a:r>
              </a:p>
            </xdr:txBody>
          </xdr:sp>
          <xdr:sp macro="" textlink="">
            <xdr:nvSpPr>
              <xdr:cNvPr id="134165" name="Check Box 21" hidden="1">
                <a:extLst>
                  <a:ext uri="{63B3BB69-23CF-44E3-9099-C40C66FF867C}">
                    <a14:compatExt spid="_x0000_s134165"/>
                  </a:ext>
                  <a:ext uri="{FF2B5EF4-FFF2-40B4-BE49-F238E27FC236}">
                    <a16:creationId xmlns:a16="http://schemas.microsoft.com/office/drawing/2014/main" id="{00000000-0008-0000-0A00-0000150C0200}"/>
                  </a:ext>
                </a:extLst>
              </xdr:cNvPr>
              <xdr:cNvSpPr/>
            </xdr:nvSpPr>
            <xdr:spPr bwMode="auto">
              <a:xfrm>
                <a:off x="5149106" y="8237610"/>
                <a:ext cx="790578" cy="1428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Bearings</a:t>
                </a:r>
              </a:p>
            </xdr:txBody>
          </xdr:sp>
          <xdr:sp macro="" textlink="">
            <xdr:nvSpPr>
              <xdr:cNvPr id="134166" name="Check Box 22" hidden="1">
                <a:extLst>
                  <a:ext uri="{63B3BB69-23CF-44E3-9099-C40C66FF867C}">
                    <a14:compatExt spid="_x0000_s134166"/>
                  </a:ext>
                  <a:ext uri="{FF2B5EF4-FFF2-40B4-BE49-F238E27FC236}">
                    <a16:creationId xmlns:a16="http://schemas.microsoft.com/office/drawing/2014/main" id="{00000000-0008-0000-0A00-0000160C0200}"/>
                  </a:ext>
                </a:extLst>
              </xdr:cNvPr>
              <xdr:cNvSpPr/>
            </xdr:nvSpPr>
            <xdr:spPr bwMode="auto">
              <a:xfrm>
                <a:off x="5707165" y="8237610"/>
                <a:ext cx="790578" cy="1428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Rubbing</a:t>
                </a:r>
              </a:p>
            </xdr:txBody>
          </xdr:sp>
          <xdr:sp macro="" textlink="">
            <xdr:nvSpPr>
              <xdr:cNvPr id="134167" name="Check Box 23" hidden="1">
                <a:extLst>
                  <a:ext uri="{63B3BB69-23CF-44E3-9099-C40C66FF867C}">
                    <a14:compatExt spid="_x0000_s134167"/>
                  </a:ext>
                  <a:ext uri="{FF2B5EF4-FFF2-40B4-BE49-F238E27FC236}">
                    <a16:creationId xmlns:a16="http://schemas.microsoft.com/office/drawing/2014/main" id="{00000000-0008-0000-0A00-0000170C0200}"/>
                  </a:ext>
                </a:extLst>
              </xdr:cNvPr>
              <xdr:cNvSpPr/>
            </xdr:nvSpPr>
            <xdr:spPr bwMode="auto">
              <a:xfrm>
                <a:off x="6265225" y="8234969"/>
                <a:ext cx="457202" cy="14936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Other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297</xdr:row>
          <xdr:rowOff>19050</xdr:rowOff>
        </xdr:from>
        <xdr:to>
          <xdr:col>6</xdr:col>
          <xdr:colOff>0</xdr:colOff>
          <xdr:row>298</xdr:row>
          <xdr:rowOff>66675</xdr:rowOff>
        </xdr:to>
        <xdr:sp macro="" textlink="">
          <xdr:nvSpPr>
            <xdr:cNvPr id="134168" name="Check Box 24" hidden="1">
              <a:extLst>
                <a:ext uri="{63B3BB69-23CF-44E3-9099-C40C66FF867C}">
                  <a14:compatExt spid="_x0000_s134168"/>
                </a:ext>
                <a:ext uri="{FF2B5EF4-FFF2-40B4-BE49-F238E27FC236}">
                  <a16:creationId xmlns:a16="http://schemas.microsoft.com/office/drawing/2014/main" id="{00000000-0008-0000-0A00-000018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Repair IB Journal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298</xdr:row>
          <xdr:rowOff>47625</xdr:rowOff>
        </xdr:from>
        <xdr:to>
          <xdr:col>6</xdr:col>
          <xdr:colOff>0</xdr:colOff>
          <xdr:row>299</xdr:row>
          <xdr:rowOff>76200</xdr:rowOff>
        </xdr:to>
        <xdr:sp macro="" textlink="">
          <xdr:nvSpPr>
            <xdr:cNvPr id="134169" name="Check Box 25" hidden="1">
              <a:extLst>
                <a:ext uri="{63B3BB69-23CF-44E3-9099-C40C66FF867C}">
                  <a14:compatExt spid="_x0000_s134169"/>
                </a:ext>
                <a:ext uri="{FF2B5EF4-FFF2-40B4-BE49-F238E27FC236}">
                  <a16:creationId xmlns:a16="http://schemas.microsoft.com/office/drawing/2014/main" id="{00000000-0008-0000-0A00-000019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Repair OB Journal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299</xdr:row>
          <xdr:rowOff>57150</xdr:rowOff>
        </xdr:from>
        <xdr:to>
          <xdr:col>6</xdr:col>
          <xdr:colOff>0</xdr:colOff>
          <xdr:row>300</xdr:row>
          <xdr:rowOff>95250</xdr:rowOff>
        </xdr:to>
        <xdr:sp macro="" textlink="">
          <xdr:nvSpPr>
            <xdr:cNvPr id="134170" name="Check Box 26" hidden="1">
              <a:extLst>
                <a:ext uri="{63B3BB69-23CF-44E3-9099-C40C66FF867C}">
                  <a14:compatExt spid="_x0000_s134170"/>
                </a:ext>
                <a:ext uri="{FF2B5EF4-FFF2-40B4-BE49-F238E27FC236}">
                  <a16:creationId xmlns:a16="http://schemas.microsoft.com/office/drawing/2014/main" id="{00000000-0008-0000-0A00-00001A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Repair IB Housing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300</xdr:row>
          <xdr:rowOff>76200</xdr:rowOff>
        </xdr:from>
        <xdr:to>
          <xdr:col>6</xdr:col>
          <xdr:colOff>0</xdr:colOff>
          <xdr:row>301</xdr:row>
          <xdr:rowOff>123825</xdr:rowOff>
        </xdr:to>
        <xdr:sp macro="" textlink="">
          <xdr:nvSpPr>
            <xdr:cNvPr id="134171" name="Check Box 27" hidden="1">
              <a:extLst>
                <a:ext uri="{63B3BB69-23CF-44E3-9099-C40C66FF867C}">
                  <a14:compatExt spid="_x0000_s134171"/>
                </a:ext>
                <a:ext uri="{FF2B5EF4-FFF2-40B4-BE49-F238E27FC236}">
                  <a16:creationId xmlns:a16="http://schemas.microsoft.com/office/drawing/2014/main" id="{00000000-0008-0000-0A00-00001B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Repair OB Housing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301</xdr:row>
          <xdr:rowOff>104775</xdr:rowOff>
        </xdr:from>
        <xdr:to>
          <xdr:col>6</xdr:col>
          <xdr:colOff>0</xdr:colOff>
          <xdr:row>302</xdr:row>
          <xdr:rowOff>142875</xdr:rowOff>
        </xdr:to>
        <xdr:sp macro="" textlink="">
          <xdr:nvSpPr>
            <xdr:cNvPr id="134172" name="Check Box 28" hidden="1">
              <a:extLst>
                <a:ext uri="{63B3BB69-23CF-44E3-9099-C40C66FF867C}">
                  <a14:compatExt spid="_x0000_s134172"/>
                </a:ext>
                <a:ext uri="{FF2B5EF4-FFF2-40B4-BE49-F238E27FC236}">
                  <a16:creationId xmlns:a16="http://schemas.microsoft.com/office/drawing/2014/main" id="{00000000-0008-0000-0A00-00001C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Repair Shaft Extension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297</xdr:row>
          <xdr:rowOff>19050</xdr:rowOff>
        </xdr:from>
        <xdr:to>
          <xdr:col>8</xdr:col>
          <xdr:colOff>266700</xdr:colOff>
          <xdr:row>298</xdr:row>
          <xdr:rowOff>57150</xdr:rowOff>
        </xdr:to>
        <xdr:sp macro="" textlink="">
          <xdr:nvSpPr>
            <xdr:cNvPr id="134173" name="Check Box 29" hidden="1">
              <a:extLst>
                <a:ext uri="{63B3BB69-23CF-44E3-9099-C40C66FF867C}">
                  <a14:compatExt spid="_x0000_s134173"/>
                </a:ext>
                <a:ext uri="{FF2B5EF4-FFF2-40B4-BE49-F238E27FC236}">
                  <a16:creationId xmlns:a16="http://schemas.microsoft.com/office/drawing/2014/main" id="{00000000-0008-0000-0A00-00001D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Bore &amp; Broach New Coupling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298</xdr:row>
          <xdr:rowOff>38100</xdr:rowOff>
        </xdr:from>
        <xdr:to>
          <xdr:col>8</xdr:col>
          <xdr:colOff>180975</xdr:colOff>
          <xdr:row>299</xdr:row>
          <xdr:rowOff>76200</xdr:rowOff>
        </xdr:to>
        <xdr:sp macro="" textlink="">
          <xdr:nvSpPr>
            <xdr:cNvPr id="134174" name="Check Box 30" hidden="1">
              <a:extLst>
                <a:ext uri="{63B3BB69-23CF-44E3-9099-C40C66FF867C}">
                  <a14:compatExt spid="_x0000_s134174"/>
                </a:ext>
                <a:ext uri="{FF2B5EF4-FFF2-40B4-BE49-F238E27FC236}">
                  <a16:creationId xmlns:a16="http://schemas.microsoft.com/office/drawing/2014/main" id="{00000000-0008-0000-0A00-00001E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Replace Coupling Key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299</xdr:row>
          <xdr:rowOff>57150</xdr:rowOff>
        </xdr:from>
        <xdr:to>
          <xdr:col>8</xdr:col>
          <xdr:colOff>180975</xdr:colOff>
          <xdr:row>300</xdr:row>
          <xdr:rowOff>95250</xdr:rowOff>
        </xdr:to>
        <xdr:sp macro="" textlink="">
          <xdr:nvSpPr>
            <xdr:cNvPr id="134175" name="Check Box 31" hidden="1">
              <a:extLst>
                <a:ext uri="{63B3BB69-23CF-44E3-9099-C40C66FF867C}">
                  <a14:compatExt spid="_x0000_s134175"/>
                </a:ext>
                <a:ext uri="{FF2B5EF4-FFF2-40B4-BE49-F238E27FC236}">
                  <a16:creationId xmlns:a16="http://schemas.microsoft.com/office/drawing/2014/main" id="{00000000-0008-0000-0A00-00001F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Polish Seal Surfaces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300</xdr:row>
          <xdr:rowOff>76200</xdr:rowOff>
        </xdr:from>
        <xdr:to>
          <xdr:col>8</xdr:col>
          <xdr:colOff>180975</xdr:colOff>
          <xdr:row>301</xdr:row>
          <xdr:rowOff>114300</xdr:rowOff>
        </xdr:to>
        <xdr:sp macro="" textlink="">
          <xdr:nvSpPr>
            <xdr:cNvPr id="134176" name="Check Box 32" hidden="1">
              <a:extLst>
                <a:ext uri="{63B3BB69-23CF-44E3-9099-C40C66FF867C}">
                  <a14:compatExt spid="_x0000_s134176"/>
                </a:ext>
                <a:ext uri="{FF2B5EF4-FFF2-40B4-BE49-F238E27FC236}">
                  <a16:creationId xmlns:a16="http://schemas.microsoft.com/office/drawing/2014/main" id="{00000000-0008-0000-0A00-000020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Machine/Bore Fan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317</xdr:row>
          <xdr:rowOff>85724</xdr:rowOff>
        </xdr:from>
        <xdr:to>
          <xdr:col>0</xdr:col>
          <xdr:colOff>866775</xdr:colOff>
          <xdr:row>319</xdr:row>
          <xdr:rowOff>171449</xdr:rowOff>
        </xdr:to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A00-00002A000000}"/>
                </a:ext>
              </a:extLst>
            </xdr:cNvPr>
            <xdr:cNvGrpSpPr/>
          </xdr:nvGrpSpPr>
          <xdr:grpSpPr>
            <a:xfrm>
              <a:off x="85725" y="58950223"/>
              <a:ext cx="781050" cy="466723"/>
              <a:chOff x="10848975" y="925181"/>
              <a:chExt cx="1371600" cy="569161"/>
            </a:xfrm>
          </xdr:grpSpPr>
          <xdr:sp macro="" textlink="">
            <xdr:nvSpPr>
              <xdr:cNvPr id="134180" name="Check Box 36" hidden="1">
                <a:extLst>
                  <a:ext uri="{63B3BB69-23CF-44E3-9099-C40C66FF867C}">
                    <a14:compatExt spid="_x0000_s134180"/>
                  </a:ext>
                  <a:ext uri="{FF2B5EF4-FFF2-40B4-BE49-F238E27FC236}">
                    <a16:creationId xmlns:a16="http://schemas.microsoft.com/office/drawing/2014/main" id="{00000000-0008-0000-0A00-0000240C0200}"/>
                  </a:ext>
                </a:extLst>
              </xdr:cNvPr>
              <xdr:cNvSpPr/>
            </xdr:nvSpPr>
            <xdr:spPr bwMode="auto">
              <a:xfrm>
                <a:off x="10848975" y="925181"/>
                <a:ext cx="1371600" cy="24764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Rewind Rotor</a:t>
                </a:r>
              </a:p>
            </xdr:txBody>
          </xdr:sp>
          <xdr:sp macro="" textlink="">
            <xdr:nvSpPr>
              <xdr:cNvPr id="134181" name="Check Box 37" hidden="1">
                <a:extLst>
                  <a:ext uri="{63B3BB69-23CF-44E3-9099-C40C66FF867C}">
                    <a14:compatExt spid="_x0000_s134181"/>
                  </a:ext>
                  <a:ext uri="{FF2B5EF4-FFF2-40B4-BE49-F238E27FC236}">
                    <a16:creationId xmlns:a16="http://schemas.microsoft.com/office/drawing/2014/main" id="{00000000-0008-0000-0A00-0000250C0200}"/>
                  </a:ext>
                </a:extLst>
              </xdr:cNvPr>
              <xdr:cNvSpPr/>
            </xdr:nvSpPr>
            <xdr:spPr bwMode="auto">
              <a:xfrm>
                <a:off x="10848975" y="1246693"/>
                <a:ext cx="1371600" cy="24764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Rewind Stator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60960</xdr:colOff>
      <xdr:row>1</xdr:row>
      <xdr:rowOff>135255</xdr:rowOff>
    </xdr:to>
    <xdr:sp macro="[0]!goto_main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SpPr/>
      </xdr:nvSpPr>
      <xdr:spPr>
        <a:xfrm>
          <a:off x="0" y="0"/>
          <a:ext cx="1099185" cy="33528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281</xdr:row>
          <xdr:rowOff>28575</xdr:rowOff>
        </xdr:from>
        <xdr:to>
          <xdr:col>1</xdr:col>
          <xdr:colOff>133350</xdr:colOff>
          <xdr:row>282</xdr:row>
          <xdr:rowOff>66675</xdr:rowOff>
        </xdr:to>
        <xdr:sp macro="" textlink="">
          <xdr:nvSpPr>
            <xdr:cNvPr id="134192" name="Check Box 48" hidden="1">
              <a:extLst>
                <a:ext uri="{63B3BB69-23CF-44E3-9099-C40C66FF867C}">
                  <a14:compatExt spid="_x0000_s134192"/>
                </a:ext>
                <a:ext uri="{FF2B5EF4-FFF2-40B4-BE49-F238E27FC236}">
                  <a16:creationId xmlns:a16="http://schemas.microsoft.com/office/drawing/2014/main" id="{00000000-0008-0000-0A00-000030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Submerged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281</xdr:row>
          <xdr:rowOff>38100</xdr:rowOff>
        </xdr:from>
        <xdr:to>
          <xdr:col>2</xdr:col>
          <xdr:colOff>723900</xdr:colOff>
          <xdr:row>282</xdr:row>
          <xdr:rowOff>76200</xdr:rowOff>
        </xdr:to>
        <xdr:sp macro="" textlink="">
          <xdr:nvSpPr>
            <xdr:cNvPr id="134193" name="Check Box 49" hidden="1">
              <a:extLst>
                <a:ext uri="{63B3BB69-23CF-44E3-9099-C40C66FF867C}">
                  <a14:compatExt spid="_x0000_s134193"/>
                </a:ext>
                <a:ext uri="{FF2B5EF4-FFF2-40B4-BE49-F238E27FC236}">
                  <a16:creationId xmlns:a16="http://schemas.microsoft.com/office/drawing/2014/main" id="{00000000-0008-0000-0A00-000031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Moisture/Corrosion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17</xdr:row>
          <xdr:rowOff>47625</xdr:rowOff>
        </xdr:from>
        <xdr:to>
          <xdr:col>5</xdr:col>
          <xdr:colOff>504825</xdr:colOff>
          <xdr:row>18</xdr:row>
          <xdr:rowOff>0</xdr:rowOff>
        </xdr:to>
        <xdr:sp macro="" textlink="">
          <xdr:nvSpPr>
            <xdr:cNvPr id="134194" name="Check Box 50" descr="Gearbox" hidden="1">
              <a:extLst>
                <a:ext uri="{63B3BB69-23CF-44E3-9099-C40C66FF867C}">
                  <a14:compatExt spid="_x0000_s134194"/>
                </a:ext>
                <a:ext uri="{FF2B5EF4-FFF2-40B4-BE49-F238E27FC236}">
                  <a16:creationId xmlns:a16="http://schemas.microsoft.com/office/drawing/2014/main" id="{00000000-0008-0000-0A00-000032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Compressor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188</xdr:row>
          <xdr:rowOff>0</xdr:rowOff>
        </xdr:from>
        <xdr:to>
          <xdr:col>6</xdr:col>
          <xdr:colOff>419100</xdr:colOff>
          <xdr:row>189</xdr:row>
          <xdr:rowOff>47625</xdr:rowOff>
        </xdr:to>
        <xdr:sp macro="" textlink="">
          <xdr:nvSpPr>
            <xdr:cNvPr id="134195" name="Check Box 51" hidden="1">
              <a:extLst>
                <a:ext uri="{63B3BB69-23CF-44E3-9099-C40C66FF867C}">
                  <a14:compatExt spid="_x0000_s134195"/>
                </a:ext>
                <a:ext uri="{FF2B5EF4-FFF2-40B4-BE49-F238E27FC236}">
                  <a16:creationId xmlns:a16="http://schemas.microsoft.com/office/drawing/2014/main" id="{00000000-0008-0000-0A00-000033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Tapered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189</xdr:row>
          <xdr:rowOff>19050</xdr:rowOff>
        </xdr:from>
        <xdr:to>
          <xdr:col>6</xdr:col>
          <xdr:colOff>504825</xdr:colOff>
          <xdr:row>190</xdr:row>
          <xdr:rowOff>38100</xdr:rowOff>
        </xdr:to>
        <xdr:sp macro="" textlink="">
          <xdr:nvSpPr>
            <xdr:cNvPr id="134196" name="Check Box 52" hidden="1">
              <a:extLst>
                <a:ext uri="{63B3BB69-23CF-44E3-9099-C40C66FF867C}">
                  <a14:compatExt spid="_x0000_s134196"/>
                </a:ext>
                <a:ext uri="{FF2B5EF4-FFF2-40B4-BE49-F238E27FC236}">
                  <a16:creationId xmlns:a16="http://schemas.microsoft.com/office/drawing/2014/main" id="{00000000-0008-0000-0A00-000034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 of Round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190</xdr:row>
          <xdr:rowOff>28575</xdr:rowOff>
        </xdr:from>
        <xdr:to>
          <xdr:col>6</xdr:col>
          <xdr:colOff>523875</xdr:colOff>
          <xdr:row>191</xdr:row>
          <xdr:rowOff>38100</xdr:rowOff>
        </xdr:to>
        <xdr:sp macro="" textlink="">
          <xdr:nvSpPr>
            <xdr:cNvPr id="134197" name="Check Box 53" hidden="1">
              <a:extLst>
                <a:ext uri="{63B3BB69-23CF-44E3-9099-C40C66FF867C}">
                  <a14:compatExt spid="_x0000_s134197"/>
                </a:ext>
                <a:ext uri="{FF2B5EF4-FFF2-40B4-BE49-F238E27FC236}">
                  <a16:creationId xmlns:a16="http://schemas.microsoft.com/office/drawing/2014/main" id="{00000000-0008-0000-0A00-000035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Loose Material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188</xdr:row>
          <xdr:rowOff>9525</xdr:rowOff>
        </xdr:from>
        <xdr:to>
          <xdr:col>7</xdr:col>
          <xdr:colOff>466725</xdr:colOff>
          <xdr:row>189</xdr:row>
          <xdr:rowOff>38100</xdr:rowOff>
        </xdr:to>
        <xdr:sp macro="" textlink="">
          <xdr:nvSpPr>
            <xdr:cNvPr id="134198" name="Check Box 54" hidden="1">
              <a:extLst>
                <a:ext uri="{63B3BB69-23CF-44E3-9099-C40C66FF867C}">
                  <a14:compatExt spid="_x0000_s134198"/>
                </a:ext>
                <a:ext uri="{FF2B5EF4-FFF2-40B4-BE49-F238E27FC236}">
                  <a16:creationId xmlns:a16="http://schemas.microsoft.com/office/drawing/2014/main" id="{00000000-0008-0000-0A00-000036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Fretted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189</xdr:row>
          <xdr:rowOff>0</xdr:rowOff>
        </xdr:from>
        <xdr:to>
          <xdr:col>7</xdr:col>
          <xdr:colOff>447675</xdr:colOff>
          <xdr:row>190</xdr:row>
          <xdr:rowOff>47625</xdr:rowOff>
        </xdr:to>
        <xdr:sp macro="" textlink="">
          <xdr:nvSpPr>
            <xdr:cNvPr id="134199" name="Check Box 55" hidden="1">
              <a:extLst>
                <a:ext uri="{63B3BB69-23CF-44E3-9099-C40C66FF867C}">
                  <a14:compatExt spid="_x0000_s134199"/>
                </a:ext>
                <a:ext uri="{FF2B5EF4-FFF2-40B4-BE49-F238E27FC236}">
                  <a16:creationId xmlns:a16="http://schemas.microsoft.com/office/drawing/2014/main" id="{00000000-0008-0000-0A00-000037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Galled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189</xdr:row>
          <xdr:rowOff>180975</xdr:rowOff>
        </xdr:from>
        <xdr:to>
          <xdr:col>7</xdr:col>
          <xdr:colOff>485775</xdr:colOff>
          <xdr:row>191</xdr:row>
          <xdr:rowOff>57150</xdr:rowOff>
        </xdr:to>
        <xdr:sp macro="" textlink="">
          <xdr:nvSpPr>
            <xdr:cNvPr id="134200" name="Check Box 56" hidden="1">
              <a:extLst>
                <a:ext uri="{63B3BB69-23CF-44E3-9099-C40C66FF867C}">
                  <a14:compatExt spid="_x0000_s134200"/>
                </a:ext>
                <a:ext uri="{FF2B5EF4-FFF2-40B4-BE49-F238E27FC236}">
                  <a16:creationId xmlns:a16="http://schemas.microsoft.com/office/drawing/2014/main" id="{00000000-0008-0000-0A00-000038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192</xdr:row>
          <xdr:rowOff>180975</xdr:rowOff>
        </xdr:from>
        <xdr:to>
          <xdr:col>1</xdr:col>
          <xdr:colOff>200025</xdr:colOff>
          <xdr:row>193</xdr:row>
          <xdr:rowOff>180975</xdr:rowOff>
        </xdr:to>
        <xdr:sp macro="" textlink="">
          <xdr:nvSpPr>
            <xdr:cNvPr id="134201" name="Check Box 57" hidden="1">
              <a:extLst>
                <a:ext uri="{63B3BB69-23CF-44E3-9099-C40C66FF867C}">
                  <a14:compatExt spid="_x0000_s134201"/>
                </a:ext>
                <a:ext uri="{FF2B5EF4-FFF2-40B4-BE49-F238E27FC236}">
                  <a16:creationId xmlns:a16="http://schemas.microsoft.com/office/drawing/2014/main" id="{00000000-0008-0000-0A00-000039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125</xdr:row>
          <xdr:rowOff>171450</xdr:rowOff>
        </xdr:from>
        <xdr:to>
          <xdr:col>2</xdr:col>
          <xdr:colOff>152400</xdr:colOff>
          <xdr:row>127</xdr:row>
          <xdr:rowOff>0</xdr:rowOff>
        </xdr:to>
        <xdr:sp macro="" textlink="">
          <xdr:nvSpPr>
            <xdr:cNvPr id="134202" name="Check Box 58" hidden="1">
              <a:extLst>
                <a:ext uri="{63B3BB69-23CF-44E3-9099-C40C66FF867C}">
                  <a14:compatExt spid="_x0000_s134202"/>
                </a:ext>
                <a:ext uri="{FF2B5EF4-FFF2-40B4-BE49-F238E27FC236}">
                  <a16:creationId xmlns:a16="http://schemas.microsoft.com/office/drawing/2014/main" id="{00000000-0008-0000-0A00-00003A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Measured With Load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296</xdr:row>
          <xdr:rowOff>0</xdr:rowOff>
        </xdr:from>
        <xdr:to>
          <xdr:col>1</xdr:col>
          <xdr:colOff>333375</xdr:colOff>
          <xdr:row>297</xdr:row>
          <xdr:rowOff>57150</xdr:rowOff>
        </xdr:to>
        <xdr:sp macro="" textlink="">
          <xdr:nvSpPr>
            <xdr:cNvPr id="134203" name="Check Box 59" hidden="1">
              <a:extLst>
                <a:ext uri="{63B3BB69-23CF-44E3-9099-C40C66FF867C}">
                  <a14:compatExt spid="_x0000_s134203"/>
                </a:ext>
                <a:ext uri="{FF2B5EF4-FFF2-40B4-BE49-F238E27FC236}">
                  <a16:creationId xmlns:a16="http://schemas.microsoft.com/office/drawing/2014/main" id="{00000000-0008-0000-0A00-00003B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Inpsect Motor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297</xdr:row>
          <xdr:rowOff>19050</xdr:rowOff>
        </xdr:from>
        <xdr:to>
          <xdr:col>2</xdr:col>
          <xdr:colOff>76200</xdr:colOff>
          <xdr:row>298</xdr:row>
          <xdr:rowOff>76200</xdr:rowOff>
        </xdr:to>
        <xdr:sp macro="" textlink="">
          <xdr:nvSpPr>
            <xdr:cNvPr id="134204" name="Check Box 60" hidden="1">
              <a:extLst>
                <a:ext uri="{63B3BB69-23CF-44E3-9099-C40C66FF867C}">
                  <a14:compatExt spid="_x0000_s134204"/>
                </a:ext>
                <a:ext uri="{FF2B5EF4-FFF2-40B4-BE49-F238E27FC236}">
                  <a16:creationId xmlns:a16="http://schemas.microsoft.com/office/drawing/2014/main" id="{00000000-0008-0000-0A00-00003C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Test Run (before disassembly)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303</xdr:row>
          <xdr:rowOff>104775</xdr:rowOff>
        </xdr:from>
        <xdr:to>
          <xdr:col>1</xdr:col>
          <xdr:colOff>342900</xdr:colOff>
          <xdr:row>304</xdr:row>
          <xdr:rowOff>161925</xdr:rowOff>
        </xdr:to>
        <xdr:sp macro="" textlink="">
          <xdr:nvSpPr>
            <xdr:cNvPr id="134205" name="Check Box 61" hidden="1">
              <a:extLst>
                <a:ext uri="{63B3BB69-23CF-44E3-9099-C40C66FF867C}">
                  <a14:compatExt spid="_x0000_s134205"/>
                </a:ext>
                <a:ext uri="{FF2B5EF4-FFF2-40B4-BE49-F238E27FC236}">
                  <a16:creationId xmlns:a16="http://schemas.microsoft.com/office/drawing/2014/main" id="{00000000-0008-0000-0A00-00003D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Balance Rotor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299</xdr:row>
          <xdr:rowOff>38100</xdr:rowOff>
        </xdr:from>
        <xdr:to>
          <xdr:col>2</xdr:col>
          <xdr:colOff>228600</xdr:colOff>
          <xdr:row>300</xdr:row>
          <xdr:rowOff>95250</xdr:rowOff>
        </xdr:to>
        <xdr:sp macro="" textlink="">
          <xdr:nvSpPr>
            <xdr:cNvPr id="134206" name="Check Box 62" hidden="1">
              <a:extLst>
                <a:ext uri="{63B3BB69-23CF-44E3-9099-C40C66FF867C}">
                  <a14:compatExt spid="_x0000_s134206"/>
                </a:ext>
                <a:ext uri="{FF2B5EF4-FFF2-40B4-BE49-F238E27FC236}">
                  <a16:creationId xmlns:a16="http://schemas.microsoft.com/office/drawing/2014/main" id="{00000000-0008-0000-0A00-00003E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Shaft, Housing and Journal Fits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300</xdr:row>
          <xdr:rowOff>57150</xdr:rowOff>
        </xdr:from>
        <xdr:to>
          <xdr:col>1</xdr:col>
          <xdr:colOff>847725</xdr:colOff>
          <xdr:row>301</xdr:row>
          <xdr:rowOff>114300</xdr:rowOff>
        </xdr:to>
        <xdr:sp macro="" textlink="">
          <xdr:nvSpPr>
            <xdr:cNvPr id="134207" name="Check Box 63" hidden="1">
              <a:extLst>
                <a:ext uri="{63B3BB69-23CF-44E3-9099-C40C66FF867C}">
                  <a14:compatExt spid="_x0000_s134207"/>
                </a:ext>
                <a:ext uri="{FF2B5EF4-FFF2-40B4-BE49-F238E27FC236}">
                  <a16:creationId xmlns:a16="http://schemas.microsoft.com/office/drawing/2014/main" id="{00000000-0008-0000-0A00-00003F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Perform Surge &amp; HiPot Tests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302</xdr:row>
          <xdr:rowOff>85725</xdr:rowOff>
        </xdr:from>
        <xdr:to>
          <xdr:col>1</xdr:col>
          <xdr:colOff>847725</xdr:colOff>
          <xdr:row>303</xdr:row>
          <xdr:rowOff>142875</xdr:rowOff>
        </xdr:to>
        <xdr:sp macro="" textlink="">
          <xdr:nvSpPr>
            <xdr:cNvPr id="134208" name="Check Box 64" hidden="1">
              <a:extLst>
                <a:ext uri="{63B3BB69-23CF-44E3-9099-C40C66FF867C}">
                  <a14:compatExt spid="_x0000_s134208"/>
                </a:ext>
                <a:ext uri="{FF2B5EF4-FFF2-40B4-BE49-F238E27FC236}">
                  <a16:creationId xmlns:a16="http://schemas.microsoft.com/office/drawing/2014/main" id="{00000000-0008-0000-0A00-000040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Clean Parts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298</xdr:row>
          <xdr:rowOff>38100</xdr:rowOff>
        </xdr:from>
        <xdr:to>
          <xdr:col>1</xdr:col>
          <xdr:colOff>847725</xdr:colOff>
          <xdr:row>299</xdr:row>
          <xdr:rowOff>76200</xdr:rowOff>
        </xdr:to>
        <xdr:sp macro="" textlink="">
          <xdr:nvSpPr>
            <xdr:cNvPr id="134209" name="Check Box 65" hidden="1">
              <a:extLst>
                <a:ext uri="{63B3BB69-23CF-44E3-9099-C40C66FF867C}">
                  <a14:compatExt spid="_x0000_s134209"/>
                </a:ext>
                <a:ext uri="{FF2B5EF4-FFF2-40B4-BE49-F238E27FC236}">
                  <a16:creationId xmlns:a16="http://schemas.microsoft.com/office/drawing/2014/main" id="{00000000-0008-0000-0A00-000041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Disassemble Motor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296</xdr:row>
          <xdr:rowOff>9525</xdr:rowOff>
        </xdr:from>
        <xdr:to>
          <xdr:col>3</xdr:col>
          <xdr:colOff>695325</xdr:colOff>
          <xdr:row>297</xdr:row>
          <xdr:rowOff>66675</xdr:rowOff>
        </xdr:to>
        <xdr:sp macro="" textlink="">
          <xdr:nvSpPr>
            <xdr:cNvPr id="134210" name="Check Box 66" hidden="1">
              <a:extLst>
                <a:ext uri="{63B3BB69-23CF-44E3-9099-C40C66FF867C}">
                  <a14:compatExt spid="_x0000_s134210"/>
                </a:ext>
                <a:ext uri="{FF2B5EF4-FFF2-40B4-BE49-F238E27FC236}">
                  <a16:creationId xmlns:a16="http://schemas.microsoft.com/office/drawing/2014/main" id="{00000000-0008-0000-0A00-000042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Dip and Bake Stator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297</xdr:row>
          <xdr:rowOff>28575</xdr:rowOff>
        </xdr:from>
        <xdr:to>
          <xdr:col>3</xdr:col>
          <xdr:colOff>695325</xdr:colOff>
          <xdr:row>298</xdr:row>
          <xdr:rowOff>76200</xdr:rowOff>
        </xdr:to>
        <xdr:sp macro="" textlink="">
          <xdr:nvSpPr>
            <xdr:cNvPr id="134211" name="Check Box 67" hidden="1">
              <a:extLst>
                <a:ext uri="{63B3BB69-23CF-44E3-9099-C40C66FF867C}">
                  <a14:compatExt spid="_x0000_s134211"/>
                </a:ext>
                <a:ext uri="{FF2B5EF4-FFF2-40B4-BE49-F238E27FC236}">
                  <a16:creationId xmlns:a16="http://schemas.microsoft.com/office/drawing/2014/main" id="{00000000-0008-0000-0A00-000043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Assemble Motor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298</xdr:row>
          <xdr:rowOff>38100</xdr:rowOff>
        </xdr:from>
        <xdr:to>
          <xdr:col>4</xdr:col>
          <xdr:colOff>171450</xdr:colOff>
          <xdr:row>299</xdr:row>
          <xdr:rowOff>85725</xdr:rowOff>
        </xdr:to>
        <xdr:sp macro="" textlink="">
          <xdr:nvSpPr>
            <xdr:cNvPr id="134212" name="Check Box 68" hidden="1">
              <a:extLst>
                <a:ext uri="{63B3BB69-23CF-44E3-9099-C40C66FF867C}">
                  <a14:compatExt spid="_x0000_s134212"/>
                </a:ext>
                <a:ext uri="{FF2B5EF4-FFF2-40B4-BE49-F238E27FC236}">
                  <a16:creationId xmlns:a16="http://schemas.microsoft.com/office/drawing/2014/main" id="{00000000-0008-0000-0A00-000044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Test Run (after assembly)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302</xdr:row>
          <xdr:rowOff>95250</xdr:rowOff>
        </xdr:from>
        <xdr:to>
          <xdr:col>3</xdr:col>
          <xdr:colOff>542925</xdr:colOff>
          <xdr:row>303</xdr:row>
          <xdr:rowOff>142875</xdr:rowOff>
        </xdr:to>
        <xdr:sp macro="" textlink="">
          <xdr:nvSpPr>
            <xdr:cNvPr id="134213" name="Check Box 69" hidden="1">
              <a:extLst>
                <a:ext uri="{63B3BB69-23CF-44E3-9099-C40C66FF867C}">
                  <a14:compatExt spid="_x0000_s134213"/>
                </a:ext>
                <a:ext uri="{FF2B5EF4-FFF2-40B4-BE49-F238E27FC236}">
                  <a16:creationId xmlns:a16="http://schemas.microsoft.com/office/drawing/2014/main" id="{00000000-0008-0000-0A00-000045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Tag Motor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301</xdr:row>
          <xdr:rowOff>85725</xdr:rowOff>
        </xdr:from>
        <xdr:to>
          <xdr:col>3</xdr:col>
          <xdr:colOff>695325</xdr:colOff>
          <xdr:row>302</xdr:row>
          <xdr:rowOff>133350</xdr:rowOff>
        </xdr:to>
        <xdr:sp macro="" textlink="">
          <xdr:nvSpPr>
            <xdr:cNvPr id="134214" name="Check Box 70" hidden="1">
              <a:extLst>
                <a:ext uri="{63B3BB69-23CF-44E3-9099-C40C66FF867C}">
                  <a14:compatExt spid="_x0000_s134214"/>
                </a:ext>
                <a:ext uri="{FF2B5EF4-FFF2-40B4-BE49-F238E27FC236}">
                  <a16:creationId xmlns:a16="http://schemas.microsoft.com/office/drawing/2014/main" id="{00000000-0008-0000-0A00-000046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Paint Motor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301</xdr:row>
          <xdr:rowOff>76200</xdr:rowOff>
        </xdr:from>
        <xdr:to>
          <xdr:col>1</xdr:col>
          <xdr:colOff>847725</xdr:colOff>
          <xdr:row>302</xdr:row>
          <xdr:rowOff>123825</xdr:rowOff>
        </xdr:to>
        <xdr:sp macro="" textlink="">
          <xdr:nvSpPr>
            <xdr:cNvPr id="134215" name="Check Box 71" hidden="1">
              <a:extLst>
                <a:ext uri="{63B3BB69-23CF-44E3-9099-C40C66FF867C}">
                  <a14:compatExt spid="_x0000_s134215"/>
                </a:ext>
                <a:ext uri="{FF2B5EF4-FFF2-40B4-BE49-F238E27FC236}">
                  <a16:creationId xmlns:a16="http://schemas.microsoft.com/office/drawing/2014/main" id="{00000000-0008-0000-0A00-000047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Perform Core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299</xdr:row>
          <xdr:rowOff>57150</xdr:rowOff>
        </xdr:from>
        <xdr:to>
          <xdr:col>3</xdr:col>
          <xdr:colOff>342900</xdr:colOff>
          <xdr:row>300</xdr:row>
          <xdr:rowOff>95250</xdr:rowOff>
        </xdr:to>
        <xdr:sp macro="" textlink="">
          <xdr:nvSpPr>
            <xdr:cNvPr id="134216" name="Check Box 72" hidden="1">
              <a:extLst>
                <a:ext uri="{63B3BB69-23CF-44E3-9099-C40C66FF867C}">
                  <a14:compatExt spid="_x0000_s134216"/>
                </a:ext>
                <a:ext uri="{FF2B5EF4-FFF2-40B4-BE49-F238E27FC236}">
                  <a16:creationId xmlns:a16="http://schemas.microsoft.com/office/drawing/2014/main" id="{00000000-0008-0000-0A00-000048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Reinsulate Leads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300</xdr:row>
          <xdr:rowOff>85725</xdr:rowOff>
        </xdr:from>
        <xdr:to>
          <xdr:col>3</xdr:col>
          <xdr:colOff>904875</xdr:colOff>
          <xdr:row>301</xdr:row>
          <xdr:rowOff>95250</xdr:rowOff>
        </xdr:to>
        <xdr:sp macro="" textlink="">
          <xdr:nvSpPr>
            <xdr:cNvPr id="134217" name="Check Box 73" hidden="1">
              <a:extLst>
                <a:ext uri="{63B3BB69-23CF-44E3-9099-C40C66FF867C}">
                  <a14:compatExt spid="_x0000_s134217"/>
                </a:ext>
                <a:ext uri="{FF2B5EF4-FFF2-40B4-BE49-F238E27FC236}">
                  <a16:creationId xmlns:a16="http://schemas.microsoft.com/office/drawing/2014/main" id="{00000000-0008-0000-0A00-000049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Make New Gaskets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301</xdr:row>
          <xdr:rowOff>95250</xdr:rowOff>
        </xdr:from>
        <xdr:to>
          <xdr:col>8</xdr:col>
          <xdr:colOff>247650</xdr:colOff>
          <xdr:row>302</xdr:row>
          <xdr:rowOff>152400</xdr:rowOff>
        </xdr:to>
        <xdr:sp macro="" textlink="">
          <xdr:nvSpPr>
            <xdr:cNvPr id="134218" name="Check Box 74" hidden="1">
              <a:extLst>
                <a:ext uri="{63B3BB69-23CF-44E3-9099-C40C66FF867C}">
                  <a14:compatExt spid="_x0000_s134218"/>
                </a:ext>
                <a:ext uri="{FF2B5EF4-FFF2-40B4-BE49-F238E27FC236}">
                  <a16:creationId xmlns:a16="http://schemas.microsoft.com/office/drawing/2014/main" id="{00000000-0008-0000-0A00-00004A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Cut Face True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302</xdr:row>
          <xdr:rowOff>142875</xdr:rowOff>
        </xdr:from>
        <xdr:to>
          <xdr:col>7</xdr:col>
          <xdr:colOff>533400</xdr:colOff>
          <xdr:row>303</xdr:row>
          <xdr:rowOff>152400</xdr:rowOff>
        </xdr:to>
        <xdr:sp macro="" textlink="">
          <xdr:nvSpPr>
            <xdr:cNvPr id="134219" name="Check Box 75" hidden="1">
              <a:extLst>
                <a:ext uri="{63B3BB69-23CF-44E3-9099-C40C66FF867C}">
                  <a14:compatExt spid="_x0000_s134219"/>
                </a:ext>
                <a:ext uri="{FF2B5EF4-FFF2-40B4-BE49-F238E27FC236}">
                  <a16:creationId xmlns:a16="http://schemas.microsoft.com/office/drawing/2014/main" id="{00000000-0008-0000-0A00-00004B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Cut Register True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866775</xdr:colOff>
          <xdr:row>17</xdr:row>
          <xdr:rowOff>47625</xdr:rowOff>
        </xdr:from>
        <xdr:to>
          <xdr:col>4</xdr:col>
          <xdr:colOff>561975</xdr:colOff>
          <xdr:row>17</xdr:row>
          <xdr:rowOff>257175</xdr:rowOff>
        </xdr:to>
        <xdr:sp macro="" textlink="">
          <xdr:nvSpPr>
            <xdr:cNvPr id="134220" name="Check Box 76" hidden="1">
              <a:extLst>
                <a:ext uri="{63B3BB69-23CF-44E3-9099-C40C66FF867C}">
                  <a14:compatExt spid="_x0000_s134220"/>
                </a:ext>
                <a:ext uri="{FF2B5EF4-FFF2-40B4-BE49-F238E27FC236}">
                  <a16:creationId xmlns:a16="http://schemas.microsoft.com/office/drawing/2014/main" id="{00000000-0008-0000-0A00-00004C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24</xdr:row>
          <xdr:rowOff>28575</xdr:rowOff>
        </xdr:from>
        <xdr:to>
          <xdr:col>7</xdr:col>
          <xdr:colOff>342900</xdr:colOff>
          <xdr:row>25</xdr:row>
          <xdr:rowOff>47625</xdr:rowOff>
        </xdr:to>
        <xdr:sp macro="" textlink="">
          <xdr:nvSpPr>
            <xdr:cNvPr id="134221" name="Check Box 77" hidden="1">
              <a:extLst>
                <a:ext uri="{63B3BB69-23CF-44E3-9099-C40C66FF867C}">
                  <a14:compatExt spid="_x0000_s134221"/>
                </a:ext>
                <a:ext uri="{FF2B5EF4-FFF2-40B4-BE49-F238E27FC236}">
                  <a16:creationId xmlns:a16="http://schemas.microsoft.com/office/drawing/2014/main" id="{00000000-0008-0000-0A00-00004D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Dirty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25</xdr:row>
          <xdr:rowOff>142875</xdr:rowOff>
        </xdr:from>
        <xdr:to>
          <xdr:col>6</xdr:col>
          <xdr:colOff>428625</xdr:colOff>
          <xdr:row>26</xdr:row>
          <xdr:rowOff>161925</xdr:rowOff>
        </xdr:to>
        <xdr:sp macro="" textlink="">
          <xdr:nvSpPr>
            <xdr:cNvPr id="134222" name="Check Box 78" hidden="1">
              <a:extLst>
                <a:ext uri="{63B3BB69-23CF-44E3-9099-C40C66FF867C}">
                  <a14:compatExt spid="_x0000_s134222"/>
                </a:ext>
                <a:ext uri="{FF2B5EF4-FFF2-40B4-BE49-F238E27FC236}">
                  <a16:creationId xmlns:a16="http://schemas.microsoft.com/office/drawing/2014/main" id="{00000000-0008-0000-0A00-00004E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Oily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24</xdr:row>
          <xdr:rowOff>38100</xdr:rowOff>
        </xdr:from>
        <xdr:to>
          <xdr:col>8</xdr:col>
          <xdr:colOff>133350</xdr:colOff>
          <xdr:row>25</xdr:row>
          <xdr:rowOff>57150</xdr:rowOff>
        </xdr:to>
        <xdr:sp macro="" textlink="">
          <xdr:nvSpPr>
            <xdr:cNvPr id="134223" name="Check Box 79" hidden="1">
              <a:extLst>
                <a:ext uri="{63B3BB69-23CF-44E3-9099-C40C66FF867C}">
                  <a14:compatExt spid="_x0000_s134223"/>
                </a:ext>
                <a:ext uri="{FF2B5EF4-FFF2-40B4-BE49-F238E27FC236}">
                  <a16:creationId xmlns:a16="http://schemas.microsoft.com/office/drawing/2014/main" id="{00000000-0008-0000-0A00-00004F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Grimy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25</xdr:row>
          <xdr:rowOff>142875</xdr:rowOff>
        </xdr:from>
        <xdr:to>
          <xdr:col>7</xdr:col>
          <xdr:colOff>342900</xdr:colOff>
          <xdr:row>26</xdr:row>
          <xdr:rowOff>161925</xdr:rowOff>
        </xdr:to>
        <xdr:sp macro="" textlink="">
          <xdr:nvSpPr>
            <xdr:cNvPr id="134224" name="Check Box 80" hidden="1">
              <a:extLst>
                <a:ext uri="{63B3BB69-23CF-44E3-9099-C40C66FF867C}">
                  <a14:compatExt spid="_x0000_s134224"/>
                </a:ext>
                <a:ext uri="{FF2B5EF4-FFF2-40B4-BE49-F238E27FC236}">
                  <a16:creationId xmlns:a16="http://schemas.microsoft.com/office/drawing/2014/main" id="{00000000-0008-0000-0A00-000050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Corroded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24</xdr:row>
          <xdr:rowOff>28575</xdr:rowOff>
        </xdr:from>
        <xdr:to>
          <xdr:col>6</xdr:col>
          <xdr:colOff>428625</xdr:colOff>
          <xdr:row>25</xdr:row>
          <xdr:rowOff>47625</xdr:rowOff>
        </xdr:to>
        <xdr:sp macro="" textlink="">
          <xdr:nvSpPr>
            <xdr:cNvPr id="134225" name="Check Box 81" hidden="1">
              <a:extLst>
                <a:ext uri="{63B3BB69-23CF-44E3-9099-C40C66FF867C}">
                  <a14:compatExt spid="_x0000_s134225"/>
                </a:ext>
                <a:ext uri="{FF2B5EF4-FFF2-40B4-BE49-F238E27FC236}">
                  <a16:creationId xmlns:a16="http://schemas.microsoft.com/office/drawing/2014/main" id="{00000000-0008-0000-0A00-000051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25</xdr:row>
          <xdr:rowOff>152400</xdr:rowOff>
        </xdr:from>
        <xdr:to>
          <xdr:col>8</xdr:col>
          <xdr:colOff>104775</xdr:colOff>
          <xdr:row>26</xdr:row>
          <xdr:rowOff>171450</xdr:rowOff>
        </xdr:to>
        <xdr:sp macro="" textlink="">
          <xdr:nvSpPr>
            <xdr:cNvPr id="134226" name="Check Box 82" hidden="1">
              <a:extLst>
                <a:ext uri="{63B3BB69-23CF-44E3-9099-C40C66FF867C}">
                  <a14:compatExt spid="_x0000_s134226"/>
                </a:ext>
                <a:ext uri="{FF2B5EF4-FFF2-40B4-BE49-F238E27FC236}">
                  <a16:creationId xmlns:a16="http://schemas.microsoft.com/office/drawing/2014/main" id="{00000000-0008-0000-0A00-000052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Burned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35</xdr:row>
          <xdr:rowOff>66675</xdr:rowOff>
        </xdr:from>
        <xdr:to>
          <xdr:col>4</xdr:col>
          <xdr:colOff>581025</xdr:colOff>
          <xdr:row>36</xdr:row>
          <xdr:rowOff>95250</xdr:rowOff>
        </xdr:to>
        <xdr:sp macro="" textlink="">
          <xdr:nvSpPr>
            <xdr:cNvPr id="134227" name="Check Box 83" hidden="1">
              <a:extLst>
                <a:ext uri="{63B3BB69-23CF-44E3-9099-C40C66FF867C}">
                  <a14:compatExt spid="_x0000_s134227"/>
                </a:ext>
                <a:ext uri="{FF2B5EF4-FFF2-40B4-BE49-F238E27FC236}">
                  <a16:creationId xmlns:a16="http://schemas.microsoft.com/office/drawing/2014/main" id="{00000000-0008-0000-0A00-000053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Re-insulate Leads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35</xdr:row>
          <xdr:rowOff>66675</xdr:rowOff>
        </xdr:from>
        <xdr:to>
          <xdr:col>3</xdr:col>
          <xdr:colOff>19050</xdr:colOff>
          <xdr:row>36</xdr:row>
          <xdr:rowOff>85725</xdr:rowOff>
        </xdr:to>
        <xdr:sp macro="" textlink="">
          <xdr:nvSpPr>
            <xdr:cNvPr id="134228" name="Check Box 84" hidden="1">
              <a:extLst>
                <a:ext uri="{63B3BB69-23CF-44E3-9099-C40C66FF867C}">
                  <a14:compatExt spid="_x0000_s134228"/>
                </a:ext>
                <a:ext uri="{FF2B5EF4-FFF2-40B4-BE49-F238E27FC236}">
                  <a16:creationId xmlns:a16="http://schemas.microsoft.com/office/drawing/2014/main" id="{00000000-0008-0000-0A00-000054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Add Metal Tags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36</xdr:row>
          <xdr:rowOff>161925</xdr:rowOff>
        </xdr:from>
        <xdr:to>
          <xdr:col>3</xdr:col>
          <xdr:colOff>219075</xdr:colOff>
          <xdr:row>37</xdr:row>
          <xdr:rowOff>180975</xdr:rowOff>
        </xdr:to>
        <xdr:sp macro="" textlink="">
          <xdr:nvSpPr>
            <xdr:cNvPr id="134229" name="Check Box 85" hidden="1">
              <a:extLst>
                <a:ext uri="{63B3BB69-23CF-44E3-9099-C40C66FF867C}">
                  <a14:compatExt spid="_x0000_s134229"/>
                </a:ext>
                <a:ext uri="{FF2B5EF4-FFF2-40B4-BE49-F238E27FC236}">
                  <a16:creationId xmlns:a16="http://schemas.microsoft.com/office/drawing/2014/main" id="{00000000-0008-0000-0A00-000055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Re-Apply Color tape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36</xdr:row>
          <xdr:rowOff>161925</xdr:rowOff>
        </xdr:from>
        <xdr:to>
          <xdr:col>4</xdr:col>
          <xdr:colOff>523875</xdr:colOff>
          <xdr:row>37</xdr:row>
          <xdr:rowOff>180975</xdr:rowOff>
        </xdr:to>
        <xdr:sp macro="" textlink="">
          <xdr:nvSpPr>
            <xdr:cNvPr id="134230" name="Check Box 86" hidden="1">
              <a:extLst>
                <a:ext uri="{63B3BB69-23CF-44E3-9099-C40C66FF867C}">
                  <a14:compatExt spid="_x0000_s134230"/>
                </a:ext>
                <a:ext uri="{FF2B5EF4-FFF2-40B4-BE49-F238E27FC236}">
                  <a16:creationId xmlns:a16="http://schemas.microsoft.com/office/drawing/2014/main" id="{00000000-0008-0000-0A00-000056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Seal Leads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35</xdr:row>
          <xdr:rowOff>66675</xdr:rowOff>
        </xdr:from>
        <xdr:to>
          <xdr:col>7</xdr:col>
          <xdr:colOff>285750</xdr:colOff>
          <xdr:row>36</xdr:row>
          <xdr:rowOff>76200</xdr:rowOff>
        </xdr:to>
        <xdr:sp macro="" textlink="">
          <xdr:nvSpPr>
            <xdr:cNvPr id="134231" name="Check Box 87" hidden="1">
              <a:extLst>
                <a:ext uri="{63B3BB69-23CF-44E3-9099-C40C66FF867C}">
                  <a14:compatExt spid="_x0000_s134231"/>
                </a:ext>
                <a:ext uri="{FF2B5EF4-FFF2-40B4-BE49-F238E27FC236}">
                  <a16:creationId xmlns:a16="http://schemas.microsoft.com/office/drawing/2014/main" id="{00000000-0008-0000-0A00-000057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Splice Lead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36</xdr:row>
          <xdr:rowOff>161925</xdr:rowOff>
        </xdr:from>
        <xdr:to>
          <xdr:col>7</xdr:col>
          <xdr:colOff>304800</xdr:colOff>
          <xdr:row>37</xdr:row>
          <xdr:rowOff>180975</xdr:rowOff>
        </xdr:to>
        <xdr:sp macro="" textlink="">
          <xdr:nvSpPr>
            <xdr:cNvPr id="134232" name="Check Box 88" hidden="1">
              <a:extLst>
                <a:ext uri="{63B3BB69-23CF-44E3-9099-C40C66FF867C}">
                  <a14:compatExt spid="_x0000_s134232"/>
                </a:ext>
                <a:ext uri="{FF2B5EF4-FFF2-40B4-BE49-F238E27FC236}">
                  <a16:creationId xmlns:a16="http://schemas.microsoft.com/office/drawing/2014/main" id="{00000000-0008-0000-0A00-000058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Re-lead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36</xdr:row>
          <xdr:rowOff>161925</xdr:rowOff>
        </xdr:from>
        <xdr:to>
          <xdr:col>5</xdr:col>
          <xdr:colOff>581025</xdr:colOff>
          <xdr:row>37</xdr:row>
          <xdr:rowOff>180975</xdr:rowOff>
        </xdr:to>
        <xdr:sp macro="" textlink="">
          <xdr:nvSpPr>
            <xdr:cNvPr id="134233" name="Check Box 89" hidden="1">
              <a:extLst>
                <a:ext uri="{63B3BB69-23CF-44E3-9099-C40C66FF867C}">
                  <a14:compatExt spid="_x0000_s134233"/>
                </a:ext>
                <a:ext uri="{FF2B5EF4-FFF2-40B4-BE49-F238E27FC236}">
                  <a16:creationId xmlns:a16="http://schemas.microsoft.com/office/drawing/2014/main" id="{00000000-0008-0000-0A00-000059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Sodder Leads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35</xdr:row>
          <xdr:rowOff>66675</xdr:rowOff>
        </xdr:from>
        <xdr:to>
          <xdr:col>5</xdr:col>
          <xdr:colOff>552450</xdr:colOff>
          <xdr:row>36</xdr:row>
          <xdr:rowOff>95250</xdr:rowOff>
        </xdr:to>
        <xdr:sp macro="" textlink="">
          <xdr:nvSpPr>
            <xdr:cNvPr id="134234" name="Check Box 90" hidden="1">
              <a:extLst>
                <a:ext uri="{63B3BB69-23CF-44E3-9099-C40C66FF867C}">
                  <a14:compatExt spid="_x0000_s134234"/>
                </a:ext>
                <a:ext uri="{FF2B5EF4-FFF2-40B4-BE49-F238E27FC236}">
                  <a16:creationId xmlns:a16="http://schemas.microsoft.com/office/drawing/2014/main" id="{00000000-0008-0000-0A00-00005A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Re-Lug Leads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31</xdr:row>
          <xdr:rowOff>28575</xdr:rowOff>
        </xdr:from>
        <xdr:to>
          <xdr:col>7</xdr:col>
          <xdr:colOff>381000</xdr:colOff>
          <xdr:row>32</xdr:row>
          <xdr:rowOff>57150</xdr:rowOff>
        </xdr:to>
        <xdr:sp macro="" textlink="">
          <xdr:nvSpPr>
            <xdr:cNvPr id="134235" name="Check Box 91" hidden="1">
              <a:extLst>
                <a:ext uri="{63B3BB69-23CF-44E3-9099-C40C66FF867C}">
                  <a14:compatExt spid="_x0000_s134235"/>
                </a:ext>
                <a:ext uri="{FF2B5EF4-FFF2-40B4-BE49-F238E27FC236}">
                  <a16:creationId xmlns:a16="http://schemas.microsoft.com/office/drawing/2014/main" id="{00000000-0008-0000-0A00-00005B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Leads Received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38</xdr:row>
          <xdr:rowOff>171450</xdr:rowOff>
        </xdr:from>
        <xdr:to>
          <xdr:col>1</xdr:col>
          <xdr:colOff>571500</xdr:colOff>
          <xdr:row>40</xdr:row>
          <xdr:rowOff>28575</xdr:rowOff>
        </xdr:to>
        <xdr:sp macro="" textlink="">
          <xdr:nvSpPr>
            <xdr:cNvPr id="134237" name="Check Box 93" hidden="1">
              <a:extLst>
                <a:ext uri="{63B3BB69-23CF-44E3-9099-C40C66FF867C}">
                  <a14:compatExt spid="_x0000_s134237"/>
                </a:ext>
                <a:ext uri="{FF2B5EF4-FFF2-40B4-BE49-F238E27FC236}">
                  <a16:creationId xmlns:a16="http://schemas.microsoft.com/office/drawing/2014/main" id="{00000000-0008-0000-0A00-00005D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38</xdr:row>
          <xdr:rowOff>180975</xdr:rowOff>
        </xdr:from>
        <xdr:to>
          <xdr:col>6</xdr:col>
          <xdr:colOff>123825</xdr:colOff>
          <xdr:row>40</xdr:row>
          <xdr:rowOff>19050</xdr:rowOff>
        </xdr:to>
        <xdr:sp macro="" textlink="">
          <xdr:nvSpPr>
            <xdr:cNvPr id="134238" name="Check Box 94" hidden="1">
              <a:extLst>
                <a:ext uri="{63B3BB69-23CF-44E3-9099-C40C66FF867C}">
                  <a14:compatExt spid="_x0000_s134238"/>
                </a:ext>
                <a:ext uri="{FF2B5EF4-FFF2-40B4-BE49-F238E27FC236}">
                  <a16:creationId xmlns:a16="http://schemas.microsoft.com/office/drawing/2014/main" id="{00000000-0008-0000-0A00-00005E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47</xdr:row>
          <xdr:rowOff>161925</xdr:rowOff>
        </xdr:from>
        <xdr:to>
          <xdr:col>6</xdr:col>
          <xdr:colOff>276225</xdr:colOff>
          <xdr:row>49</xdr:row>
          <xdr:rowOff>28575</xdr:rowOff>
        </xdr:to>
        <xdr:sp macro="" textlink="">
          <xdr:nvSpPr>
            <xdr:cNvPr id="134239" name="Check Box 95" hidden="1">
              <a:extLst>
                <a:ext uri="{63B3BB69-23CF-44E3-9099-C40C66FF867C}">
                  <a14:compatExt spid="_x0000_s134239"/>
                </a:ext>
                <a:ext uri="{FF2B5EF4-FFF2-40B4-BE49-F238E27FC236}">
                  <a16:creationId xmlns:a16="http://schemas.microsoft.com/office/drawing/2014/main" id="{00000000-0008-0000-0A00-00005F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283</xdr:row>
          <xdr:rowOff>19050</xdr:rowOff>
        </xdr:from>
        <xdr:to>
          <xdr:col>2</xdr:col>
          <xdr:colOff>800100</xdr:colOff>
          <xdr:row>284</xdr:row>
          <xdr:rowOff>104775</xdr:rowOff>
        </xdr:to>
        <xdr:sp macro="" textlink="">
          <xdr:nvSpPr>
            <xdr:cNvPr id="134244" name="Check Box 100" hidden="1">
              <a:extLst>
                <a:ext uri="{63B3BB69-23CF-44E3-9099-C40C66FF867C}">
                  <a14:compatExt spid="_x0000_s134244"/>
                </a:ext>
                <a:ext uri="{FF2B5EF4-FFF2-40B4-BE49-F238E27FC236}">
                  <a16:creationId xmlns:a16="http://schemas.microsoft.com/office/drawing/2014/main" id="{00000000-0008-0000-0A00-000064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Did heaters functionally operate? (If equipped)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306</xdr:row>
          <xdr:rowOff>19050</xdr:rowOff>
        </xdr:from>
        <xdr:to>
          <xdr:col>3</xdr:col>
          <xdr:colOff>419100</xdr:colOff>
          <xdr:row>315</xdr:row>
          <xdr:rowOff>38100</xdr:rowOff>
        </xdr:to>
        <xdr:sp macro="" textlink="">
          <xdr:nvSpPr>
            <xdr:cNvPr id="134245" name="TextBox1" hidden="1">
              <a:extLst>
                <a:ext uri="{63B3BB69-23CF-44E3-9099-C40C66FF867C}">
                  <a14:compatExt spid="_x0000_s134245"/>
                </a:ext>
                <a:ext uri="{FF2B5EF4-FFF2-40B4-BE49-F238E27FC236}">
                  <a16:creationId xmlns:a16="http://schemas.microsoft.com/office/drawing/2014/main" id="{00000000-0008-0000-0A00-000065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306</xdr:row>
          <xdr:rowOff>9525</xdr:rowOff>
        </xdr:from>
        <xdr:to>
          <xdr:col>8</xdr:col>
          <xdr:colOff>371475</xdr:colOff>
          <xdr:row>315</xdr:row>
          <xdr:rowOff>47625</xdr:rowOff>
        </xdr:to>
        <xdr:sp macro="" textlink="">
          <xdr:nvSpPr>
            <xdr:cNvPr id="134246" name="TextBox2" hidden="1">
              <a:extLst>
                <a:ext uri="{63B3BB69-23CF-44E3-9099-C40C66FF867C}">
                  <a14:compatExt spid="_x0000_s134246"/>
                </a:ext>
                <a:ext uri="{FF2B5EF4-FFF2-40B4-BE49-F238E27FC236}">
                  <a16:creationId xmlns:a16="http://schemas.microsoft.com/office/drawing/2014/main" id="{00000000-0008-0000-0A00-000066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302</xdr:row>
          <xdr:rowOff>142875</xdr:rowOff>
        </xdr:from>
        <xdr:to>
          <xdr:col>5</xdr:col>
          <xdr:colOff>457200</xdr:colOff>
          <xdr:row>303</xdr:row>
          <xdr:rowOff>161925</xdr:rowOff>
        </xdr:to>
        <xdr:sp macro="" textlink="">
          <xdr:nvSpPr>
            <xdr:cNvPr id="134247" name="Check Box 103" hidden="1">
              <a:extLst>
                <a:ext uri="{63B3BB69-23CF-44E3-9099-C40C66FF867C}">
                  <a14:compatExt spid="_x0000_s134247"/>
                </a:ext>
                <a:ext uri="{FF2B5EF4-FFF2-40B4-BE49-F238E27FC236}">
                  <a16:creationId xmlns:a16="http://schemas.microsoft.com/office/drawing/2014/main" id="{00000000-0008-0000-0A00-000067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Repair Keyway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171450</xdr:colOff>
      <xdr:row>0</xdr:row>
      <xdr:rowOff>28575</xdr:rowOff>
    </xdr:from>
    <xdr:to>
      <xdr:col>10</xdr:col>
      <xdr:colOff>508052</xdr:colOff>
      <xdr:row>3</xdr:row>
      <xdr:rowOff>27091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2828925" y="28575"/>
          <a:ext cx="1555802" cy="570016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0</xdr:row>
      <xdr:rowOff>91441</xdr:rowOff>
    </xdr:from>
    <xdr:to>
      <xdr:col>2</xdr:col>
      <xdr:colOff>304800</xdr:colOff>
      <xdr:row>1</xdr:row>
      <xdr:rowOff>230506</xdr:rowOff>
    </xdr:to>
    <xdr:sp macro="[0]!goto_summaryofissues" textlink="">
      <xdr:nvSpPr>
        <xdr:cNvPr id="7" name="Isosceles Triangl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235267" y="65724"/>
          <a:ext cx="329565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392430</xdr:colOff>
      <xdr:row>0</xdr:row>
      <xdr:rowOff>85725</xdr:rowOff>
    </xdr:from>
    <xdr:to>
      <xdr:col>5</xdr:col>
      <xdr:colOff>71078</xdr:colOff>
      <xdr:row>1</xdr:row>
      <xdr:rowOff>233553</xdr:rowOff>
    </xdr:to>
    <xdr:sp macro="[0]!goto_mai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678180" y="85725"/>
          <a:ext cx="1097873" cy="338328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6</xdr:col>
      <xdr:colOff>11227</xdr:colOff>
      <xdr:row>0</xdr:row>
      <xdr:rowOff>94191</xdr:rowOff>
    </xdr:from>
    <xdr:to>
      <xdr:col>6</xdr:col>
      <xdr:colOff>392227</xdr:colOff>
      <xdr:row>1</xdr:row>
      <xdr:rowOff>233256</xdr:rowOff>
    </xdr:to>
    <xdr:sp macro="[0]!goto_releasedaftersizes" textlink="">
      <xdr:nvSpPr>
        <xdr:cNvPr id="9" name="Isosceles Triangle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 rot="5400000">
          <a:off x="1884794" y="68474"/>
          <a:ext cx="329565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9525</xdr:rowOff>
        </xdr:from>
        <xdr:to>
          <xdr:col>10</xdr:col>
          <xdr:colOff>1238250</xdr:colOff>
          <xdr:row>25</xdr:row>
          <xdr:rowOff>85725</xdr:rowOff>
        </xdr:to>
        <xdr:sp macro="" textlink="">
          <xdr:nvSpPr>
            <xdr:cNvPr id="64513" name="TextBox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C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40</xdr:row>
          <xdr:rowOff>9525</xdr:rowOff>
        </xdr:from>
        <xdr:to>
          <xdr:col>10</xdr:col>
          <xdr:colOff>1228725</xdr:colOff>
          <xdr:row>45</xdr:row>
          <xdr:rowOff>133350</xdr:rowOff>
        </xdr:to>
        <xdr:sp macro="" textlink="">
          <xdr:nvSpPr>
            <xdr:cNvPr id="64514" name="TextBox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C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23</xdr:row>
          <xdr:rowOff>19050</xdr:rowOff>
        </xdr:from>
        <xdr:to>
          <xdr:col>22</xdr:col>
          <xdr:colOff>1228725</xdr:colOff>
          <xdr:row>26</xdr:row>
          <xdr:rowOff>285750</xdr:rowOff>
        </xdr:to>
        <xdr:sp macro="" textlink="">
          <xdr:nvSpPr>
            <xdr:cNvPr id="64515" name="TextBox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C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447675</xdr:colOff>
      <xdr:row>0</xdr:row>
      <xdr:rowOff>28575</xdr:rowOff>
    </xdr:from>
    <xdr:to>
      <xdr:col>9</xdr:col>
      <xdr:colOff>174677</xdr:colOff>
      <xdr:row>2</xdr:row>
      <xdr:rowOff>103291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3314700" y="28575"/>
          <a:ext cx="1555802" cy="56049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30</xdr:row>
          <xdr:rowOff>95250</xdr:rowOff>
        </xdr:from>
        <xdr:to>
          <xdr:col>23</xdr:col>
          <xdr:colOff>28575</xdr:colOff>
          <xdr:row>45</xdr:row>
          <xdr:rowOff>114300</xdr:rowOff>
        </xdr:to>
        <xdr:sp macro="" textlink="">
          <xdr:nvSpPr>
            <xdr:cNvPr id="64516" name="TextBox4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0C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68580</xdr:colOff>
      <xdr:row>0</xdr:row>
      <xdr:rowOff>85725</xdr:rowOff>
    </xdr:from>
    <xdr:to>
      <xdr:col>2</xdr:col>
      <xdr:colOff>1042628</xdr:colOff>
      <xdr:row>1</xdr:row>
      <xdr:rowOff>233553</xdr:rowOff>
    </xdr:to>
    <xdr:sp macro="[0]!goto_main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>
        <a:xfrm>
          <a:off x="211455" y="85725"/>
          <a:ext cx="1097873" cy="338328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2</xdr:col>
      <xdr:colOff>1125652</xdr:colOff>
      <xdr:row>0</xdr:row>
      <xdr:rowOff>94191</xdr:rowOff>
    </xdr:from>
    <xdr:to>
      <xdr:col>4</xdr:col>
      <xdr:colOff>125527</xdr:colOff>
      <xdr:row>1</xdr:row>
      <xdr:rowOff>233256</xdr:rowOff>
    </xdr:to>
    <xdr:sp macro="[0]!goto_releasedelectrical" textlink="">
      <xdr:nvSpPr>
        <xdr:cNvPr id="18" name="Isosceles Triangle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 rot="5400000">
          <a:off x="1418069" y="68474"/>
          <a:ext cx="329565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333375</xdr:colOff>
      <xdr:row>0</xdr:row>
      <xdr:rowOff>66675</xdr:rowOff>
    </xdr:from>
    <xdr:to>
      <xdr:col>13</xdr:col>
      <xdr:colOff>88952</xdr:colOff>
      <xdr:row>2</xdr:row>
      <xdr:rowOff>150916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2990850" y="66675"/>
          <a:ext cx="1555802" cy="5700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61487" name="Drop Dow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0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61488" name="Drop Dow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0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0</xdr:rowOff>
        </xdr:from>
        <xdr:to>
          <xdr:col>8</xdr:col>
          <xdr:colOff>0</xdr:colOff>
          <xdr:row>28</xdr:row>
          <xdr:rowOff>57150</xdr:rowOff>
        </xdr:to>
        <xdr:sp macro="" textlink="">
          <xdr:nvSpPr>
            <xdr:cNvPr id="61495" name="Group Box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0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38100</xdr:rowOff>
        </xdr:from>
        <xdr:to>
          <xdr:col>7</xdr:col>
          <xdr:colOff>76200</xdr:colOff>
          <xdr:row>23</xdr:row>
          <xdr:rowOff>0</xdr:rowOff>
        </xdr:to>
        <xdr:sp macro="" textlink="">
          <xdr:nvSpPr>
            <xdr:cNvPr id="61507" name="Drop Dow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0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9525</xdr:rowOff>
        </xdr:from>
        <xdr:to>
          <xdr:col>7</xdr:col>
          <xdr:colOff>76200</xdr:colOff>
          <xdr:row>27</xdr:row>
          <xdr:rowOff>19050</xdr:rowOff>
        </xdr:to>
        <xdr:sp macro="" textlink="">
          <xdr:nvSpPr>
            <xdr:cNvPr id="61509" name="Drop Dow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0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</xdr:row>
          <xdr:rowOff>38100</xdr:rowOff>
        </xdr:from>
        <xdr:to>
          <xdr:col>7</xdr:col>
          <xdr:colOff>76200</xdr:colOff>
          <xdr:row>25</xdr:row>
          <xdr:rowOff>0</xdr:rowOff>
        </xdr:to>
        <xdr:sp macro="" textlink="">
          <xdr:nvSpPr>
            <xdr:cNvPr id="61510" name="Drop Dow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0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19</xdr:row>
          <xdr:rowOff>9525</xdr:rowOff>
        </xdr:from>
        <xdr:to>
          <xdr:col>10</xdr:col>
          <xdr:colOff>609600</xdr:colOff>
          <xdr:row>20</xdr:row>
          <xdr:rowOff>200025</xdr:rowOff>
        </xdr:to>
        <xdr:sp macro="" textlink="">
          <xdr:nvSpPr>
            <xdr:cNvPr id="61520" name="Check Box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0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Spray Varnish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26</xdr:row>
          <xdr:rowOff>76200</xdr:rowOff>
        </xdr:from>
        <xdr:to>
          <xdr:col>10</xdr:col>
          <xdr:colOff>400050</xdr:colOff>
          <xdr:row>27</xdr:row>
          <xdr:rowOff>28575</xdr:rowOff>
        </xdr:to>
        <xdr:sp macro="" textlink="">
          <xdr:nvSpPr>
            <xdr:cNvPr id="61521" name="Check Box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0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VPI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20</xdr:row>
          <xdr:rowOff>180975</xdr:rowOff>
        </xdr:from>
        <xdr:to>
          <xdr:col>10</xdr:col>
          <xdr:colOff>400050</xdr:colOff>
          <xdr:row>22</xdr:row>
          <xdr:rowOff>85725</xdr:rowOff>
        </xdr:to>
        <xdr:sp macro="" textlink="">
          <xdr:nvSpPr>
            <xdr:cNvPr id="61522" name="Check Box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0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Dip and Bake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24</xdr:row>
          <xdr:rowOff>0</xdr:rowOff>
        </xdr:from>
        <xdr:to>
          <xdr:col>10</xdr:col>
          <xdr:colOff>400050</xdr:colOff>
          <xdr:row>24</xdr:row>
          <xdr:rowOff>190500</xdr:rowOff>
        </xdr:to>
        <xdr:sp macro="" textlink="">
          <xdr:nvSpPr>
            <xdr:cNvPr id="61523" name="Check Box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0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Glyptal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18</xdr:row>
          <xdr:rowOff>9525</xdr:rowOff>
        </xdr:from>
        <xdr:to>
          <xdr:col>10</xdr:col>
          <xdr:colOff>695325</xdr:colOff>
          <xdr:row>28</xdr:row>
          <xdr:rowOff>66675</xdr:rowOff>
        </xdr:to>
        <xdr:sp macro="" textlink="">
          <xdr:nvSpPr>
            <xdr:cNvPr id="61524" name="Group Box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0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29</xdr:row>
          <xdr:rowOff>28575</xdr:rowOff>
        </xdr:from>
        <xdr:to>
          <xdr:col>10</xdr:col>
          <xdr:colOff>733425</xdr:colOff>
          <xdr:row>41</xdr:row>
          <xdr:rowOff>38100</xdr:rowOff>
        </xdr:to>
        <xdr:sp macro="" textlink="">
          <xdr:nvSpPr>
            <xdr:cNvPr id="61539" name="TextBox3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0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66675</xdr:colOff>
      <xdr:row>0</xdr:row>
      <xdr:rowOff>91441</xdr:rowOff>
    </xdr:from>
    <xdr:to>
      <xdr:col>2</xdr:col>
      <xdr:colOff>304800</xdr:colOff>
      <xdr:row>1</xdr:row>
      <xdr:rowOff>230506</xdr:rowOff>
    </xdr:to>
    <xdr:sp macro="[0]!goto_summaryofissues" textlink="">
      <xdr:nvSpPr>
        <xdr:cNvPr id="52" name="Isosceles Triangle 51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SpPr/>
      </xdr:nvSpPr>
      <xdr:spPr>
        <a:xfrm rot="16200000">
          <a:off x="235267" y="65724"/>
          <a:ext cx="329565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392430</xdr:colOff>
      <xdr:row>0</xdr:row>
      <xdr:rowOff>85725</xdr:rowOff>
    </xdr:from>
    <xdr:to>
      <xdr:col>5</xdr:col>
      <xdr:colOff>71078</xdr:colOff>
      <xdr:row>1</xdr:row>
      <xdr:rowOff>233553</xdr:rowOff>
    </xdr:to>
    <xdr:sp macro="[0]!goto_main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SpPr/>
      </xdr:nvSpPr>
      <xdr:spPr>
        <a:xfrm>
          <a:off x="678180" y="85725"/>
          <a:ext cx="1097873" cy="338328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6</xdr:col>
      <xdr:colOff>11227</xdr:colOff>
      <xdr:row>0</xdr:row>
      <xdr:rowOff>94191</xdr:rowOff>
    </xdr:from>
    <xdr:to>
      <xdr:col>6</xdr:col>
      <xdr:colOff>392227</xdr:colOff>
      <xdr:row>1</xdr:row>
      <xdr:rowOff>233256</xdr:rowOff>
    </xdr:to>
    <xdr:sp macro="[0]!goto_releasedaccessories" textlink="">
      <xdr:nvSpPr>
        <xdr:cNvPr id="54" name="Isosceles Triangle 53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SpPr/>
      </xdr:nvSpPr>
      <xdr:spPr>
        <a:xfrm rot="5400000">
          <a:off x="1884794" y="68474"/>
          <a:ext cx="329565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22</xdr:row>
          <xdr:rowOff>85725</xdr:rowOff>
        </xdr:from>
        <xdr:to>
          <xdr:col>10</xdr:col>
          <xdr:colOff>400050</xdr:colOff>
          <xdr:row>23</xdr:row>
          <xdr:rowOff>38100</xdr:rowOff>
        </xdr:to>
        <xdr:sp macro="" textlink="">
          <xdr:nvSpPr>
            <xdr:cNvPr id="61544" name="Check Box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0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Epxoy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24</xdr:row>
          <xdr:rowOff>180975</xdr:rowOff>
        </xdr:from>
        <xdr:to>
          <xdr:col>10</xdr:col>
          <xdr:colOff>457200</xdr:colOff>
          <xdr:row>26</xdr:row>
          <xdr:rowOff>85725</xdr:rowOff>
        </xdr:to>
        <xdr:sp macro="" textlink="">
          <xdr:nvSpPr>
            <xdr:cNvPr id="61545" name="Check Box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0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Red Sealer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7</xdr:row>
          <xdr:rowOff>19050</xdr:rowOff>
        </xdr:from>
        <xdr:to>
          <xdr:col>15</xdr:col>
          <xdr:colOff>19050</xdr:colOff>
          <xdr:row>7</xdr:row>
          <xdr:rowOff>228600</xdr:rowOff>
        </xdr:to>
        <xdr:sp macro="" textlink="">
          <xdr:nvSpPr>
            <xdr:cNvPr id="61711" name="Check Box 271" hidden="1">
              <a:extLst>
                <a:ext uri="{63B3BB69-23CF-44E3-9099-C40C66FF867C}">
                  <a14:compatExt spid="_x0000_s61711"/>
                </a:ext>
                <a:ext uri="{FF2B5EF4-FFF2-40B4-BE49-F238E27FC236}">
                  <a16:creationId xmlns:a16="http://schemas.microsoft.com/office/drawing/2014/main" id="{00000000-0008-0000-0D00-00000F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9</xdr:row>
          <xdr:rowOff>19050</xdr:rowOff>
        </xdr:from>
        <xdr:to>
          <xdr:col>15</xdr:col>
          <xdr:colOff>19050</xdr:colOff>
          <xdr:row>9</xdr:row>
          <xdr:rowOff>228600</xdr:rowOff>
        </xdr:to>
        <xdr:sp macro="" textlink="">
          <xdr:nvSpPr>
            <xdr:cNvPr id="61712" name="Check Box 272" hidden="1">
              <a:extLst>
                <a:ext uri="{63B3BB69-23CF-44E3-9099-C40C66FF867C}">
                  <a14:compatExt spid="_x0000_s61712"/>
                </a:ext>
                <a:ext uri="{FF2B5EF4-FFF2-40B4-BE49-F238E27FC236}">
                  <a16:creationId xmlns:a16="http://schemas.microsoft.com/office/drawing/2014/main" id="{00000000-0008-0000-0D00-000010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11</xdr:row>
          <xdr:rowOff>19050</xdr:rowOff>
        </xdr:from>
        <xdr:to>
          <xdr:col>15</xdr:col>
          <xdr:colOff>19050</xdr:colOff>
          <xdr:row>11</xdr:row>
          <xdr:rowOff>228600</xdr:rowOff>
        </xdr:to>
        <xdr:sp macro="" textlink="">
          <xdr:nvSpPr>
            <xdr:cNvPr id="61713" name="Check Box 273" hidden="1">
              <a:extLst>
                <a:ext uri="{63B3BB69-23CF-44E3-9099-C40C66FF867C}">
                  <a14:compatExt spid="_x0000_s61713"/>
                </a:ext>
                <a:ext uri="{FF2B5EF4-FFF2-40B4-BE49-F238E27FC236}">
                  <a16:creationId xmlns:a16="http://schemas.microsoft.com/office/drawing/2014/main" id="{00000000-0008-0000-0D00-000011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13</xdr:row>
          <xdr:rowOff>19050</xdr:rowOff>
        </xdr:from>
        <xdr:to>
          <xdr:col>15</xdr:col>
          <xdr:colOff>19050</xdr:colOff>
          <xdr:row>13</xdr:row>
          <xdr:rowOff>228600</xdr:rowOff>
        </xdr:to>
        <xdr:sp macro="" textlink="">
          <xdr:nvSpPr>
            <xdr:cNvPr id="61714" name="Check Box 274" hidden="1">
              <a:extLst>
                <a:ext uri="{63B3BB69-23CF-44E3-9099-C40C66FF867C}">
                  <a14:compatExt spid="_x0000_s61714"/>
                </a:ext>
                <a:ext uri="{FF2B5EF4-FFF2-40B4-BE49-F238E27FC236}">
                  <a16:creationId xmlns:a16="http://schemas.microsoft.com/office/drawing/2014/main" id="{00000000-0008-0000-0D00-000012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7</xdr:row>
          <xdr:rowOff>19050</xdr:rowOff>
        </xdr:from>
        <xdr:to>
          <xdr:col>19</xdr:col>
          <xdr:colOff>19050</xdr:colOff>
          <xdr:row>7</xdr:row>
          <xdr:rowOff>228600</xdr:rowOff>
        </xdr:to>
        <xdr:sp macro="" textlink="">
          <xdr:nvSpPr>
            <xdr:cNvPr id="61715" name="Check Box 275" hidden="1">
              <a:extLst>
                <a:ext uri="{63B3BB69-23CF-44E3-9099-C40C66FF867C}">
                  <a14:compatExt spid="_x0000_s61715"/>
                </a:ext>
                <a:ext uri="{FF2B5EF4-FFF2-40B4-BE49-F238E27FC236}">
                  <a16:creationId xmlns:a16="http://schemas.microsoft.com/office/drawing/2014/main" id="{00000000-0008-0000-0D00-000013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9</xdr:row>
          <xdr:rowOff>19050</xdr:rowOff>
        </xdr:from>
        <xdr:to>
          <xdr:col>19</xdr:col>
          <xdr:colOff>9525</xdr:colOff>
          <xdr:row>9</xdr:row>
          <xdr:rowOff>228600</xdr:rowOff>
        </xdr:to>
        <xdr:sp macro="" textlink="">
          <xdr:nvSpPr>
            <xdr:cNvPr id="61717" name="Check Box 277" hidden="1">
              <a:extLst>
                <a:ext uri="{63B3BB69-23CF-44E3-9099-C40C66FF867C}">
                  <a14:compatExt spid="_x0000_s61717"/>
                </a:ext>
                <a:ext uri="{FF2B5EF4-FFF2-40B4-BE49-F238E27FC236}">
                  <a16:creationId xmlns:a16="http://schemas.microsoft.com/office/drawing/2014/main" id="{00000000-0008-0000-0D00-000015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11</xdr:row>
          <xdr:rowOff>28575</xdr:rowOff>
        </xdr:from>
        <xdr:to>
          <xdr:col>19</xdr:col>
          <xdr:colOff>9525</xdr:colOff>
          <xdr:row>12</xdr:row>
          <xdr:rowOff>0</xdr:rowOff>
        </xdr:to>
        <xdr:sp macro="" textlink="">
          <xdr:nvSpPr>
            <xdr:cNvPr id="61718" name="Check Box 278" hidden="1">
              <a:extLst>
                <a:ext uri="{63B3BB69-23CF-44E3-9099-C40C66FF867C}">
                  <a14:compatExt spid="_x0000_s61718"/>
                </a:ext>
                <a:ext uri="{FF2B5EF4-FFF2-40B4-BE49-F238E27FC236}">
                  <a16:creationId xmlns:a16="http://schemas.microsoft.com/office/drawing/2014/main" id="{00000000-0008-0000-0D00-000016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13</xdr:row>
          <xdr:rowOff>19050</xdr:rowOff>
        </xdr:from>
        <xdr:to>
          <xdr:col>19</xdr:col>
          <xdr:colOff>19050</xdr:colOff>
          <xdr:row>13</xdr:row>
          <xdr:rowOff>228600</xdr:rowOff>
        </xdr:to>
        <xdr:sp macro="" textlink="">
          <xdr:nvSpPr>
            <xdr:cNvPr id="61720" name="Check Box 280" hidden="1">
              <a:extLst>
                <a:ext uri="{63B3BB69-23CF-44E3-9099-C40C66FF867C}">
                  <a14:compatExt spid="_x0000_s61720"/>
                </a:ext>
                <a:ext uri="{FF2B5EF4-FFF2-40B4-BE49-F238E27FC236}">
                  <a16:creationId xmlns:a16="http://schemas.microsoft.com/office/drawing/2014/main" id="{00000000-0008-0000-0D00-000018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10</xdr:row>
          <xdr:rowOff>47625</xdr:rowOff>
        </xdr:from>
        <xdr:to>
          <xdr:col>21</xdr:col>
          <xdr:colOff>628650</xdr:colOff>
          <xdr:row>12</xdr:row>
          <xdr:rowOff>0</xdr:rowOff>
        </xdr:to>
        <xdr:sp macro="" textlink="">
          <xdr:nvSpPr>
            <xdr:cNvPr id="61721" name="Drop Down 281" hidden="1">
              <a:extLst>
                <a:ext uri="{63B3BB69-23CF-44E3-9099-C40C66FF867C}">
                  <a14:compatExt spid="_x0000_s61721"/>
                </a:ext>
                <a:ext uri="{FF2B5EF4-FFF2-40B4-BE49-F238E27FC236}">
                  <a16:creationId xmlns:a16="http://schemas.microsoft.com/office/drawing/2014/main" id="{00000000-0008-0000-0D00-000019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9</xdr:row>
          <xdr:rowOff>0</xdr:rowOff>
        </xdr:from>
        <xdr:to>
          <xdr:col>21</xdr:col>
          <xdr:colOff>628650</xdr:colOff>
          <xdr:row>10</xdr:row>
          <xdr:rowOff>0</xdr:rowOff>
        </xdr:to>
        <xdr:sp macro="" textlink="">
          <xdr:nvSpPr>
            <xdr:cNvPr id="61722" name="Drop Down 282" hidden="1">
              <a:extLst>
                <a:ext uri="{63B3BB69-23CF-44E3-9099-C40C66FF867C}">
                  <a14:compatExt spid="_x0000_s61722"/>
                </a:ext>
                <a:ext uri="{FF2B5EF4-FFF2-40B4-BE49-F238E27FC236}">
                  <a16:creationId xmlns:a16="http://schemas.microsoft.com/office/drawing/2014/main" id="{00000000-0008-0000-0D00-00001A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22</xdr:col>
          <xdr:colOff>0</xdr:colOff>
          <xdr:row>29</xdr:row>
          <xdr:rowOff>0</xdr:rowOff>
        </xdr:to>
        <xdr:sp macro="" textlink="">
          <xdr:nvSpPr>
            <xdr:cNvPr id="61728" name="Group Box 288" hidden="1">
              <a:extLst>
                <a:ext uri="{63B3BB69-23CF-44E3-9099-C40C66FF867C}">
                  <a14:compatExt spid="_x0000_s61728"/>
                </a:ext>
                <a:ext uri="{FF2B5EF4-FFF2-40B4-BE49-F238E27FC236}">
                  <a16:creationId xmlns:a16="http://schemas.microsoft.com/office/drawing/2014/main" id="{00000000-0008-0000-0D00-000020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361950</xdr:colOff>
          <xdr:row>28</xdr:row>
          <xdr:rowOff>9525</xdr:rowOff>
        </xdr:from>
        <xdr:to>
          <xdr:col>20</xdr:col>
          <xdr:colOff>914400</xdr:colOff>
          <xdr:row>29</xdr:row>
          <xdr:rowOff>0</xdr:rowOff>
        </xdr:to>
        <xdr:sp macro="" textlink="">
          <xdr:nvSpPr>
            <xdr:cNvPr id="61729" name="Option Button 289" hidden="1">
              <a:extLst>
                <a:ext uri="{63B3BB69-23CF-44E3-9099-C40C66FF867C}">
                  <a14:compatExt spid="_x0000_s61729"/>
                </a:ext>
                <a:ext uri="{FF2B5EF4-FFF2-40B4-BE49-F238E27FC236}">
                  <a16:creationId xmlns:a16="http://schemas.microsoft.com/office/drawing/2014/main" id="{00000000-0008-0000-0D00-000021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28</xdr:row>
          <xdr:rowOff>9525</xdr:rowOff>
        </xdr:from>
        <xdr:to>
          <xdr:col>21</xdr:col>
          <xdr:colOff>552450</xdr:colOff>
          <xdr:row>29</xdr:row>
          <xdr:rowOff>0</xdr:rowOff>
        </xdr:to>
        <xdr:sp macro="" textlink="">
          <xdr:nvSpPr>
            <xdr:cNvPr id="61730" name="Option Button 290" hidden="1">
              <a:extLst>
                <a:ext uri="{63B3BB69-23CF-44E3-9099-C40C66FF867C}">
                  <a14:compatExt spid="_x0000_s61730"/>
                </a:ext>
                <a:ext uri="{FF2B5EF4-FFF2-40B4-BE49-F238E27FC236}">
                  <a16:creationId xmlns:a16="http://schemas.microsoft.com/office/drawing/2014/main" id="{00000000-0008-0000-0D00-000022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22</xdr:col>
          <xdr:colOff>0</xdr:colOff>
          <xdr:row>31</xdr:row>
          <xdr:rowOff>0</xdr:rowOff>
        </xdr:to>
        <xdr:sp macro="" textlink="">
          <xdr:nvSpPr>
            <xdr:cNvPr id="61731" name="Group Box 291" hidden="1">
              <a:extLst>
                <a:ext uri="{63B3BB69-23CF-44E3-9099-C40C66FF867C}">
                  <a14:compatExt spid="_x0000_s61731"/>
                </a:ext>
                <a:ext uri="{FF2B5EF4-FFF2-40B4-BE49-F238E27FC236}">
                  <a16:creationId xmlns:a16="http://schemas.microsoft.com/office/drawing/2014/main" id="{00000000-0008-0000-0D00-000023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361950</xdr:colOff>
          <xdr:row>30</xdr:row>
          <xdr:rowOff>9525</xdr:rowOff>
        </xdr:from>
        <xdr:to>
          <xdr:col>20</xdr:col>
          <xdr:colOff>914400</xdr:colOff>
          <xdr:row>31</xdr:row>
          <xdr:rowOff>0</xdr:rowOff>
        </xdr:to>
        <xdr:sp macro="" textlink="">
          <xdr:nvSpPr>
            <xdr:cNvPr id="61732" name="Option Button 292" hidden="1">
              <a:extLst>
                <a:ext uri="{63B3BB69-23CF-44E3-9099-C40C66FF867C}">
                  <a14:compatExt spid="_x0000_s61732"/>
                </a:ext>
                <a:ext uri="{FF2B5EF4-FFF2-40B4-BE49-F238E27FC236}">
                  <a16:creationId xmlns:a16="http://schemas.microsoft.com/office/drawing/2014/main" id="{00000000-0008-0000-0D00-000024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30</xdr:row>
          <xdr:rowOff>9525</xdr:rowOff>
        </xdr:from>
        <xdr:to>
          <xdr:col>21</xdr:col>
          <xdr:colOff>552450</xdr:colOff>
          <xdr:row>31</xdr:row>
          <xdr:rowOff>0</xdr:rowOff>
        </xdr:to>
        <xdr:sp macro="" textlink="">
          <xdr:nvSpPr>
            <xdr:cNvPr id="61733" name="Option Button 293" hidden="1">
              <a:extLst>
                <a:ext uri="{63B3BB69-23CF-44E3-9099-C40C66FF867C}">
                  <a14:compatExt spid="_x0000_s61733"/>
                </a:ext>
                <a:ext uri="{FF2B5EF4-FFF2-40B4-BE49-F238E27FC236}">
                  <a16:creationId xmlns:a16="http://schemas.microsoft.com/office/drawing/2014/main" id="{00000000-0008-0000-0D00-000025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22</xdr:col>
          <xdr:colOff>0</xdr:colOff>
          <xdr:row>33</xdr:row>
          <xdr:rowOff>0</xdr:rowOff>
        </xdr:to>
        <xdr:sp macro="" textlink="">
          <xdr:nvSpPr>
            <xdr:cNvPr id="61734" name="Group Box 294" hidden="1">
              <a:extLst>
                <a:ext uri="{63B3BB69-23CF-44E3-9099-C40C66FF867C}">
                  <a14:compatExt spid="_x0000_s61734"/>
                </a:ext>
                <a:ext uri="{FF2B5EF4-FFF2-40B4-BE49-F238E27FC236}">
                  <a16:creationId xmlns:a16="http://schemas.microsoft.com/office/drawing/2014/main" id="{00000000-0008-0000-0D00-000026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361950</xdr:colOff>
          <xdr:row>32</xdr:row>
          <xdr:rowOff>9525</xdr:rowOff>
        </xdr:from>
        <xdr:to>
          <xdr:col>20</xdr:col>
          <xdr:colOff>914400</xdr:colOff>
          <xdr:row>33</xdr:row>
          <xdr:rowOff>0</xdr:rowOff>
        </xdr:to>
        <xdr:sp macro="" textlink="">
          <xdr:nvSpPr>
            <xdr:cNvPr id="61735" name="Option Button 295" hidden="1">
              <a:extLst>
                <a:ext uri="{63B3BB69-23CF-44E3-9099-C40C66FF867C}">
                  <a14:compatExt spid="_x0000_s61735"/>
                </a:ext>
                <a:ext uri="{FF2B5EF4-FFF2-40B4-BE49-F238E27FC236}">
                  <a16:creationId xmlns:a16="http://schemas.microsoft.com/office/drawing/2014/main" id="{00000000-0008-0000-0D00-000027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32</xdr:row>
          <xdr:rowOff>9525</xdr:rowOff>
        </xdr:from>
        <xdr:to>
          <xdr:col>21</xdr:col>
          <xdr:colOff>552450</xdr:colOff>
          <xdr:row>33</xdr:row>
          <xdr:rowOff>0</xdr:rowOff>
        </xdr:to>
        <xdr:sp macro="" textlink="">
          <xdr:nvSpPr>
            <xdr:cNvPr id="61736" name="Option Button 296" hidden="1">
              <a:extLst>
                <a:ext uri="{63B3BB69-23CF-44E3-9099-C40C66FF867C}">
                  <a14:compatExt spid="_x0000_s61736"/>
                </a:ext>
                <a:ext uri="{FF2B5EF4-FFF2-40B4-BE49-F238E27FC236}">
                  <a16:creationId xmlns:a16="http://schemas.microsoft.com/office/drawing/2014/main" id="{00000000-0008-0000-0D00-000028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22</xdr:col>
          <xdr:colOff>0</xdr:colOff>
          <xdr:row>35</xdr:row>
          <xdr:rowOff>0</xdr:rowOff>
        </xdr:to>
        <xdr:sp macro="" textlink="">
          <xdr:nvSpPr>
            <xdr:cNvPr id="61737" name="Group Box 297" hidden="1">
              <a:extLst>
                <a:ext uri="{63B3BB69-23CF-44E3-9099-C40C66FF867C}">
                  <a14:compatExt spid="_x0000_s61737"/>
                </a:ext>
                <a:ext uri="{FF2B5EF4-FFF2-40B4-BE49-F238E27FC236}">
                  <a16:creationId xmlns:a16="http://schemas.microsoft.com/office/drawing/2014/main" id="{00000000-0008-0000-0D00-000029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361950</xdr:colOff>
          <xdr:row>34</xdr:row>
          <xdr:rowOff>9525</xdr:rowOff>
        </xdr:from>
        <xdr:to>
          <xdr:col>20</xdr:col>
          <xdr:colOff>914400</xdr:colOff>
          <xdr:row>35</xdr:row>
          <xdr:rowOff>0</xdr:rowOff>
        </xdr:to>
        <xdr:sp macro="" textlink="">
          <xdr:nvSpPr>
            <xdr:cNvPr id="61738" name="Option Button 298" hidden="1">
              <a:extLst>
                <a:ext uri="{63B3BB69-23CF-44E3-9099-C40C66FF867C}">
                  <a14:compatExt spid="_x0000_s61738"/>
                </a:ext>
                <a:ext uri="{FF2B5EF4-FFF2-40B4-BE49-F238E27FC236}">
                  <a16:creationId xmlns:a16="http://schemas.microsoft.com/office/drawing/2014/main" id="{00000000-0008-0000-0D00-00002A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34</xdr:row>
          <xdr:rowOff>9525</xdr:rowOff>
        </xdr:from>
        <xdr:to>
          <xdr:col>21</xdr:col>
          <xdr:colOff>552450</xdr:colOff>
          <xdr:row>35</xdr:row>
          <xdr:rowOff>0</xdr:rowOff>
        </xdr:to>
        <xdr:sp macro="" textlink="">
          <xdr:nvSpPr>
            <xdr:cNvPr id="61739" name="Option Button 299" hidden="1">
              <a:extLst>
                <a:ext uri="{63B3BB69-23CF-44E3-9099-C40C66FF867C}">
                  <a14:compatExt spid="_x0000_s61739"/>
                </a:ext>
                <a:ext uri="{FF2B5EF4-FFF2-40B4-BE49-F238E27FC236}">
                  <a16:creationId xmlns:a16="http://schemas.microsoft.com/office/drawing/2014/main" id="{00000000-0008-0000-0D00-00002B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22</xdr:col>
          <xdr:colOff>0</xdr:colOff>
          <xdr:row>37</xdr:row>
          <xdr:rowOff>0</xdr:rowOff>
        </xdr:to>
        <xdr:sp macro="" textlink="">
          <xdr:nvSpPr>
            <xdr:cNvPr id="61740" name="Group Box 300" hidden="1">
              <a:extLst>
                <a:ext uri="{63B3BB69-23CF-44E3-9099-C40C66FF867C}">
                  <a14:compatExt spid="_x0000_s61740"/>
                </a:ext>
                <a:ext uri="{FF2B5EF4-FFF2-40B4-BE49-F238E27FC236}">
                  <a16:creationId xmlns:a16="http://schemas.microsoft.com/office/drawing/2014/main" id="{00000000-0008-0000-0D00-00002C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361950</xdr:colOff>
          <xdr:row>36</xdr:row>
          <xdr:rowOff>9525</xdr:rowOff>
        </xdr:from>
        <xdr:to>
          <xdr:col>20</xdr:col>
          <xdr:colOff>914400</xdr:colOff>
          <xdr:row>37</xdr:row>
          <xdr:rowOff>0</xdr:rowOff>
        </xdr:to>
        <xdr:sp macro="" textlink="">
          <xdr:nvSpPr>
            <xdr:cNvPr id="61741" name="Option Button 301" hidden="1">
              <a:extLst>
                <a:ext uri="{63B3BB69-23CF-44E3-9099-C40C66FF867C}">
                  <a14:compatExt spid="_x0000_s61741"/>
                </a:ext>
                <a:ext uri="{FF2B5EF4-FFF2-40B4-BE49-F238E27FC236}">
                  <a16:creationId xmlns:a16="http://schemas.microsoft.com/office/drawing/2014/main" id="{00000000-0008-0000-0D00-00002D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36</xdr:row>
          <xdr:rowOff>9525</xdr:rowOff>
        </xdr:from>
        <xdr:to>
          <xdr:col>21</xdr:col>
          <xdr:colOff>552450</xdr:colOff>
          <xdr:row>37</xdr:row>
          <xdr:rowOff>0</xdr:rowOff>
        </xdr:to>
        <xdr:sp macro="" textlink="">
          <xdr:nvSpPr>
            <xdr:cNvPr id="61742" name="Option Button 302" hidden="1">
              <a:extLst>
                <a:ext uri="{63B3BB69-23CF-44E3-9099-C40C66FF867C}">
                  <a14:compatExt spid="_x0000_s61742"/>
                </a:ext>
                <a:ext uri="{FF2B5EF4-FFF2-40B4-BE49-F238E27FC236}">
                  <a16:creationId xmlns:a16="http://schemas.microsoft.com/office/drawing/2014/main" id="{00000000-0008-0000-0D00-00002E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22</xdr:col>
          <xdr:colOff>0</xdr:colOff>
          <xdr:row>39</xdr:row>
          <xdr:rowOff>0</xdr:rowOff>
        </xdr:to>
        <xdr:sp macro="" textlink="">
          <xdr:nvSpPr>
            <xdr:cNvPr id="61743" name="Group Box 303" hidden="1">
              <a:extLst>
                <a:ext uri="{63B3BB69-23CF-44E3-9099-C40C66FF867C}">
                  <a14:compatExt spid="_x0000_s61743"/>
                </a:ext>
                <a:ext uri="{FF2B5EF4-FFF2-40B4-BE49-F238E27FC236}">
                  <a16:creationId xmlns:a16="http://schemas.microsoft.com/office/drawing/2014/main" id="{00000000-0008-0000-0D00-00002F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361950</xdr:colOff>
          <xdr:row>38</xdr:row>
          <xdr:rowOff>9525</xdr:rowOff>
        </xdr:from>
        <xdr:to>
          <xdr:col>20</xdr:col>
          <xdr:colOff>914400</xdr:colOff>
          <xdr:row>39</xdr:row>
          <xdr:rowOff>0</xdr:rowOff>
        </xdr:to>
        <xdr:sp macro="" textlink="">
          <xdr:nvSpPr>
            <xdr:cNvPr id="61744" name="Option Button 304" hidden="1">
              <a:extLst>
                <a:ext uri="{63B3BB69-23CF-44E3-9099-C40C66FF867C}">
                  <a14:compatExt spid="_x0000_s61744"/>
                </a:ext>
                <a:ext uri="{FF2B5EF4-FFF2-40B4-BE49-F238E27FC236}">
                  <a16:creationId xmlns:a16="http://schemas.microsoft.com/office/drawing/2014/main" id="{00000000-0008-0000-0D00-000030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38</xdr:row>
          <xdr:rowOff>9525</xdr:rowOff>
        </xdr:from>
        <xdr:to>
          <xdr:col>21</xdr:col>
          <xdr:colOff>552450</xdr:colOff>
          <xdr:row>39</xdr:row>
          <xdr:rowOff>0</xdr:rowOff>
        </xdr:to>
        <xdr:sp macro="" textlink="">
          <xdr:nvSpPr>
            <xdr:cNvPr id="61745" name="Option Button 305" hidden="1">
              <a:extLst>
                <a:ext uri="{63B3BB69-23CF-44E3-9099-C40C66FF867C}">
                  <a14:compatExt spid="_x0000_s61745"/>
                </a:ext>
                <a:ext uri="{FF2B5EF4-FFF2-40B4-BE49-F238E27FC236}">
                  <a16:creationId xmlns:a16="http://schemas.microsoft.com/office/drawing/2014/main" id="{00000000-0008-0000-0D00-000031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22</xdr:col>
          <xdr:colOff>0</xdr:colOff>
          <xdr:row>41</xdr:row>
          <xdr:rowOff>0</xdr:rowOff>
        </xdr:to>
        <xdr:sp macro="" textlink="">
          <xdr:nvSpPr>
            <xdr:cNvPr id="61746" name="Group Box 306" hidden="1">
              <a:extLst>
                <a:ext uri="{63B3BB69-23CF-44E3-9099-C40C66FF867C}">
                  <a14:compatExt spid="_x0000_s61746"/>
                </a:ext>
                <a:ext uri="{FF2B5EF4-FFF2-40B4-BE49-F238E27FC236}">
                  <a16:creationId xmlns:a16="http://schemas.microsoft.com/office/drawing/2014/main" id="{00000000-0008-0000-0D00-000032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361950</xdr:colOff>
          <xdr:row>40</xdr:row>
          <xdr:rowOff>9525</xdr:rowOff>
        </xdr:from>
        <xdr:to>
          <xdr:col>20</xdr:col>
          <xdr:colOff>914400</xdr:colOff>
          <xdr:row>41</xdr:row>
          <xdr:rowOff>0</xdr:rowOff>
        </xdr:to>
        <xdr:sp macro="" textlink="">
          <xdr:nvSpPr>
            <xdr:cNvPr id="61747" name="Option Button 307" hidden="1">
              <a:extLst>
                <a:ext uri="{63B3BB69-23CF-44E3-9099-C40C66FF867C}">
                  <a14:compatExt spid="_x0000_s61747"/>
                </a:ext>
                <a:ext uri="{FF2B5EF4-FFF2-40B4-BE49-F238E27FC236}">
                  <a16:creationId xmlns:a16="http://schemas.microsoft.com/office/drawing/2014/main" id="{00000000-0008-0000-0D00-000033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40</xdr:row>
          <xdr:rowOff>9525</xdr:rowOff>
        </xdr:from>
        <xdr:to>
          <xdr:col>22</xdr:col>
          <xdr:colOff>9525</xdr:colOff>
          <xdr:row>41</xdr:row>
          <xdr:rowOff>0</xdr:rowOff>
        </xdr:to>
        <xdr:sp macro="" textlink="">
          <xdr:nvSpPr>
            <xdr:cNvPr id="61748" name="Option Button 308" hidden="1">
              <a:extLst>
                <a:ext uri="{63B3BB69-23CF-44E3-9099-C40C66FF867C}">
                  <a14:compatExt spid="_x0000_s61748"/>
                </a:ext>
                <a:ext uri="{FF2B5EF4-FFF2-40B4-BE49-F238E27FC236}">
                  <a16:creationId xmlns:a16="http://schemas.microsoft.com/office/drawing/2014/main" id="{00000000-0008-0000-0D00-000034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22</xdr:col>
          <xdr:colOff>0</xdr:colOff>
          <xdr:row>19</xdr:row>
          <xdr:rowOff>0</xdr:rowOff>
        </xdr:to>
        <xdr:sp macro="" textlink="">
          <xdr:nvSpPr>
            <xdr:cNvPr id="61749" name="Group Box 309" hidden="1">
              <a:extLst>
                <a:ext uri="{63B3BB69-23CF-44E3-9099-C40C66FF867C}">
                  <a14:compatExt spid="_x0000_s61749"/>
                </a:ext>
                <a:ext uri="{FF2B5EF4-FFF2-40B4-BE49-F238E27FC236}">
                  <a16:creationId xmlns:a16="http://schemas.microsoft.com/office/drawing/2014/main" id="{00000000-0008-0000-0D00-000035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390525</xdr:colOff>
          <xdr:row>18</xdr:row>
          <xdr:rowOff>19050</xdr:rowOff>
        </xdr:from>
        <xdr:to>
          <xdr:col>21</xdr:col>
          <xdr:colOff>0</xdr:colOff>
          <xdr:row>18</xdr:row>
          <xdr:rowOff>228600</xdr:rowOff>
        </xdr:to>
        <xdr:sp macro="" textlink="">
          <xdr:nvSpPr>
            <xdr:cNvPr id="61750" name="Option Button 310" hidden="1">
              <a:extLst>
                <a:ext uri="{63B3BB69-23CF-44E3-9099-C40C66FF867C}">
                  <a14:compatExt spid="_x0000_s61750"/>
                </a:ext>
                <a:ext uri="{FF2B5EF4-FFF2-40B4-BE49-F238E27FC236}">
                  <a16:creationId xmlns:a16="http://schemas.microsoft.com/office/drawing/2014/main" id="{00000000-0008-0000-0D00-000036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18</xdr:row>
          <xdr:rowOff>19050</xdr:rowOff>
        </xdr:from>
        <xdr:to>
          <xdr:col>21</xdr:col>
          <xdr:colOff>600075</xdr:colOff>
          <xdr:row>18</xdr:row>
          <xdr:rowOff>228600</xdr:rowOff>
        </xdr:to>
        <xdr:sp macro="" textlink="">
          <xdr:nvSpPr>
            <xdr:cNvPr id="61751" name="Option Button 311" hidden="1">
              <a:extLst>
                <a:ext uri="{63B3BB69-23CF-44E3-9099-C40C66FF867C}">
                  <a14:compatExt spid="_x0000_s61751"/>
                </a:ext>
                <a:ext uri="{FF2B5EF4-FFF2-40B4-BE49-F238E27FC236}">
                  <a16:creationId xmlns:a16="http://schemas.microsoft.com/office/drawing/2014/main" id="{00000000-0008-0000-0D00-000037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22</xdr:col>
          <xdr:colOff>0</xdr:colOff>
          <xdr:row>21</xdr:row>
          <xdr:rowOff>0</xdr:rowOff>
        </xdr:to>
        <xdr:sp macro="" textlink="">
          <xdr:nvSpPr>
            <xdr:cNvPr id="61752" name="Group Box 312" hidden="1">
              <a:extLst>
                <a:ext uri="{63B3BB69-23CF-44E3-9099-C40C66FF867C}">
                  <a14:compatExt spid="_x0000_s61752"/>
                </a:ext>
                <a:ext uri="{FF2B5EF4-FFF2-40B4-BE49-F238E27FC236}">
                  <a16:creationId xmlns:a16="http://schemas.microsoft.com/office/drawing/2014/main" id="{00000000-0008-0000-0D00-000038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390525</xdr:colOff>
          <xdr:row>20</xdr:row>
          <xdr:rowOff>19050</xdr:rowOff>
        </xdr:from>
        <xdr:to>
          <xdr:col>21</xdr:col>
          <xdr:colOff>0</xdr:colOff>
          <xdr:row>20</xdr:row>
          <xdr:rowOff>228600</xdr:rowOff>
        </xdr:to>
        <xdr:sp macro="" textlink="">
          <xdr:nvSpPr>
            <xdr:cNvPr id="61753" name="Option Button 313" hidden="1">
              <a:extLst>
                <a:ext uri="{63B3BB69-23CF-44E3-9099-C40C66FF867C}">
                  <a14:compatExt spid="_x0000_s61753"/>
                </a:ext>
                <a:ext uri="{FF2B5EF4-FFF2-40B4-BE49-F238E27FC236}">
                  <a16:creationId xmlns:a16="http://schemas.microsoft.com/office/drawing/2014/main" id="{00000000-0008-0000-0D00-000039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20</xdr:row>
          <xdr:rowOff>19050</xdr:rowOff>
        </xdr:from>
        <xdr:to>
          <xdr:col>21</xdr:col>
          <xdr:colOff>600075</xdr:colOff>
          <xdr:row>20</xdr:row>
          <xdr:rowOff>228600</xdr:rowOff>
        </xdr:to>
        <xdr:sp macro="" textlink="">
          <xdr:nvSpPr>
            <xdr:cNvPr id="61754" name="Option Button 314" hidden="1">
              <a:extLst>
                <a:ext uri="{63B3BB69-23CF-44E3-9099-C40C66FF867C}">
                  <a14:compatExt spid="_x0000_s61754"/>
                </a:ext>
                <a:ext uri="{FF2B5EF4-FFF2-40B4-BE49-F238E27FC236}">
                  <a16:creationId xmlns:a16="http://schemas.microsoft.com/office/drawing/2014/main" id="{00000000-0008-0000-0D00-00003A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22</xdr:col>
          <xdr:colOff>0</xdr:colOff>
          <xdr:row>23</xdr:row>
          <xdr:rowOff>0</xdr:rowOff>
        </xdr:to>
        <xdr:sp macro="" textlink="">
          <xdr:nvSpPr>
            <xdr:cNvPr id="61755" name="Group Box 315" hidden="1">
              <a:extLst>
                <a:ext uri="{63B3BB69-23CF-44E3-9099-C40C66FF867C}">
                  <a14:compatExt spid="_x0000_s61755"/>
                </a:ext>
                <a:ext uri="{FF2B5EF4-FFF2-40B4-BE49-F238E27FC236}">
                  <a16:creationId xmlns:a16="http://schemas.microsoft.com/office/drawing/2014/main" id="{00000000-0008-0000-0D00-00003B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390525</xdr:colOff>
          <xdr:row>22</xdr:row>
          <xdr:rowOff>19050</xdr:rowOff>
        </xdr:from>
        <xdr:to>
          <xdr:col>21</xdr:col>
          <xdr:colOff>0</xdr:colOff>
          <xdr:row>22</xdr:row>
          <xdr:rowOff>228600</xdr:rowOff>
        </xdr:to>
        <xdr:sp macro="" textlink="">
          <xdr:nvSpPr>
            <xdr:cNvPr id="61756" name="Option Button 316" hidden="1">
              <a:extLst>
                <a:ext uri="{63B3BB69-23CF-44E3-9099-C40C66FF867C}">
                  <a14:compatExt spid="_x0000_s61756"/>
                </a:ext>
                <a:ext uri="{FF2B5EF4-FFF2-40B4-BE49-F238E27FC236}">
                  <a16:creationId xmlns:a16="http://schemas.microsoft.com/office/drawing/2014/main" id="{00000000-0008-0000-0D00-00003C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22</xdr:row>
          <xdr:rowOff>19050</xdr:rowOff>
        </xdr:from>
        <xdr:to>
          <xdr:col>21</xdr:col>
          <xdr:colOff>600075</xdr:colOff>
          <xdr:row>22</xdr:row>
          <xdr:rowOff>228600</xdr:rowOff>
        </xdr:to>
        <xdr:sp macro="" textlink="">
          <xdr:nvSpPr>
            <xdr:cNvPr id="61757" name="Option Button 317" hidden="1">
              <a:extLst>
                <a:ext uri="{63B3BB69-23CF-44E3-9099-C40C66FF867C}">
                  <a14:compatExt spid="_x0000_s61757"/>
                </a:ext>
                <a:ext uri="{FF2B5EF4-FFF2-40B4-BE49-F238E27FC236}">
                  <a16:creationId xmlns:a16="http://schemas.microsoft.com/office/drawing/2014/main" id="{00000000-0008-0000-0D00-00003D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22</xdr:col>
          <xdr:colOff>0</xdr:colOff>
          <xdr:row>25</xdr:row>
          <xdr:rowOff>0</xdr:rowOff>
        </xdr:to>
        <xdr:sp macro="" textlink="">
          <xdr:nvSpPr>
            <xdr:cNvPr id="61758" name="Group Box 318" hidden="1">
              <a:extLst>
                <a:ext uri="{63B3BB69-23CF-44E3-9099-C40C66FF867C}">
                  <a14:compatExt spid="_x0000_s61758"/>
                </a:ext>
                <a:ext uri="{FF2B5EF4-FFF2-40B4-BE49-F238E27FC236}">
                  <a16:creationId xmlns:a16="http://schemas.microsoft.com/office/drawing/2014/main" id="{00000000-0008-0000-0D00-00003E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390525</xdr:colOff>
          <xdr:row>24</xdr:row>
          <xdr:rowOff>19050</xdr:rowOff>
        </xdr:from>
        <xdr:to>
          <xdr:col>21</xdr:col>
          <xdr:colOff>0</xdr:colOff>
          <xdr:row>24</xdr:row>
          <xdr:rowOff>228600</xdr:rowOff>
        </xdr:to>
        <xdr:sp macro="" textlink="">
          <xdr:nvSpPr>
            <xdr:cNvPr id="61759" name="Option Button 319" hidden="1">
              <a:extLst>
                <a:ext uri="{63B3BB69-23CF-44E3-9099-C40C66FF867C}">
                  <a14:compatExt spid="_x0000_s61759"/>
                </a:ext>
                <a:ext uri="{FF2B5EF4-FFF2-40B4-BE49-F238E27FC236}">
                  <a16:creationId xmlns:a16="http://schemas.microsoft.com/office/drawing/2014/main" id="{00000000-0008-0000-0D00-00003F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24</xdr:row>
          <xdr:rowOff>19050</xdr:rowOff>
        </xdr:from>
        <xdr:to>
          <xdr:col>21</xdr:col>
          <xdr:colOff>600075</xdr:colOff>
          <xdr:row>24</xdr:row>
          <xdr:rowOff>228600</xdr:rowOff>
        </xdr:to>
        <xdr:sp macro="" textlink="">
          <xdr:nvSpPr>
            <xdr:cNvPr id="61760" name="Option Button 320" hidden="1">
              <a:extLst>
                <a:ext uri="{63B3BB69-23CF-44E3-9099-C40C66FF867C}">
                  <a14:compatExt spid="_x0000_s61760"/>
                </a:ext>
                <a:ext uri="{FF2B5EF4-FFF2-40B4-BE49-F238E27FC236}">
                  <a16:creationId xmlns:a16="http://schemas.microsoft.com/office/drawing/2014/main" id="{00000000-0008-0000-0D00-000040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929102</xdr:colOff>
      <xdr:row>0</xdr:row>
      <xdr:rowOff>77339</xdr:rowOff>
    </xdr:from>
    <xdr:to>
      <xdr:col>10</xdr:col>
      <xdr:colOff>188057</xdr:colOff>
      <xdr:row>2</xdr:row>
      <xdr:rowOff>149348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3129377" y="77339"/>
          <a:ext cx="1554480" cy="5577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57150</xdr:rowOff>
        </xdr:from>
        <xdr:to>
          <xdr:col>10</xdr:col>
          <xdr:colOff>95250</xdr:colOff>
          <xdr:row>24</xdr:row>
          <xdr:rowOff>228600</xdr:rowOff>
        </xdr:to>
        <xdr:sp macro="" textlink="">
          <xdr:nvSpPr>
            <xdr:cNvPr id="224258" name="TextBox2" hidden="1">
              <a:extLst>
                <a:ext uri="{63B3BB69-23CF-44E3-9099-C40C66FF867C}">
                  <a14:compatExt spid="_x0000_s224258"/>
                </a:ext>
                <a:ext uri="{FF2B5EF4-FFF2-40B4-BE49-F238E27FC236}">
                  <a16:creationId xmlns:a16="http://schemas.microsoft.com/office/drawing/2014/main" id="{00000000-0008-0000-0E00-000002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</xdr:row>
          <xdr:rowOff>9525</xdr:rowOff>
        </xdr:from>
        <xdr:to>
          <xdr:col>8</xdr:col>
          <xdr:colOff>238125</xdr:colOff>
          <xdr:row>13</xdr:row>
          <xdr:rowOff>209550</xdr:rowOff>
        </xdr:to>
        <xdr:sp macro="" textlink="">
          <xdr:nvSpPr>
            <xdr:cNvPr id="224259" name="Drop Down 3" hidden="1">
              <a:extLst>
                <a:ext uri="{63B3BB69-23CF-44E3-9099-C40C66FF867C}">
                  <a14:compatExt spid="_x0000_s224259"/>
                </a:ext>
                <a:ext uri="{FF2B5EF4-FFF2-40B4-BE49-F238E27FC236}">
                  <a16:creationId xmlns:a16="http://schemas.microsoft.com/office/drawing/2014/main" id="{00000000-0008-0000-0E00-000003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57150</xdr:rowOff>
        </xdr:from>
        <xdr:to>
          <xdr:col>19</xdr:col>
          <xdr:colOff>552450</xdr:colOff>
          <xdr:row>7</xdr:row>
          <xdr:rowOff>180975</xdr:rowOff>
        </xdr:to>
        <xdr:sp macro="" textlink="">
          <xdr:nvSpPr>
            <xdr:cNvPr id="224260" name="Drop Down 4" hidden="1">
              <a:extLst>
                <a:ext uri="{63B3BB69-23CF-44E3-9099-C40C66FF867C}">
                  <a14:compatExt spid="_x0000_s224260"/>
                </a:ext>
                <a:ext uri="{FF2B5EF4-FFF2-40B4-BE49-F238E27FC236}">
                  <a16:creationId xmlns:a16="http://schemas.microsoft.com/office/drawing/2014/main" id="{00000000-0008-0000-0E00-000004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13</xdr:row>
          <xdr:rowOff>9525</xdr:rowOff>
        </xdr:from>
        <xdr:to>
          <xdr:col>20</xdr:col>
          <xdr:colOff>238125</xdr:colOff>
          <xdr:row>13</xdr:row>
          <xdr:rowOff>209550</xdr:rowOff>
        </xdr:to>
        <xdr:sp macro="" textlink="">
          <xdr:nvSpPr>
            <xdr:cNvPr id="224261" name="Drop Down 5" hidden="1">
              <a:extLst>
                <a:ext uri="{63B3BB69-23CF-44E3-9099-C40C66FF867C}">
                  <a14:compatExt spid="_x0000_s224261"/>
                </a:ext>
                <a:ext uri="{FF2B5EF4-FFF2-40B4-BE49-F238E27FC236}">
                  <a16:creationId xmlns:a16="http://schemas.microsoft.com/office/drawing/2014/main" id="{00000000-0008-0000-0E00-000005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57150</xdr:rowOff>
        </xdr:from>
        <xdr:to>
          <xdr:col>19</xdr:col>
          <xdr:colOff>552450</xdr:colOff>
          <xdr:row>18</xdr:row>
          <xdr:rowOff>180975</xdr:rowOff>
        </xdr:to>
        <xdr:sp macro="" textlink="">
          <xdr:nvSpPr>
            <xdr:cNvPr id="224262" name="Drop Down 6" hidden="1">
              <a:extLst>
                <a:ext uri="{63B3BB69-23CF-44E3-9099-C40C66FF867C}">
                  <a14:compatExt spid="_x0000_s224262"/>
                </a:ext>
                <a:ext uri="{FF2B5EF4-FFF2-40B4-BE49-F238E27FC236}">
                  <a16:creationId xmlns:a16="http://schemas.microsoft.com/office/drawing/2014/main" id="{00000000-0008-0000-0E00-000006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24</xdr:row>
          <xdr:rowOff>9525</xdr:rowOff>
        </xdr:from>
        <xdr:to>
          <xdr:col>20</xdr:col>
          <xdr:colOff>219075</xdr:colOff>
          <xdr:row>24</xdr:row>
          <xdr:rowOff>209550</xdr:rowOff>
        </xdr:to>
        <xdr:sp macro="" textlink="">
          <xdr:nvSpPr>
            <xdr:cNvPr id="224263" name="Drop Down 7" hidden="1">
              <a:extLst>
                <a:ext uri="{63B3BB69-23CF-44E3-9099-C40C66FF867C}">
                  <a14:compatExt spid="_x0000_s224263"/>
                </a:ext>
                <a:ext uri="{FF2B5EF4-FFF2-40B4-BE49-F238E27FC236}">
                  <a16:creationId xmlns:a16="http://schemas.microsoft.com/office/drawing/2014/main" id="{00000000-0008-0000-0E00-000007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828675</xdr:colOff>
          <xdr:row>33</xdr:row>
          <xdr:rowOff>38100</xdr:rowOff>
        </xdr:from>
        <xdr:to>
          <xdr:col>4</xdr:col>
          <xdr:colOff>390525</xdr:colOff>
          <xdr:row>34</xdr:row>
          <xdr:rowOff>9525</xdr:rowOff>
        </xdr:to>
        <xdr:sp macro="" textlink="">
          <xdr:nvSpPr>
            <xdr:cNvPr id="224264" name="Drop Down 8" hidden="1">
              <a:extLst>
                <a:ext uri="{63B3BB69-23CF-44E3-9099-C40C66FF867C}">
                  <a14:compatExt spid="_x0000_s224264"/>
                </a:ext>
                <a:ext uri="{FF2B5EF4-FFF2-40B4-BE49-F238E27FC236}">
                  <a16:creationId xmlns:a16="http://schemas.microsoft.com/office/drawing/2014/main" id="{00000000-0008-0000-0E00-000008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35</xdr:row>
          <xdr:rowOff>9525</xdr:rowOff>
        </xdr:from>
        <xdr:to>
          <xdr:col>8</xdr:col>
          <xdr:colOff>161925</xdr:colOff>
          <xdr:row>35</xdr:row>
          <xdr:rowOff>209550</xdr:rowOff>
        </xdr:to>
        <xdr:sp macro="" textlink="">
          <xdr:nvSpPr>
            <xdr:cNvPr id="224265" name="Drop Down 9" hidden="1">
              <a:extLst>
                <a:ext uri="{63B3BB69-23CF-44E3-9099-C40C66FF867C}">
                  <a14:compatExt spid="_x0000_s224265"/>
                </a:ext>
                <a:ext uri="{FF2B5EF4-FFF2-40B4-BE49-F238E27FC236}">
                  <a16:creationId xmlns:a16="http://schemas.microsoft.com/office/drawing/2014/main" id="{00000000-0008-0000-0E00-000009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9525</xdr:rowOff>
        </xdr:from>
        <xdr:to>
          <xdr:col>8</xdr:col>
          <xdr:colOff>114300</xdr:colOff>
          <xdr:row>18</xdr:row>
          <xdr:rowOff>209550</xdr:rowOff>
        </xdr:to>
        <xdr:sp macro="" textlink="">
          <xdr:nvSpPr>
            <xdr:cNvPr id="224266" name="Drop Down 10" hidden="1">
              <a:extLst>
                <a:ext uri="{63B3BB69-23CF-44E3-9099-C40C66FF867C}">
                  <a14:compatExt spid="_x0000_s224266"/>
                </a:ext>
                <a:ext uri="{FF2B5EF4-FFF2-40B4-BE49-F238E27FC236}">
                  <a16:creationId xmlns:a16="http://schemas.microsoft.com/office/drawing/2014/main" id="{00000000-0008-0000-0E00-00000A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9525</xdr:rowOff>
        </xdr:from>
        <xdr:to>
          <xdr:col>7</xdr:col>
          <xdr:colOff>38100</xdr:colOff>
          <xdr:row>29</xdr:row>
          <xdr:rowOff>200025</xdr:rowOff>
        </xdr:to>
        <xdr:sp macro="" textlink="">
          <xdr:nvSpPr>
            <xdr:cNvPr id="224267" name="Drop Down 11" hidden="1">
              <a:extLst>
                <a:ext uri="{63B3BB69-23CF-44E3-9099-C40C66FF867C}">
                  <a14:compatExt spid="_x0000_s224267"/>
                </a:ext>
                <a:ext uri="{FF2B5EF4-FFF2-40B4-BE49-F238E27FC236}">
                  <a16:creationId xmlns:a16="http://schemas.microsoft.com/office/drawing/2014/main" id="{00000000-0008-0000-0E00-00000B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</xdr:row>
          <xdr:rowOff>66675</xdr:rowOff>
        </xdr:from>
        <xdr:to>
          <xdr:col>21</xdr:col>
          <xdr:colOff>85725</xdr:colOff>
          <xdr:row>25</xdr:row>
          <xdr:rowOff>76200</xdr:rowOff>
        </xdr:to>
        <xdr:sp macro="" textlink="">
          <xdr:nvSpPr>
            <xdr:cNvPr id="224268" name="Group Box 12" hidden="1">
              <a:extLst>
                <a:ext uri="{63B3BB69-23CF-44E3-9099-C40C66FF867C}">
                  <a14:compatExt spid="_x0000_s224268"/>
                </a:ext>
                <a:ext uri="{FF2B5EF4-FFF2-40B4-BE49-F238E27FC236}">
                  <a16:creationId xmlns:a16="http://schemas.microsoft.com/office/drawing/2014/main" id="{00000000-0008-0000-0E00-00000C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16</xdr:row>
          <xdr:rowOff>9525</xdr:rowOff>
        </xdr:from>
        <xdr:to>
          <xdr:col>8</xdr:col>
          <xdr:colOff>114300</xdr:colOff>
          <xdr:row>16</xdr:row>
          <xdr:rowOff>209550</xdr:rowOff>
        </xdr:to>
        <xdr:sp macro="" textlink="">
          <xdr:nvSpPr>
            <xdr:cNvPr id="224270" name="Drop Down 14" hidden="1">
              <a:extLst>
                <a:ext uri="{63B3BB69-23CF-44E3-9099-C40C66FF867C}">
                  <a14:compatExt spid="_x0000_s224270"/>
                </a:ext>
                <a:ext uri="{FF2B5EF4-FFF2-40B4-BE49-F238E27FC236}">
                  <a16:creationId xmlns:a16="http://schemas.microsoft.com/office/drawing/2014/main" id="{00000000-0008-0000-0E00-00000E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190500</xdr:colOff>
          <xdr:row>5</xdr:row>
          <xdr:rowOff>9525</xdr:rowOff>
        </xdr:from>
        <xdr:to>
          <xdr:col>28</xdr:col>
          <xdr:colOff>542925</xdr:colOff>
          <xdr:row>25</xdr:row>
          <xdr:rowOff>76200</xdr:rowOff>
        </xdr:to>
        <xdr:sp macro="" textlink="">
          <xdr:nvSpPr>
            <xdr:cNvPr id="224271" name="TextBox1" hidden="1">
              <a:extLst>
                <a:ext uri="{63B3BB69-23CF-44E3-9099-C40C66FF867C}">
                  <a14:compatExt spid="_x0000_s224271"/>
                </a:ext>
                <a:ext uri="{FF2B5EF4-FFF2-40B4-BE49-F238E27FC236}">
                  <a16:creationId xmlns:a16="http://schemas.microsoft.com/office/drawing/2014/main" id="{00000000-0008-0000-0E00-00000F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15</xdr:col>
          <xdr:colOff>0</xdr:colOff>
          <xdr:row>38</xdr:row>
          <xdr:rowOff>152400</xdr:rowOff>
        </xdr:to>
        <xdr:sp macro="" textlink="">
          <xdr:nvSpPr>
            <xdr:cNvPr id="224272" name="TextBox3" hidden="1">
              <a:extLst>
                <a:ext uri="{63B3BB69-23CF-44E3-9099-C40C66FF867C}">
                  <a14:compatExt spid="_x0000_s224272"/>
                </a:ext>
                <a:ext uri="{FF2B5EF4-FFF2-40B4-BE49-F238E27FC236}">
                  <a16:creationId xmlns:a16="http://schemas.microsoft.com/office/drawing/2014/main" id="{00000000-0008-0000-0E00-000010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</xdr:col>
      <xdr:colOff>66674</xdr:colOff>
      <xdr:row>0</xdr:row>
      <xdr:rowOff>92246</xdr:rowOff>
    </xdr:from>
    <xdr:to>
      <xdr:col>2</xdr:col>
      <xdr:colOff>352424</xdr:colOff>
      <xdr:row>1</xdr:row>
      <xdr:rowOff>277702</xdr:rowOff>
    </xdr:to>
    <xdr:sp macro="[0]!goto_releasedelectrical" textlink="">
      <xdr:nvSpPr>
        <xdr:cNvPr id="19" name="Isosceles Triangle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/>
      </xdr:nvSpPr>
      <xdr:spPr>
        <a:xfrm rot="16200000">
          <a:off x="221596" y="89724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440055</xdr:colOff>
      <xdr:row>0</xdr:row>
      <xdr:rowOff>85725</xdr:rowOff>
    </xdr:from>
    <xdr:to>
      <xdr:col>4</xdr:col>
      <xdr:colOff>80603</xdr:colOff>
      <xdr:row>1</xdr:row>
      <xdr:rowOff>281178</xdr:rowOff>
    </xdr:to>
    <xdr:sp macro="[0]!goto_main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/>
      </xdr:nvSpPr>
      <xdr:spPr>
        <a:xfrm>
          <a:off x="687705" y="85725"/>
          <a:ext cx="1097873" cy="385953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4</xdr:col>
      <xdr:colOff>163626</xdr:colOff>
      <xdr:row>0</xdr:row>
      <xdr:rowOff>95384</xdr:rowOff>
    </xdr:from>
    <xdr:to>
      <xdr:col>6</xdr:col>
      <xdr:colOff>49326</xdr:colOff>
      <xdr:row>1</xdr:row>
      <xdr:rowOff>280840</xdr:rowOff>
    </xdr:to>
    <xdr:sp macro="[0]!goto_releasedaftersizes" textlink="">
      <xdr:nvSpPr>
        <xdr:cNvPr id="21" name="Isosceles Triangle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 rot="5400000">
          <a:off x="1871123" y="92862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4</xdr:row>
          <xdr:rowOff>180975</xdr:rowOff>
        </xdr:from>
        <xdr:to>
          <xdr:col>14</xdr:col>
          <xdr:colOff>476250</xdr:colOff>
          <xdr:row>6</xdr:row>
          <xdr:rowOff>9525</xdr:rowOff>
        </xdr:to>
        <xdr:sp macro="" textlink="">
          <xdr:nvSpPr>
            <xdr:cNvPr id="224273" name="Group Box 17" hidden="1">
              <a:extLst>
                <a:ext uri="{63B3BB69-23CF-44E3-9099-C40C66FF867C}">
                  <a14:compatExt spid="_x0000_s224273"/>
                </a:ext>
                <a:ext uri="{FF2B5EF4-FFF2-40B4-BE49-F238E27FC236}">
                  <a16:creationId xmlns:a16="http://schemas.microsoft.com/office/drawing/2014/main" id="{00000000-0008-0000-0E00-000011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5</xdr:row>
          <xdr:rowOff>9525</xdr:rowOff>
        </xdr:from>
        <xdr:to>
          <xdr:col>14</xdr:col>
          <xdr:colOff>47625</xdr:colOff>
          <xdr:row>5</xdr:row>
          <xdr:rowOff>219075</xdr:rowOff>
        </xdr:to>
        <xdr:sp macro="" textlink="">
          <xdr:nvSpPr>
            <xdr:cNvPr id="224274" name="Option Button 18" hidden="1">
              <a:extLst>
                <a:ext uri="{63B3BB69-23CF-44E3-9099-C40C66FF867C}">
                  <a14:compatExt spid="_x0000_s224274"/>
                </a:ext>
                <a:ext uri="{FF2B5EF4-FFF2-40B4-BE49-F238E27FC236}">
                  <a16:creationId xmlns:a16="http://schemas.microsoft.com/office/drawing/2014/main" id="{00000000-0008-0000-0E00-000012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5</xdr:row>
          <xdr:rowOff>9525</xdr:rowOff>
        </xdr:from>
        <xdr:to>
          <xdr:col>14</xdr:col>
          <xdr:colOff>457200</xdr:colOff>
          <xdr:row>5</xdr:row>
          <xdr:rowOff>228600</xdr:rowOff>
        </xdr:to>
        <xdr:sp macro="" textlink="">
          <xdr:nvSpPr>
            <xdr:cNvPr id="224275" name="Option Button 19" hidden="1">
              <a:extLst>
                <a:ext uri="{63B3BB69-23CF-44E3-9099-C40C66FF867C}">
                  <a14:compatExt spid="_x0000_s224275"/>
                </a:ext>
                <a:ext uri="{FF2B5EF4-FFF2-40B4-BE49-F238E27FC236}">
                  <a16:creationId xmlns:a16="http://schemas.microsoft.com/office/drawing/2014/main" id="{00000000-0008-0000-0E00-000013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247650</xdr:colOff>
          <xdr:row>16</xdr:row>
          <xdr:rowOff>76200</xdr:rowOff>
        </xdr:from>
        <xdr:to>
          <xdr:col>14</xdr:col>
          <xdr:colOff>495300</xdr:colOff>
          <xdr:row>18</xdr:row>
          <xdr:rowOff>28575</xdr:rowOff>
        </xdr:to>
        <xdr:sp macro="" textlink="">
          <xdr:nvSpPr>
            <xdr:cNvPr id="224276" name="Group Box 20" hidden="1">
              <a:extLst>
                <a:ext uri="{63B3BB69-23CF-44E3-9099-C40C66FF867C}">
                  <a14:compatExt spid="_x0000_s224276"/>
                </a:ext>
                <a:ext uri="{FF2B5EF4-FFF2-40B4-BE49-F238E27FC236}">
                  <a16:creationId xmlns:a16="http://schemas.microsoft.com/office/drawing/2014/main" id="{00000000-0008-0000-0E00-000014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276225</xdr:colOff>
          <xdr:row>16</xdr:row>
          <xdr:rowOff>104775</xdr:rowOff>
        </xdr:from>
        <xdr:to>
          <xdr:col>14</xdr:col>
          <xdr:colOff>66675</xdr:colOff>
          <xdr:row>18</xdr:row>
          <xdr:rowOff>9525</xdr:rowOff>
        </xdr:to>
        <xdr:sp macro="" textlink="">
          <xdr:nvSpPr>
            <xdr:cNvPr id="224277" name="Option Button 21" hidden="1">
              <a:extLst>
                <a:ext uri="{63B3BB69-23CF-44E3-9099-C40C66FF867C}">
                  <a14:compatExt spid="_x0000_s224277"/>
                </a:ext>
                <a:ext uri="{FF2B5EF4-FFF2-40B4-BE49-F238E27FC236}">
                  <a16:creationId xmlns:a16="http://schemas.microsoft.com/office/drawing/2014/main" id="{00000000-0008-0000-0E00-000015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16</xdr:row>
          <xdr:rowOff>104775</xdr:rowOff>
        </xdr:from>
        <xdr:to>
          <xdr:col>14</xdr:col>
          <xdr:colOff>476250</xdr:colOff>
          <xdr:row>18</xdr:row>
          <xdr:rowOff>19050</xdr:rowOff>
        </xdr:to>
        <xdr:sp macro="" textlink="">
          <xdr:nvSpPr>
            <xdr:cNvPr id="224278" name="Option Button 22" hidden="1">
              <a:extLst>
                <a:ext uri="{63B3BB69-23CF-44E3-9099-C40C66FF867C}">
                  <a14:compatExt spid="_x0000_s224278"/>
                </a:ext>
                <a:ext uri="{FF2B5EF4-FFF2-40B4-BE49-F238E27FC236}">
                  <a16:creationId xmlns:a16="http://schemas.microsoft.com/office/drawing/2014/main" id="{00000000-0008-0000-0E00-000016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28</xdr:row>
          <xdr:rowOff>38100</xdr:rowOff>
        </xdr:from>
        <xdr:to>
          <xdr:col>2</xdr:col>
          <xdr:colOff>800100</xdr:colOff>
          <xdr:row>29</xdr:row>
          <xdr:rowOff>228600</xdr:rowOff>
        </xdr:to>
        <xdr:sp macro="" textlink="">
          <xdr:nvSpPr>
            <xdr:cNvPr id="224279" name="Group Box 23" hidden="1">
              <a:extLst>
                <a:ext uri="{63B3BB69-23CF-44E3-9099-C40C66FF867C}">
                  <a14:compatExt spid="_x0000_s224279"/>
                </a:ext>
                <a:ext uri="{FF2B5EF4-FFF2-40B4-BE49-F238E27FC236}">
                  <a16:creationId xmlns:a16="http://schemas.microsoft.com/office/drawing/2014/main" id="{00000000-0008-0000-0E00-000017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28</xdr:row>
          <xdr:rowOff>66675</xdr:rowOff>
        </xdr:from>
        <xdr:to>
          <xdr:col>2</xdr:col>
          <xdr:colOff>409575</xdr:colOff>
          <xdr:row>29</xdr:row>
          <xdr:rowOff>209550</xdr:rowOff>
        </xdr:to>
        <xdr:sp macro="" textlink="">
          <xdr:nvSpPr>
            <xdr:cNvPr id="224280" name="Option Button 24" hidden="1">
              <a:extLst>
                <a:ext uri="{63B3BB69-23CF-44E3-9099-C40C66FF867C}">
                  <a14:compatExt spid="_x0000_s224280"/>
                </a:ext>
                <a:ext uri="{FF2B5EF4-FFF2-40B4-BE49-F238E27FC236}">
                  <a16:creationId xmlns:a16="http://schemas.microsoft.com/office/drawing/2014/main" id="{00000000-0008-0000-0E00-000018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28</xdr:row>
          <xdr:rowOff>66675</xdr:rowOff>
        </xdr:from>
        <xdr:to>
          <xdr:col>2</xdr:col>
          <xdr:colOff>781050</xdr:colOff>
          <xdr:row>29</xdr:row>
          <xdr:rowOff>219075</xdr:rowOff>
        </xdr:to>
        <xdr:sp macro="" textlink="">
          <xdr:nvSpPr>
            <xdr:cNvPr id="224281" name="Option Button 25" hidden="1">
              <a:extLst>
                <a:ext uri="{63B3BB69-23CF-44E3-9099-C40C66FF867C}">
                  <a14:compatExt spid="_x0000_s224281"/>
                </a:ext>
                <a:ext uri="{FF2B5EF4-FFF2-40B4-BE49-F238E27FC236}">
                  <a16:creationId xmlns:a16="http://schemas.microsoft.com/office/drawing/2014/main" id="{00000000-0008-0000-0E00-000019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</xdr:row>
          <xdr:rowOff>133350</xdr:rowOff>
        </xdr:from>
        <xdr:to>
          <xdr:col>3</xdr:col>
          <xdr:colOff>85725</xdr:colOff>
          <xdr:row>5</xdr:row>
          <xdr:rowOff>200025</xdr:rowOff>
        </xdr:to>
        <xdr:sp macro="" textlink="">
          <xdr:nvSpPr>
            <xdr:cNvPr id="224282" name="Group Box 26" hidden="1">
              <a:extLst>
                <a:ext uri="{63B3BB69-23CF-44E3-9099-C40C66FF867C}">
                  <a14:compatExt spid="_x0000_s224282"/>
                </a:ext>
                <a:ext uri="{FF2B5EF4-FFF2-40B4-BE49-F238E27FC236}">
                  <a16:creationId xmlns:a16="http://schemas.microsoft.com/office/drawing/2014/main" id="{00000000-0008-0000-0E00-00001A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4</xdr:row>
          <xdr:rowOff>161925</xdr:rowOff>
        </xdr:from>
        <xdr:to>
          <xdr:col>2</xdr:col>
          <xdr:colOff>552450</xdr:colOff>
          <xdr:row>5</xdr:row>
          <xdr:rowOff>180975</xdr:rowOff>
        </xdr:to>
        <xdr:sp macro="" textlink="">
          <xdr:nvSpPr>
            <xdr:cNvPr id="224283" name="Option Button 27" hidden="1">
              <a:extLst>
                <a:ext uri="{63B3BB69-23CF-44E3-9099-C40C66FF867C}">
                  <a14:compatExt spid="_x0000_s224283"/>
                </a:ext>
                <a:ext uri="{FF2B5EF4-FFF2-40B4-BE49-F238E27FC236}">
                  <a16:creationId xmlns:a16="http://schemas.microsoft.com/office/drawing/2014/main" id="{00000000-0008-0000-0E00-00001B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4</xdr:row>
          <xdr:rowOff>161925</xdr:rowOff>
        </xdr:from>
        <xdr:to>
          <xdr:col>3</xdr:col>
          <xdr:colOff>66675</xdr:colOff>
          <xdr:row>5</xdr:row>
          <xdr:rowOff>190500</xdr:rowOff>
        </xdr:to>
        <xdr:sp macro="" textlink="">
          <xdr:nvSpPr>
            <xdr:cNvPr id="224284" name="Option Button 28" hidden="1">
              <a:extLst>
                <a:ext uri="{63B3BB69-23CF-44E3-9099-C40C66FF867C}">
                  <a14:compatExt spid="_x0000_s224284"/>
                </a:ext>
                <a:ext uri="{FF2B5EF4-FFF2-40B4-BE49-F238E27FC236}">
                  <a16:creationId xmlns:a16="http://schemas.microsoft.com/office/drawing/2014/main" id="{00000000-0008-0000-0E00-00001C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9525</xdr:rowOff>
        </xdr:from>
        <xdr:to>
          <xdr:col>7</xdr:col>
          <xdr:colOff>38100</xdr:colOff>
          <xdr:row>5</xdr:row>
          <xdr:rowOff>200025</xdr:rowOff>
        </xdr:to>
        <xdr:sp macro="" textlink="">
          <xdr:nvSpPr>
            <xdr:cNvPr id="224285" name="Drop Down 29" hidden="1">
              <a:extLst>
                <a:ext uri="{63B3BB69-23CF-44E3-9099-C40C66FF867C}">
                  <a14:compatExt spid="_x0000_s224285"/>
                </a:ext>
                <a:ext uri="{FF2B5EF4-FFF2-40B4-BE49-F238E27FC236}">
                  <a16:creationId xmlns:a16="http://schemas.microsoft.com/office/drawing/2014/main" id="{00000000-0008-0000-0E00-00001D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29</xdr:row>
          <xdr:rowOff>0</xdr:rowOff>
        </xdr:from>
        <xdr:to>
          <xdr:col>25</xdr:col>
          <xdr:colOff>0</xdr:colOff>
          <xdr:row>30</xdr:row>
          <xdr:rowOff>0</xdr:rowOff>
        </xdr:to>
        <xdr:sp macro="" textlink="">
          <xdr:nvSpPr>
            <xdr:cNvPr id="224308" name="Group Box 52" hidden="1">
              <a:extLst>
                <a:ext uri="{63B3BB69-23CF-44E3-9099-C40C66FF867C}">
                  <a14:compatExt spid="_x0000_s224308"/>
                </a:ext>
                <a:ext uri="{FF2B5EF4-FFF2-40B4-BE49-F238E27FC236}">
                  <a16:creationId xmlns:a16="http://schemas.microsoft.com/office/drawing/2014/main" id="{00000000-0008-0000-0E00-000034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31</xdr:row>
          <xdr:rowOff>0</xdr:rowOff>
        </xdr:from>
        <xdr:to>
          <xdr:col>25</xdr:col>
          <xdr:colOff>0</xdr:colOff>
          <xdr:row>32</xdr:row>
          <xdr:rowOff>0</xdr:rowOff>
        </xdr:to>
        <xdr:sp macro="" textlink="">
          <xdr:nvSpPr>
            <xdr:cNvPr id="224309" name="Group Box 53" hidden="1">
              <a:extLst>
                <a:ext uri="{63B3BB69-23CF-44E3-9099-C40C66FF867C}">
                  <a14:compatExt spid="_x0000_s224309"/>
                </a:ext>
                <a:ext uri="{FF2B5EF4-FFF2-40B4-BE49-F238E27FC236}">
                  <a16:creationId xmlns:a16="http://schemas.microsoft.com/office/drawing/2014/main" id="{00000000-0008-0000-0E00-000035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0</xdr:rowOff>
        </xdr:from>
        <xdr:to>
          <xdr:col>25</xdr:col>
          <xdr:colOff>0</xdr:colOff>
          <xdr:row>34</xdr:row>
          <xdr:rowOff>0</xdr:rowOff>
        </xdr:to>
        <xdr:sp macro="" textlink="">
          <xdr:nvSpPr>
            <xdr:cNvPr id="224310" name="Group Box 54" hidden="1">
              <a:extLst>
                <a:ext uri="{63B3BB69-23CF-44E3-9099-C40C66FF867C}">
                  <a14:compatExt spid="_x0000_s224310"/>
                </a:ext>
                <a:ext uri="{FF2B5EF4-FFF2-40B4-BE49-F238E27FC236}">
                  <a16:creationId xmlns:a16="http://schemas.microsoft.com/office/drawing/2014/main" id="{00000000-0008-0000-0E00-000036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29</xdr:row>
          <xdr:rowOff>9525</xdr:rowOff>
        </xdr:from>
        <xdr:to>
          <xdr:col>23</xdr:col>
          <xdr:colOff>561975</xdr:colOff>
          <xdr:row>30</xdr:row>
          <xdr:rowOff>0</xdr:rowOff>
        </xdr:to>
        <xdr:sp macro="" textlink="">
          <xdr:nvSpPr>
            <xdr:cNvPr id="224314" name="Option Button 58" hidden="1">
              <a:extLst>
                <a:ext uri="{63B3BB69-23CF-44E3-9099-C40C66FF867C}">
                  <a14:compatExt spid="_x0000_s224314"/>
                </a:ext>
                <a:ext uri="{FF2B5EF4-FFF2-40B4-BE49-F238E27FC236}">
                  <a16:creationId xmlns:a16="http://schemas.microsoft.com/office/drawing/2014/main" id="{00000000-0008-0000-0E00-00003A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31</xdr:row>
          <xdr:rowOff>9525</xdr:rowOff>
        </xdr:from>
        <xdr:to>
          <xdr:col>23</xdr:col>
          <xdr:colOff>561975</xdr:colOff>
          <xdr:row>32</xdr:row>
          <xdr:rowOff>0</xdr:rowOff>
        </xdr:to>
        <xdr:sp macro="" textlink="">
          <xdr:nvSpPr>
            <xdr:cNvPr id="224315" name="Option Button 59" hidden="1">
              <a:extLst>
                <a:ext uri="{63B3BB69-23CF-44E3-9099-C40C66FF867C}">
                  <a14:compatExt spid="_x0000_s224315"/>
                </a:ext>
                <a:ext uri="{FF2B5EF4-FFF2-40B4-BE49-F238E27FC236}">
                  <a16:creationId xmlns:a16="http://schemas.microsoft.com/office/drawing/2014/main" id="{00000000-0008-0000-0E00-00003B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33</xdr:row>
          <xdr:rowOff>9525</xdr:rowOff>
        </xdr:from>
        <xdr:to>
          <xdr:col>23</xdr:col>
          <xdr:colOff>561975</xdr:colOff>
          <xdr:row>34</xdr:row>
          <xdr:rowOff>0</xdr:rowOff>
        </xdr:to>
        <xdr:sp macro="" textlink="">
          <xdr:nvSpPr>
            <xdr:cNvPr id="224316" name="Option Button 60" hidden="1">
              <a:extLst>
                <a:ext uri="{63B3BB69-23CF-44E3-9099-C40C66FF867C}">
                  <a14:compatExt spid="_x0000_s224316"/>
                </a:ext>
                <a:ext uri="{FF2B5EF4-FFF2-40B4-BE49-F238E27FC236}">
                  <a16:creationId xmlns:a16="http://schemas.microsoft.com/office/drawing/2014/main" id="{00000000-0008-0000-0E00-00003C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29</xdr:row>
          <xdr:rowOff>9525</xdr:rowOff>
        </xdr:from>
        <xdr:to>
          <xdr:col>24</xdr:col>
          <xdr:colOff>552450</xdr:colOff>
          <xdr:row>30</xdr:row>
          <xdr:rowOff>0</xdr:rowOff>
        </xdr:to>
        <xdr:sp macro="" textlink="">
          <xdr:nvSpPr>
            <xdr:cNvPr id="224320" name="Option Button 64" hidden="1">
              <a:extLst>
                <a:ext uri="{63B3BB69-23CF-44E3-9099-C40C66FF867C}">
                  <a14:compatExt spid="_x0000_s224320"/>
                </a:ext>
                <a:ext uri="{FF2B5EF4-FFF2-40B4-BE49-F238E27FC236}">
                  <a16:creationId xmlns:a16="http://schemas.microsoft.com/office/drawing/2014/main" id="{00000000-0008-0000-0E00-000040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33</xdr:row>
          <xdr:rowOff>9525</xdr:rowOff>
        </xdr:from>
        <xdr:to>
          <xdr:col>24</xdr:col>
          <xdr:colOff>552450</xdr:colOff>
          <xdr:row>34</xdr:row>
          <xdr:rowOff>0</xdr:rowOff>
        </xdr:to>
        <xdr:sp macro="" textlink="">
          <xdr:nvSpPr>
            <xdr:cNvPr id="224321" name="Option Button 65" hidden="1">
              <a:extLst>
                <a:ext uri="{63B3BB69-23CF-44E3-9099-C40C66FF867C}">
                  <a14:compatExt spid="_x0000_s224321"/>
                </a:ext>
                <a:ext uri="{FF2B5EF4-FFF2-40B4-BE49-F238E27FC236}">
                  <a16:creationId xmlns:a16="http://schemas.microsoft.com/office/drawing/2014/main" id="{00000000-0008-0000-0E00-000041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31</xdr:row>
          <xdr:rowOff>9525</xdr:rowOff>
        </xdr:from>
        <xdr:to>
          <xdr:col>24</xdr:col>
          <xdr:colOff>552450</xdr:colOff>
          <xdr:row>32</xdr:row>
          <xdr:rowOff>0</xdr:rowOff>
        </xdr:to>
        <xdr:sp macro="" textlink="">
          <xdr:nvSpPr>
            <xdr:cNvPr id="224323" name="Option Button 67" hidden="1">
              <a:extLst>
                <a:ext uri="{63B3BB69-23CF-44E3-9099-C40C66FF867C}">
                  <a14:compatExt spid="_x0000_s224323"/>
                </a:ext>
                <a:ext uri="{FF2B5EF4-FFF2-40B4-BE49-F238E27FC236}">
                  <a16:creationId xmlns:a16="http://schemas.microsoft.com/office/drawing/2014/main" id="{00000000-0008-0000-0E00-000043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609600</xdr:colOff>
      <xdr:row>0</xdr:row>
      <xdr:rowOff>28575</xdr:rowOff>
    </xdr:from>
    <xdr:to>
      <xdr:col>9</xdr:col>
      <xdr:colOff>546152</xdr:colOff>
      <xdr:row>2</xdr:row>
      <xdr:rowOff>65191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2428875" y="28575"/>
          <a:ext cx="1555802" cy="56049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60466" name="Group Box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0F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60479" name="Group Box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0F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47625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60521" name="Group Box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0F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60524" name="Group Box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0F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13</xdr:col>
          <xdr:colOff>0</xdr:colOff>
          <xdr:row>38</xdr:row>
          <xdr:rowOff>0</xdr:rowOff>
        </xdr:to>
        <xdr:sp macro="" textlink="">
          <xdr:nvSpPr>
            <xdr:cNvPr id="60530" name="Group Box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0F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13</xdr:col>
          <xdr:colOff>0</xdr:colOff>
          <xdr:row>48</xdr:row>
          <xdr:rowOff>0</xdr:rowOff>
        </xdr:to>
        <xdr:sp macro="" textlink="">
          <xdr:nvSpPr>
            <xdr:cNvPr id="60537" name="Group Box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0F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13</xdr:col>
          <xdr:colOff>0</xdr:colOff>
          <xdr:row>8</xdr:row>
          <xdr:rowOff>9525</xdr:rowOff>
        </xdr:to>
        <xdr:sp macro="" textlink="">
          <xdr:nvSpPr>
            <xdr:cNvPr id="60509" name="Drop Dow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0F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60512" name="Drop Dow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0F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60545" name="Drop Dow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0F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60546" name="Drop Dow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0F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0</xdr:rowOff>
        </xdr:from>
        <xdr:to>
          <xdr:col>13</xdr:col>
          <xdr:colOff>0</xdr:colOff>
          <xdr:row>40</xdr:row>
          <xdr:rowOff>0</xdr:rowOff>
        </xdr:to>
        <xdr:sp macro="" textlink="">
          <xdr:nvSpPr>
            <xdr:cNvPr id="60547" name="Drop Dow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0F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49</xdr:row>
          <xdr:rowOff>0</xdr:rowOff>
        </xdr:from>
        <xdr:to>
          <xdr:col>13</xdr:col>
          <xdr:colOff>0</xdr:colOff>
          <xdr:row>50</xdr:row>
          <xdr:rowOff>0</xdr:rowOff>
        </xdr:to>
        <xdr:sp macro="" textlink="">
          <xdr:nvSpPr>
            <xdr:cNvPr id="60548" name="Drop Dow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0F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</xdr:row>
          <xdr:rowOff>36740</xdr:rowOff>
        </xdr:from>
        <xdr:to>
          <xdr:col>12</xdr:col>
          <xdr:colOff>742950</xdr:colOff>
          <xdr:row>5</xdr:row>
          <xdr:rowOff>187271</xdr:rowOff>
        </xdr:to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00000000-0008-0000-0F00-000009000000}"/>
                </a:ext>
              </a:extLst>
            </xdr:cNvPr>
            <xdr:cNvGrpSpPr/>
          </xdr:nvGrpSpPr>
          <xdr:grpSpPr>
            <a:xfrm>
              <a:off x="5448300" y="1094015"/>
              <a:ext cx="733425" cy="150531"/>
              <a:chOff x="5310873" y="1168854"/>
              <a:chExt cx="733421" cy="180975"/>
            </a:xfrm>
          </xdr:grpSpPr>
          <xdr:sp macro="" textlink="">
            <xdr:nvSpPr>
              <xdr:cNvPr id="60477" name="Option Button 61" hidden="1">
                <a:extLst>
                  <a:ext uri="{63B3BB69-23CF-44E3-9099-C40C66FF867C}">
                    <a14:compatExt spid="_x0000_s60477"/>
                  </a:ext>
                  <a:ext uri="{FF2B5EF4-FFF2-40B4-BE49-F238E27FC236}">
                    <a16:creationId xmlns:a16="http://schemas.microsoft.com/office/drawing/2014/main" id="{00000000-0008-0000-0F00-00003DEC0000}"/>
                  </a:ext>
                </a:extLst>
              </xdr:cNvPr>
              <xdr:cNvSpPr/>
            </xdr:nvSpPr>
            <xdr:spPr bwMode="auto">
              <a:xfrm>
                <a:off x="5310873" y="1168854"/>
                <a:ext cx="371475" cy="1809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Yes</a:t>
                </a:r>
              </a:p>
            </xdr:txBody>
          </xdr:sp>
          <xdr:sp macro="" textlink="">
            <xdr:nvSpPr>
              <xdr:cNvPr id="60478" name="Option Button 62" hidden="1">
                <a:extLst>
                  <a:ext uri="{63B3BB69-23CF-44E3-9099-C40C66FF867C}">
                    <a14:compatExt spid="_x0000_s60478"/>
                  </a:ext>
                  <a:ext uri="{FF2B5EF4-FFF2-40B4-BE49-F238E27FC236}">
                    <a16:creationId xmlns:a16="http://schemas.microsoft.com/office/drawing/2014/main" id="{00000000-0008-0000-0F00-00003EEC0000}"/>
                  </a:ext>
                </a:extLst>
              </xdr:cNvPr>
              <xdr:cNvSpPr/>
            </xdr:nvSpPr>
            <xdr:spPr bwMode="auto">
              <a:xfrm>
                <a:off x="5672819" y="1168854"/>
                <a:ext cx="371475" cy="1809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21</xdr:row>
          <xdr:rowOff>38100</xdr:rowOff>
        </xdr:from>
        <xdr:to>
          <xdr:col>12</xdr:col>
          <xdr:colOff>409575</xdr:colOff>
          <xdr:row>21</xdr:row>
          <xdr:rowOff>209550</xdr:rowOff>
        </xdr:to>
        <xdr:sp macro="" textlink="">
          <xdr:nvSpPr>
            <xdr:cNvPr id="60522" name="Option 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0F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381000</xdr:colOff>
          <xdr:row>21</xdr:row>
          <xdr:rowOff>38100</xdr:rowOff>
        </xdr:from>
        <xdr:to>
          <xdr:col>12</xdr:col>
          <xdr:colOff>742950</xdr:colOff>
          <xdr:row>21</xdr:row>
          <xdr:rowOff>209550</xdr:rowOff>
        </xdr:to>
        <xdr:sp macro="" textlink="">
          <xdr:nvSpPr>
            <xdr:cNvPr id="60523" name="Option 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0F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42183</xdr:rowOff>
        </xdr:from>
        <xdr:to>
          <xdr:col>12</xdr:col>
          <xdr:colOff>742950</xdr:colOff>
          <xdr:row>29</xdr:row>
          <xdr:rowOff>213633</xdr:rowOff>
        </xdr:to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0000000-0008-0000-0F00-00000C000000}"/>
                </a:ext>
              </a:extLst>
            </xdr:cNvPr>
            <xdr:cNvGrpSpPr/>
          </xdr:nvGrpSpPr>
          <xdr:grpSpPr>
            <a:xfrm>
              <a:off x="5448306" y="3956958"/>
              <a:ext cx="733425" cy="171450"/>
              <a:chOff x="5310897" y="3721562"/>
              <a:chExt cx="733437" cy="171450"/>
            </a:xfrm>
          </xdr:grpSpPr>
          <xdr:sp macro="" textlink="">
            <xdr:nvSpPr>
              <xdr:cNvPr id="60533" name="Option Button 117" hidden="1">
                <a:extLst>
                  <a:ext uri="{63B3BB69-23CF-44E3-9099-C40C66FF867C}">
                    <a14:compatExt spid="_x0000_s60533"/>
                  </a:ext>
                  <a:ext uri="{FF2B5EF4-FFF2-40B4-BE49-F238E27FC236}">
                    <a16:creationId xmlns:a16="http://schemas.microsoft.com/office/drawing/2014/main" id="{00000000-0008-0000-0F00-000075EC0000}"/>
                  </a:ext>
                </a:extLst>
              </xdr:cNvPr>
              <xdr:cNvSpPr/>
            </xdr:nvSpPr>
            <xdr:spPr bwMode="auto">
              <a:xfrm>
                <a:off x="5310897" y="3731079"/>
                <a:ext cx="361950" cy="1619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Yes</a:t>
                </a:r>
              </a:p>
            </xdr:txBody>
          </xdr:sp>
          <xdr:sp macro="" textlink="">
            <xdr:nvSpPr>
              <xdr:cNvPr id="60534" name="Option Button 118" hidden="1">
                <a:extLst>
                  <a:ext uri="{63B3BB69-23CF-44E3-9099-C40C66FF867C}">
                    <a14:compatExt spid="_x0000_s60534"/>
                  </a:ext>
                  <a:ext uri="{FF2B5EF4-FFF2-40B4-BE49-F238E27FC236}">
                    <a16:creationId xmlns:a16="http://schemas.microsoft.com/office/drawing/2014/main" id="{00000000-0008-0000-0F00-000076EC0000}"/>
                  </a:ext>
                </a:extLst>
              </xdr:cNvPr>
              <xdr:cNvSpPr/>
            </xdr:nvSpPr>
            <xdr:spPr bwMode="auto">
              <a:xfrm>
                <a:off x="5682384" y="3721562"/>
                <a:ext cx="361950" cy="1714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37</xdr:row>
          <xdr:rowOff>42183</xdr:rowOff>
        </xdr:from>
        <xdr:to>
          <xdr:col>12</xdr:col>
          <xdr:colOff>742950</xdr:colOff>
          <xdr:row>37</xdr:row>
          <xdr:rowOff>213633</xdr:rowOff>
        </xdr:to>
        <xdr:grpSp>
          <xdr:nvGrpSpPr>
            <xdr:cNvPr id="15" name="Group 14">
              <a:extLst>
                <a:ext uri="{FF2B5EF4-FFF2-40B4-BE49-F238E27FC236}">
                  <a16:creationId xmlns:a16="http://schemas.microsoft.com/office/drawing/2014/main" id="{00000000-0008-0000-0F00-00000F000000}"/>
                </a:ext>
              </a:extLst>
            </xdr:cNvPr>
            <xdr:cNvGrpSpPr/>
          </xdr:nvGrpSpPr>
          <xdr:grpSpPr>
            <a:xfrm>
              <a:off x="5448311" y="4899933"/>
              <a:ext cx="733460" cy="171450"/>
              <a:chOff x="5310335" y="4489944"/>
              <a:chExt cx="733570" cy="171450"/>
            </a:xfrm>
          </xdr:grpSpPr>
          <xdr:sp macro="" textlink="">
            <xdr:nvSpPr>
              <xdr:cNvPr id="60535" name="Option Button 119" hidden="1">
                <a:extLst>
                  <a:ext uri="{63B3BB69-23CF-44E3-9099-C40C66FF867C}">
                    <a14:compatExt spid="_x0000_s60535"/>
                  </a:ext>
                  <a:ext uri="{FF2B5EF4-FFF2-40B4-BE49-F238E27FC236}">
                    <a16:creationId xmlns:a16="http://schemas.microsoft.com/office/drawing/2014/main" id="{00000000-0008-0000-0F00-000077EC0000}"/>
                  </a:ext>
                </a:extLst>
              </xdr:cNvPr>
              <xdr:cNvSpPr/>
            </xdr:nvSpPr>
            <xdr:spPr bwMode="auto">
              <a:xfrm>
                <a:off x="5310335" y="4489944"/>
                <a:ext cx="333375" cy="1714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Yes</a:t>
                </a:r>
              </a:p>
            </xdr:txBody>
          </xdr:sp>
          <xdr:sp macro="" textlink="">
            <xdr:nvSpPr>
              <xdr:cNvPr id="60536" name="Option Button 120" hidden="1">
                <a:extLst>
                  <a:ext uri="{63B3BB69-23CF-44E3-9099-C40C66FF867C}">
                    <a14:compatExt spid="_x0000_s60536"/>
                  </a:ext>
                  <a:ext uri="{FF2B5EF4-FFF2-40B4-BE49-F238E27FC236}">
                    <a16:creationId xmlns:a16="http://schemas.microsoft.com/office/drawing/2014/main" id="{00000000-0008-0000-0F00-000078EC0000}"/>
                  </a:ext>
                </a:extLst>
              </xdr:cNvPr>
              <xdr:cNvSpPr/>
            </xdr:nvSpPr>
            <xdr:spPr bwMode="auto">
              <a:xfrm>
                <a:off x="5681958" y="4489944"/>
                <a:ext cx="361947" cy="1714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13</xdr:row>
          <xdr:rowOff>28575</xdr:rowOff>
        </xdr:from>
        <xdr:to>
          <xdr:col>12</xdr:col>
          <xdr:colOff>371475</xdr:colOff>
          <xdr:row>13</xdr:row>
          <xdr:rowOff>200025</xdr:rowOff>
        </xdr:to>
        <xdr:sp macro="" textlink="">
          <xdr:nvSpPr>
            <xdr:cNvPr id="60540" name="Option 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0F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400050</xdr:colOff>
          <xdr:row>13</xdr:row>
          <xdr:rowOff>38100</xdr:rowOff>
        </xdr:from>
        <xdr:to>
          <xdr:col>12</xdr:col>
          <xdr:colOff>742950</xdr:colOff>
          <xdr:row>13</xdr:row>
          <xdr:rowOff>200025</xdr:rowOff>
        </xdr:to>
        <xdr:sp macro="" textlink="">
          <xdr:nvSpPr>
            <xdr:cNvPr id="60541" name="Option 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0F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47</xdr:row>
          <xdr:rowOff>51708</xdr:rowOff>
        </xdr:from>
        <xdr:to>
          <xdr:col>12</xdr:col>
          <xdr:colOff>752475</xdr:colOff>
          <xdr:row>47</xdr:row>
          <xdr:rowOff>213633</xdr:rowOff>
        </xdr:to>
        <xdr:grpSp>
          <xdr:nvGrpSpPr>
            <xdr:cNvPr id="14" name="Group 13">
              <a:extLst>
                <a:ext uri="{FF2B5EF4-FFF2-40B4-BE49-F238E27FC236}">
                  <a16:creationId xmlns:a16="http://schemas.microsoft.com/office/drawing/2014/main" id="{00000000-0008-0000-0F00-00000E000000}"/>
                </a:ext>
              </a:extLst>
            </xdr:cNvPr>
            <xdr:cNvGrpSpPr/>
          </xdr:nvGrpSpPr>
          <xdr:grpSpPr>
            <a:xfrm>
              <a:off x="5457807" y="6128658"/>
              <a:ext cx="733449" cy="161925"/>
              <a:chOff x="5320367" y="5652420"/>
              <a:chExt cx="733477" cy="161925"/>
            </a:xfrm>
          </xdr:grpSpPr>
          <xdr:sp macro="" textlink="">
            <xdr:nvSpPr>
              <xdr:cNvPr id="60575" name="Option Button 159" hidden="1">
                <a:extLst>
                  <a:ext uri="{63B3BB69-23CF-44E3-9099-C40C66FF867C}">
                    <a14:compatExt spid="_x0000_s60575"/>
                  </a:ext>
                  <a:ext uri="{FF2B5EF4-FFF2-40B4-BE49-F238E27FC236}">
                    <a16:creationId xmlns:a16="http://schemas.microsoft.com/office/drawing/2014/main" id="{00000000-0008-0000-0F00-00009FEC0000}"/>
                  </a:ext>
                </a:extLst>
              </xdr:cNvPr>
              <xdr:cNvSpPr/>
            </xdr:nvSpPr>
            <xdr:spPr bwMode="auto">
              <a:xfrm>
                <a:off x="5320367" y="5652420"/>
                <a:ext cx="390525" cy="1619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Yes</a:t>
                </a:r>
              </a:p>
            </xdr:txBody>
          </xdr:sp>
          <xdr:sp macro="" textlink="">
            <xdr:nvSpPr>
              <xdr:cNvPr id="60576" name="Option Button 160" hidden="1">
                <a:extLst>
                  <a:ext uri="{63B3BB69-23CF-44E3-9099-C40C66FF867C}">
                    <a14:compatExt spid="_x0000_s60576"/>
                  </a:ext>
                  <a:ext uri="{FF2B5EF4-FFF2-40B4-BE49-F238E27FC236}">
                    <a16:creationId xmlns:a16="http://schemas.microsoft.com/office/drawing/2014/main" id="{00000000-0008-0000-0F00-0000A0EC0000}"/>
                  </a:ext>
                </a:extLst>
              </xdr:cNvPr>
              <xdr:cNvSpPr/>
            </xdr:nvSpPr>
            <xdr:spPr bwMode="auto">
              <a:xfrm>
                <a:off x="5682369" y="5652421"/>
                <a:ext cx="371475" cy="15240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5</xdr:row>
          <xdr:rowOff>0</xdr:rowOff>
        </xdr:from>
        <xdr:to>
          <xdr:col>21</xdr:col>
          <xdr:colOff>552450</xdr:colOff>
          <xdr:row>6</xdr:row>
          <xdr:rowOff>0</xdr:rowOff>
        </xdr:to>
        <xdr:sp macro="" textlink="">
          <xdr:nvSpPr>
            <xdr:cNvPr id="60588" name="Drop Down 172" hidden="1">
              <a:extLst>
                <a:ext uri="{63B3BB69-23CF-44E3-9099-C40C66FF867C}">
                  <a14:compatExt spid="_x0000_s60588"/>
                </a:ext>
                <a:ext uri="{FF2B5EF4-FFF2-40B4-BE49-F238E27FC236}">
                  <a16:creationId xmlns:a16="http://schemas.microsoft.com/office/drawing/2014/main" id="{00000000-0008-0000-0F00-0000A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7</xdr:row>
          <xdr:rowOff>0</xdr:rowOff>
        </xdr:from>
        <xdr:to>
          <xdr:col>21</xdr:col>
          <xdr:colOff>552450</xdr:colOff>
          <xdr:row>8</xdr:row>
          <xdr:rowOff>38100</xdr:rowOff>
        </xdr:to>
        <xdr:sp macro="" textlink="">
          <xdr:nvSpPr>
            <xdr:cNvPr id="60589" name="Drop Down 173" hidden="1">
              <a:extLst>
                <a:ext uri="{63B3BB69-23CF-44E3-9099-C40C66FF867C}">
                  <a14:compatExt spid="_x0000_s60589"/>
                </a:ext>
                <a:ext uri="{FF2B5EF4-FFF2-40B4-BE49-F238E27FC236}">
                  <a16:creationId xmlns:a16="http://schemas.microsoft.com/office/drawing/2014/main" id="{00000000-0008-0000-0F00-0000A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85725</xdr:colOff>
          <xdr:row>5</xdr:row>
          <xdr:rowOff>0</xdr:rowOff>
        </xdr:from>
        <xdr:to>
          <xdr:col>27</xdr:col>
          <xdr:colOff>533400</xdr:colOff>
          <xdr:row>6</xdr:row>
          <xdr:rowOff>0</xdr:rowOff>
        </xdr:to>
        <xdr:sp macro="" textlink="">
          <xdr:nvSpPr>
            <xdr:cNvPr id="60590" name="Drop Down 174" hidden="1">
              <a:extLst>
                <a:ext uri="{63B3BB69-23CF-44E3-9099-C40C66FF867C}">
                  <a14:compatExt spid="_x0000_s60590"/>
                </a:ext>
                <a:ext uri="{FF2B5EF4-FFF2-40B4-BE49-F238E27FC236}">
                  <a16:creationId xmlns:a16="http://schemas.microsoft.com/office/drawing/2014/main" id="{00000000-0008-0000-0F00-0000A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209550</xdr:rowOff>
        </xdr:from>
        <xdr:to>
          <xdr:col>28</xdr:col>
          <xdr:colOff>28575</xdr:colOff>
          <xdr:row>27</xdr:row>
          <xdr:rowOff>104775</xdr:rowOff>
        </xdr:to>
        <xdr:sp macro="" textlink="">
          <xdr:nvSpPr>
            <xdr:cNvPr id="60592" name="TextBox2" hidden="1">
              <a:extLst>
                <a:ext uri="{63B3BB69-23CF-44E3-9099-C40C66FF867C}">
                  <a14:compatExt spid="_x0000_s60592"/>
                </a:ext>
                <a:ext uri="{FF2B5EF4-FFF2-40B4-BE49-F238E27FC236}">
                  <a16:creationId xmlns:a16="http://schemas.microsoft.com/office/drawing/2014/main" id="{00000000-0008-0000-0F00-0000B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47625</xdr:rowOff>
        </xdr:from>
        <xdr:to>
          <xdr:col>28</xdr:col>
          <xdr:colOff>28575</xdr:colOff>
          <xdr:row>54</xdr:row>
          <xdr:rowOff>57150</xdr:rowOff>
        </xdr:to>
        <xdr:sp macro="" textlink="">
          <xdr:nvSpPr>
            <xdr:cNvPr id="60598" name="TextBox3" hidden="1">
              <a:extLst>
                <a:ext uri="{63B3BB69-23CF-44E3-9099-C40C66FF867C}">
                  <a14:compatExt spid="_x0000_s60598"/>
                </a:ext>
                <a:ext uri="{FF2B5EF4-FFF2-40B4-BE49-F238E27FC236}">
                  <a16:creationId xmlns:a16="http://schemas.microsoft.com/office/drawing/2014/main" id="{00000000-0008-0000-0F00-0000B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19050</xdr:colOff>
      <xdr:row>0</xdr:row>
      <xdr:rowOff>91441</xdr:rowOff>
    </xdr:from>
    <xdr:to>
      <xdr:col>2</xdr:col>
      <xdr:colOff>257175</xdr:colOff>
      <xdr:row>1</xdr:row>
      <xdr:rowOff>230506</xdr:rowOff>
    </xdr:to>
    <xdr:sp macro="[0]!goto_releasedaccessories" textlink="">
      <xdr:nvSpPr>
        <xdr:cNvPr id="50" name="Isosceles Triangle 49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SpPr/>
      </xdr:nvSpPr>
      <xdr:spPr>
        <a:xfrm rot="16200000">
          <a:off x="235267" y="65724"/>
          <a:ext cx="329565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344805</xdr:colOff>
      <xdr:row>0</xdr:row>
      <xdr:rowOff>85725</xdr:rowOff>
    </xdr:from>
    <xdr:to>
      <xdr:col>3</xdr:col>
      <xdr:colOff>623528</xdr:colOff>
      <xdr:row>1</xdr:row>
      <xdr:rowOff>233553</xdr:rowOff>
    </xdr:to>
    <xdr:sp macro="[0]!goto_main" textlink="">
      <xdr:nvSpPr>
        <xdr:cNvPr id="51" name="Rectangle 50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SpPr/>
      </xdr:nvSpPr>
      <xdr:spPr>
        <a:xfrm>
          <a:off x="678180" y="85725"/>
          <a:ext cx="1097873" cy="338328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4</xdr:col>
      <xdr:colOff>39802</xdr:colOff>
      <xdr:row>0</xdr:row>
      <xdr:rowOff>94191</xdr:rowOff>
    </xdr:from>
    <xdr:to>
      <xdr:col>5</xdr:col>
      <xdr:colOff>325552</xdr:colOff>
      <xdr:row>1</xdr:row>
      <xdr:rowOff>233256</xdr:rowOff>
    </xdr:to>
    <xdr:sp macro="[0]!goto_releasedmiscfits" textlink="">
      <xdr:nvSpPr>
        <xdr:cNvPr id="52" name="Isosceles Triangle 51">
          <a:extLst>
            <a:ext uri="{FF2B5EF4-FFF2-40B4-BE49-F238E27FC236}">
              <a16:creationId xmlns:a16="http://schemas.microsoft.com/office/drawing/2014/main" id="{00000000-0008-0000-0F00-000034000000}"/>
            </a:ext>
          </a:extLst>
        </xdr:cNvPr>
        <xdr:cNvSpPr/>
      </xdr:nvSpPr>
      <xdr:spPr>
        <a:xfrm rot="5400000">
          <a:off x="1884794" y="68474"/>
          <a:ext cx="329565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85725</xdr:colOff>
          <xdr:row>7</xdr:row>
          <xdr:rowOff>0</xdr:rowOff>
        </xdr:from>
        <xdr:to>
          <xdr:col>27</xdr:col>
          <xdr:colOff>533400</xdr:colOff>
          <xdr:row>8</xdr:row>
          <xdr:rowOff>38100</xdr:rowOff>
        </xdr:to>
        <xdr:sp macro="" textlink="">
          <xdr:nvSpPr>
            <xdr:cNvPr id="60610" name="Drop Down 194" hidden="1">
              <a:extLst>
                <a:ext uri="{63B3BB69-23CF-44E3-9099-C40C66FF867C}">
                  <a14:compatExt spid="_x0000_s60610"/>
                </a:ext>
                <a:ext uri="{FF2B5EF4-FFF2-40B4-BE49-F238E27FC236}">
                  <a16:creationId xmlns:a16="http://schemas.microsoft.com/office/drawing/2014/main" id="{00000000-0008-0000-0F00-0000C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16</xdr:col>
          <xdr:colOff>0</xdr:colOff>
          <xdr:row>20</xdr:row>
          <xdr:rowOff>0</xdr:rowOff>
        </xdr:to>
        <xdr:sp macro="" textlink="">
          <xdr:nvSpPr>
            <xdr:cNvPr id="236545" name="Drop Down 1" hidden="1">
              <a:extLst>
                <a:ext uri="{63B3BB69-23CF-44E3-9099-C40C66FF867C}">
                  <a14:compatExt spid="_x0000_s236545"/>
                </a:ext>
                <a:ext uri="{FF2B5EF4-FFF2-40B4-BE49-F238E27FC236}">
                  <a16:creationId xmlns:a16="http://schemas.microsoft.com/office/drawing/2014/main" id="{00000000-0008-0000-1000-000001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16</xdr:col>
          <xdr:colOff>0</xdr:colOff>
          <xdr:row>32</xdr:row>
          <xdr:rowOff>0</xdr:rowOff>
        </xdr:to>
        <xdr:sp macro="" textlink="">
          <xdr:nvSpPr>
            <xdr:cNvPr id="236546" name="Drop Down 2" hidden="1">
              <a:extLst>
                <a:ext uri="{63B3BB69-23CF-44E3-9099-C40C66FF867C}">
                  <a14:compatExt spid="_x0000_s236546"/>
                </a:ext>
                <a:ext uri="{FF2B5EF4-FFF2-40B4-BE49-F238E27FC236}">
                  <a16:creationId xmlns:a16="http://schemas.microsoft.com/office/drawing/2014/main" id="{00000000-0008-0000-1000-000002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19</xdr:row>
          <xdr:rowOff>0</xdr:rowOff>
        </xdr:from>
        <xdr:to>
          <xdr:col>21</xdr:col>
          <xdr:colOff>0</xdr:colOff>
          <xdr:row>20</xdr:row>
          <xdr:rowOff>0</xdr:rowOff>
        </xdr:to>
        <xdr:sp macro="" textlink="">
          <xdr:nvSpPr>
            <xdr:cNvPr id="236547" name="Drop Down 3" hidden="1">
              <a:extLst>
                <a:ext uri="{63B3BB69-23CF-44E3-9099-C40C66FF867C}">
                  <a14:compatExt spid="_x0000_s236547"/>
                </a:ext>
                <a:ext uri="{FF2B5EF4-FFF2-40B4-BE49-F238E27FC236}">
                  <a16:creationId xmlns:a16="http://schemas.microsoft.com/office/drawing/2014/main" id="{00000000-0008-0000-1000-000003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31</xdr:row>
          <xdr:rowOff>0</xdr:rowOff>
        </xdr:from>
        <xdr:to>
          <xdr:col>21</xdr:col>
          <xdr:colOff>0</xdr:colOff>
          <xdr:row>32</xdr:row>
          <xdr:rowOff>0</xdr:rowOff>
        </xdr:to>
        <xdr:sp macro="" textlink="">
          <xdr:nvSpPr>
            <xdr:cNvPr id="236548" name="Drop Down 4" hidden="1">
              <a:extLst>
                <a:ext uri="{63B3BB69-23CF-44E3-9099-C40C66FF867C}">
                  <a14:compatExt spid="_x0000_s236548"/>
                </a:ext>
                <a:ext uri="{FF2B5EF4-FFF2-40B4-BE49-F238E27FC236}">
                  <a16:creationId xmlns:a16="http://schemas.microsoft.com/office/drawing/2014/main" id="{00000000-0008-0000-1000-000004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</xdr:row>
          <xdr:rowOff>66675</xdr:rowOff>
        </xdr:from>
        <xdr:to>
          <xdr:col>22</xdr:col>
          <xdr:colOff>57150</xdr:colOff>
          <xdr:row>13</xdr:row>
          <xdr:rowOff>228600</xdr:rowOff>
        </xdr:to>
        <xdr:sp macro="" textlink="">
          <xdr:nvSpPr>
            <xdr:cNvPr id="236549" name="TextBox2" hidden="1">
              <a:extLst>
                <a:ext uri="{63B3BB69-23CF-44E3-9099-C40C66FF867C}">
                  <a14:compatExt spid="_x0000_s236549"/>
                </a:ext>
                <a:ext uri="{FF2B5EF4-FFF2-40B4-BE49-F238E27FC236}">
                  <a16:creationId xmlns:a16="http://schemas.microsoft.com/office/drawing/2014/main" id="{00000000-0008-0000-1000-000005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5</xdr:col>
      <xdr:colOff>285750</xdr:colOff>
      <xdr:row>0</xdr:row>
      <xdr:rowOff>76200</xdr:rowOff>
    </xdr:from>
    <xdr:to>
      <xdr:col>8</xdr:col>
      <xdr:colOff>272218</xdr:colOff>
      <xdr:row>2</xdr:row>
      <xdr:rowOff>148209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2419350" y="76200"/>
          <a:ext cx="1548568" cy="5577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236550" name="Group Box 6" hidden="1">
              <a:extLst>
                <a:ext uri="{63B3BB69-23CF-44E3-9099-C40C66FF867C}">
                  <a14:compatExt spid="_x0000_s236550"/>
                </a:ext>
                <a:ext uri="{FF2B5EF4-FFF2-40B4-BE49-F238E27FC236}">
                  <a16:creationId xmlns:a16="http://schemas.microsoft.com/office/drawing/2014/main" id="{00000000-0008-0000-1000-000006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9</xdr:row>
          <xdr:rowOff>19050</xdr:rowOff>
        </xdr:from>
        <xdr:to>
          <xdr:col>4</xdr:col>
          <xdr:colOff>219075</xdr:colOff>
          <xdr:row>9</xdr:row>
          <xdr:rowOff>228600</xdr:rowOff>
        </xdr:to>
        <xdr:sp macro="" textlink="">
          <xdr:nvSpPr>
            <xdr:cNvPr id="236551" name="Option Button 7" hidden="1">
              <a:extLst>
                <a:ext uri="{63B3BB69-23CF-44E3-9099-C40C66FF867C}">
                  <a14:compatExt spid="_x0000_s236551"/>
                </a:ext>
                <a:ext uri="{FF2B5EF4-FFF2-40B4-BE49-F238E27FC236}">
                  <a16:creationId xmlns:a16="http://schemas.microsoft.com/office/drawing/2014/main" id="{00000000-0008-0000-1000-000007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9</xdr:row>
          <xdr:rowOff>19050</xdr:rowOff>
        </xdr:from>
        <xdr:to>
          <xdr:col>5</xdr:col>
          <xdr:colOff>361950</xdr:colOff>
          <xdr:row>9</xdr:row>
          <xdr:rowOff>228600</xdr:rowOff>
        </xdr:to>
        <xdr:sp macro="" textlink="">
          <xdr:nvSpPr>
            <xdr:cNvPr id="236552" name="Option Button 8" hidden="1">
              <a:extLst>
                <a:ext uri="{63B3BB69-23CF-44E3-9099-C40C66FF867C}">
                  <a14:compatExt spid="_x0000_s236552"/>
                </a:ext>
                <a:ext uri="{FF2B5EF4-FFF2-40B4-BE49-F238E27FC236}">
                  <a16:creationId xmlns:a16="http://schemas.microsoft.com/office/drawing/2014/main" id="{00000000-0008-0000-1000-000008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114300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36580" name="Group Box 36" hidden="1">
              <a:extLst>
                <a:ext uri="{63B3BB69-23CF-44E3-9099-C40C66FF867C}">
                  <a14:compatExt spid="_x0000_s236580"/>
                </a:ext>
                <a:ext uri="{FF2B5EF4-FFF2-40B4-BE49-F238E27FC236}">
                  <a16:creationId xmlns:a16="http://schemas.microsoft.com/office/drawing/2014/main" id="{00000000-0008-0000-1000-000024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23</xdr:row>
          <xdr:rowOff>19050</xdr:rowOff>
        </xdr:from>
        <xdr:to>
          <xdr:col>16</xdr:col>
          <xdr:colOff>142875</xdr:colOff>
          <xdr:row>23</xdr:row>
          <xdr:rowOff>228600</xdr:rowOff>
        </xdr:to>
        <xdr:sp macro="" textlink="">
          <xdr:nvSpPr>
            <xdr:cNvPr id="236581" name="Option Button 37" hidden="1">
              <a:extLst>
                <a:ext uri="{63B3BB69-23CF-44E3-9099-C40C66FF867C}">
                  <a14:compatExt spid="_x0000_s236581"/>
                </a:ext>
                <a:ext uri="{FF2B5EF4-FFF2-40B4-BE49-F238E27FC236}">
                  <a16:creationId xmlns:a16="http://schemas.microsoft.com/office/drawing/2014/main" id="{00000000-0008-0000-1000-000025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133350</xdr:colOff>
          <xdr:row>23</xdr:row>
          <xdr:rowOff>19050</xdr:rowOff>
        </xdr:from>
        <xdr:to>
          <xdr:col>16</xdr:col>
          <xdr:colOff>571500</xdr:colOff>
          <xdr:row>23</xdr:row>
          <xdr:rowOff>228600</xdr:rowOff>
        </xdr:to>
        <xdr:sp macro="" textlink="">
          <xdr:nvSpPr>
            <xdr:cNvPr id="236582" name="Option Button 38" hidden="1">
              <a:extLst>
                <a:ext uri="{63B3BB69-23CF-44E3-9099-C40C66FF867C}">
                  <a14:compatExt spid="_x0000_s236582"/>
                </a:ext>
                <a:ext uri="{FF2B5EF4-FFF2-40B4-BE49-F238E27FC236}">
                  <a16:creationId xmlns:a16="http://schemas.microsoft.com/office/drawing/2014/main" id="{00000000-0008-0000-1000-000026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23</xdr:row>
          <xdr:rowOff>0</xdr:rowOff>
        </xdr:from>
        <xdr:to>
          <xdr:col>22</xdr:col>
          <xdr:colOff>0</xdr:colOff>
          <xdr:row>24</xdr:row>
          <xdr:rowOff>0</xdr:rowOff>
        </xdr:to>
        <xdr:sp macro="" textlink="">
          <xdr:nvSpPr>
            <xdr:cNvPr id="236583" name="Group Box 39" hidden="1">
              <a:extLst>
                <a:ext uri="{63B3BB69-23CF-44E3-9099-C40C66FF867C}">
                  <a14:compatExt spid="_x0000_s236583"/>
                </a:ext>
                <a:ext uri="{FF2B5EF4-FFF2-40B4-BE49-F238E27FC236}">
                  <a16:creationId xmlns:a16="http://schemas.microsoft.com/office/drawing/2014/main" id="{00000000-0008-0000-1000-000027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171450</xdr:colOff>
          <xdr:row>23</xdr:row>
          <xdr:rowOff>19050</xdr:rowOff>
        </xdr:from>
        <xdr:to>
          <xdr:col>21</xdr:col>
          <xdr:colOff>142875</xdr:colOff>
          <xdr:row>23</xdr:row>
          <xdr:rowOff>228600</xdr:rowOff>
        </xdr:to>
        <xdr:sp macro="" textlink="">
          <xdr:nvSpPr>
            <xdr:cNvPr id="236584" name="Option Button 40" hidden="1">
              <a:extLst>
                <a:ext uri="{63B3BB69-23CF-44E3-9099-C40C66FF867C}">
                  <a14:compatExt spid="_x0000_s236584"/>
                </a:ext>
                <a:ext uri="{FF2B5EF4-FFF2-40B4-BE49-F238E27FC236}">
                  <a16:creationId xmlns:a16="http://schemas.microsoft.com/office/drawing/2014/main" id="{00000000-0008-0000-1000-000028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133350</xdr:colOff>
          <xdr:row>23</xdr:row>
          <xdr:rowOff>19050</xdr:rowOff>
        </xdr:from>
        <xdr:to>
          <xdr:col>21</xdr:col>
          <xdr:colOff>571500</xdr:colOff>
          <xdr:row>23</xdr:row>
          <xdr:rowOff>228600</xdr:rowOff>
        </xdr:to>
        <xdr:sp macro="" textlink="">
          <xdr:nvSpPr>
            <xdr:cNvPr id="236585" name="Option Button 41" hidden="1">
              <a:extLst>
                <a:ext uri="{63B3BB69-23CF-44E3-9099-C40C66FF867C}">
                  <a14:compatExt spid="_x0000_s236585"/>
                </a:ext>
                <a:ext uri="{FF2B5EF4-FFF2-40B4-BE49-F238E27FC236}">
                  <a16:creationId xmlns:a16="http://schemas.microsoft.com/office/drawing/2014/main" id="{00000000-0008-0000-1000-000029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114300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236586" name="Group Box 42" hidden="1">
              <a:extLst>
                <a:ext uri="{63B3BB69-23CF-44E3-9099-C40C66FF867C}">
                  <a14:compatExt spid="_x0000_s236586"/>
                </a:ext>
                <a:ext uri="{FF2B5EF4-FFF2-40B4-BE49-F238E27FC236}">
                  <a16:creationId xmlns:a16="http://schemas.microsoft.com/office/drawing/2014/main" id="{00000000-0008-0000-1000-00002A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35</xdr:row>
          <xdr:rowOff>19050</xdr:rowOff>
        </xdr:from>
        <xdr:to>
          <xdr:col>16</xdr:col>
          <xdr:colOff>142875</xdr:colOff>
          <xdr:row>35</xdr:row>
          <xdr:rowOff>228600</xdr:rowOff>
        </xdr:to>
        <xdr:sp macro="" textlink="">
          <xdr:nvSpPr>
            <xdr:cNvPr id="236587" name="Option Button 43" hidden="1">
              <a:extLst>
                <a:ext uri="{63B3BB69-23CF-44E3-9099-C40C66FF867C}">
                  <a14:compatExt spid="_x0000_s236587"/>
                </a:ext>
                <a:ext uri="{FF2B5EF4-FFF2-40B4-BE49-F238E27FC236}">
                  <a16:creationId xmlns:a16="http://schemas.microsoft.com/office/drawing/2014/main" id="{00000000-0008-0000-1000-00002B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133350</xdr:colOff>
          <xdr:row>35</xdr:row>
          <xdr:rowOff>19050</xdr:rowOff>
        </xdr:from>
        <xdr:to>
          <xdr:col>16</xdr:col>
          <xdr:colOff>571500</xdr:colOff>
          <xdr:row>35</xdr:row>
          <xdr:rowOff>228600</xdr:rowOff>
        </xdr:to>
        <xdr:sp macro="" textlink="">
          <xdr:nvSpPr>
            <xdr:cNvPr id="236588" name="Option Button 44" hidden="1">
              <a:extLst>
                <a:ext uri="{63B3BB69-23CF-44E3-9099-C40C66FF867C}">
                  <a14:compatExt spid="_x0000_s236588"/>
                </a:ext>
                <a:ext uri="{FF2B5EF4-FFF2-40B4-BE49-F238E27FC236}">
                  <a16:creationId xmlns:a16="http://schemas.microsoft.com/office/drawing/2014/main" id="{00000000-0008-0000-1000-00002C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35</xdr:row>
          <xdr:rowOff>0</xdr:rowOff>
        </xdr:from>
        <xdr:to>
          <xdr:col>22</xdr:col>
          <xdr:colOff>0</xdr:colOff>
          <xdr:row>36</xdr:row>
          <xdr:rowOff>0</xdr:rowOff>
        </xdr:to>
        <xdr:sp macro="" textlink="">
          <xdr:nvSpPr>
            <xdr:cNvPr id="236589" name="Group Box 45" hidden="1">
              <a:extLst>
                <a:ext uri="{63B3BB69-23CF-44E3-9099-C40C66FF867C}">
                  <a14:compatExt spid="_x0000_s236589"/>
                </a:ext>
                <a:ext uri="{FF2B5EF4-FFF2-40B4-BE49-F238E27FC236}">
                  <a16:creationId xmlns:a16="http://schemas.microsoft.com/office/drawing/2014/main" id="{00000000-0008-0000-1000-00002D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171450</xdr:colOff>
          <xdr:row>35</xdr:row>
          <xdr:rowOff>19050</xdr:rowOff>
        </xdr:from>
        <xdr:to>
          <xdr:col>21</xdr:col>
          <xdr:colOff>142875</xdr:colOff>
          <xdr:row>35</xdr:row>
          <xdr:rowOff>228600</xdr:rowOff>
        </xdr:to>
        <xdr:sp macro="" textlink="">
          <xdr:nvSpPr>
            <xdr:cNvPr id="236590" name="Option Button 46" hidden="1">
              <a:extLst>
                <a:ext uri="{63B3BB69-23CF-44E3-9099-C40C66FF867C}">
                  <a14:compatExt spid="_x0000_s236590"/>
                </a:ext>
                <a:ext uri="{FF2B5EF4-FFF2-40B4-BE49-F238E27FC236}">
                  <a16:creationId xmlns:a16="http://schemas.microsoft.com/office/drawing/2014/main" id="{00000000-0008-0000-1000-00002E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133350</xdr:colOff>
          <xdr:row>35</xdr:row>
          <xdr:rowOff>19050</xdr:rowOff>
        </xdr:from>
        <xdr:to>
          <xdr:col>21</xdr:col>
          <xdr:colOff>571500</xdr:colOff>
          <xdr:row>35</xdr:row>
          <xdr:rowOff>228600</xdr:rowOff>
        </xdr:to>
        <xdr:sp macro="" textlink="">
          <xdr:nvSpPr>
            <xdr:cNvPr id="236591" name="Option Button 47" hidden="1">
              <a:extLst>
                <a:ext uri="{63B3BB69-23CF-44E3-9099-C40C66FF867C}">
                  <a14:compatExt spid="_x0000_s236591"/>
                </a:ext>
                <a:ext uri="{FF2B5EF4-FFF2-40B4-BE49-F238E27FC236}">
                  <a16:creationId xmlns:a16="http://schemas.microsoft.com/office/drawing/2014/main" id="{00000000-0008-0000-1000-00002F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857250</xdr:colOff>
          <xdr:row>39</xdr:row>
          <xdr:rowOff>9525</xdr:rowOff>
        </xdr:from>
        <xdr:to>
          <xdr:col>22</xdr:col>
          <xdr:colOff>66675</xdr:colOff>
          <xdr:row>46</xdr:row>
          <xdr:rowOff>133350</xdr:rowOff>
        </xdr:to>
        <xdr:sp macro="" textlink="">
          <xdr:nvSpPr>
            <xdr:cNvPr id="236592" name="TextBox1" hidden="1">
              <a:extLst>
                <a:ext uri="{63B3BB69-23CF-44E3-9099-C40C66FF867C}">
                  <a14:compatExt spid="_x0000_s236592"/>
                </a:ext>
                <a:ext uri="{FF2B5EF4-FFF2-40B4-BE49-F238E27FC236}">
                  <a16:creationId xmlns:a16="http://schemas.microsoft.com/office/drawing/2014/main" id="{00000000-0008-0000-1000-000030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</xdr:col>
      <xdr:colOff>104774</xdr:colOff>
      <xdr:row>0</xdr:row>
      <xdr:rowOff>92246</xdr:rowOff>
    </xdr:from>
    <xdr:to>
      <xdr:col>2</xdr:col>
      <xdr:colOff>352424</xdr:colOff>
      <xdr:row>1</xdr:row>
      <xdr:rowOff>277702</xdr:rowOff>
    </xdr:to>
    <xdr:sp macro="[0]!goto_releasedaftersizes" textlink="">
      <xdr:nvSpPr>
        <xdr:cNvPr id="51" name="Isosceles Triangle 50">
          <a:extLst>
            <a:ext uri="{FF2B5EF4-FFF2-40B4-BE49-F238E27FC236}">
              <a16:creationId xmlns:a16="http://schemas.microsoft.com/office/drawing/2014/main" id="{00000000-0008-0000-1000-000033000000}"/>
            </a:ext>
          </a:extLst>
        </xdr:cNvPr>
        <xdr:cNvSpPr/>
      </xdr:nvSpPr>
      <xdr:spPr>
        <a:xfrm rot="16200000">
          <a:off x="221596" y="89724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440055</xdr:colOff>
      <xdr:row>0</xdr:row>
      <xdr:rowOff>85725</xdr:rowOff>
    </xdr:from>
    <xdr:to>
      <xdr:col>4</xdr:col>
      <xdr:colOff>261578</xdr:colOff>
      <xdr:row>1</xdr:row>
      <xdr:rowOff>281178</xdr:rowOff>
    </xdr:to>
    <xdr:sp macro="[0]!goto_main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1000-000034000000}"/>
            </a:ext>
          </a:extLst>
        </xdr:cNvPr>
        <xdr:cNvSpPr/>
      </xdr:nvSpPr>
      <xdr:spPr>
        <a:xfrm>
          <a:off x="687705" y="85725"/>
          <a:ext cx="1097873" cy="385953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4</xdr:col>
      <xdr:colOff>344601</xdr:colOff>
      <xdr:row>0</xdr:row>
      <xdr:rowOff>95384</xdr:rowOff>
    </xdr:from>
    <xdr:to>
      <xdr:col>5</xdr:col>
      <xdr:colOff>116001</xdr:colOff>
      <xdr:row>1</xdr:row>
      <xdr:rowOff>280840</xdr:rowOff>
    </xdr:to>
    <xdr:sp macro="[0]!goto_prechecklist" textlink="">
      <xdr:nvSpPr>
        <xdr:cNvPr id="53" name="Isosceles Triangle 52">
          <a:extLst>
            <a:ext uri="{FF2B5EF4-FFF2-40B4-BE49-F238E27FC236}">
              <a16:creationId xmlns:a16="http://schemas.microsoft.com/office/drawing/2014/main" id="{00000000-0008-0000-1000-000035000000}"/>
            </a:ext>
          </a:extLst>
        </xdr:cNvPr>
        <xdr:cNvSpPr/>
      </xdr:nvSpPr>
      <xdr:spPr>
        <a:xfrm rot="5400000">
          <a:off x="1871123" y="92862"/>
          <a:ext cx="375956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236593" name="Group Box 49" hidden="1">
              <a:extLst>
                <a:ext uri="{63B3BB69-23CF-44E3-9099-C40C66FF867C}">
                  <a14:compatExt spid="_x0000_s236593"/>
                </a:ext>
                <a:ext uri="{FF2B5EF4-FFF2-40B4-BE49-F238E27FC236}">
                  <a16:creationId xmlns:a16="http://schemas.microsoft.com/office/drawing/2014/main" id="{00000000-0008-0000-1000-000031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9</xdr:row>
          <xdr:rowOff>19050</xdr:rowOff>
        </xdr:from>
        <xdr:to>
          <xdr:col>9</xdr:col>
          <xdr:colOff>219075</xdr:colOff>
          <xdr:row>9</xdr:row>
          <xdr:rowOff>228600</xdr:rowOff>
        </xdr:to>
        <xdr:sp macro="" textlink="">
          <xdr:nvSpPr>
            <xdr:cNvPr id="236594" name="Option Button 50" hidden="1">
              <a:extLst>
                <a:ext uri="{63B3BB69-23CF-44E3-9099-C40C66FF867C}">
                  <a14:compatExt spid="_x0000_s236594"/>
                </a:ext>
                <a:ext uri="{FF2B5EF4-FFF2-40B4-BE49-F238E27FC236}">
                  <a16:creationId xmlns:a16="http://schemas.microsoft.com/office/drawing/2014/main" id="{00000000-0008-0000-1000-000032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9</xdr:row>
          <xdr:rowOff>19050</xdr:rowOff>
        </xdr:from>
        <xdr:to>
          <xdr:col>10</xdr:col>
          <xdr:colOff>361950</xdr:colOff>
          <xdr:row>9</xdr:row>
          <xdr:rowOff>228600</xdr:rowOff>
        </xdr:to>
        <xdr:sp macro="" textlink="">
          <xdr:nvSpPr>
            <xdr:cNvPr id="236595" name="Option Button 51" hidden="1">
              <a:extLst>
                <a:ext uri="{63B3BB69-23CF-44E3-9099-C40C66FF867C}">
                  <a14:compatExt spid="_x0000_s236595"/>
                </a:ext>
                <a:ext uri="{FF2B5EF4-FFF2-40B4-BE49-F238E27FC236}">
                  <a16:creationId xmlns:a16="http://schemas.microsoft.com/office/drawing/2014/main" id="{00000000-0008-0000-1000-000033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236596" name="Group Box 52" hidden="1">
              <a:extLst>
                <a:ext uri="{63B3BB69-23CF-44E3-9099-C40C66FF867C}">
                  <a14:compatExt spid="_x0000_s236596"/>
                </a:ext>
                <a:ext uri="{FF2B5EF4-FFF2-40B4-BE49-F238E27FC236}">
                  <a16:creationId xmlns:a16="http://schemas.microsoft.com/office/drawing/2014/main" id="{00000000-0008-0000-1000-000034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17</xdr:row>
          <xdr:rowOff>19050</xdr:rowOff>
        </xdr:from>
        <xdr:to>
          <xdr:col>4</xdr:col>
          <xdr:colOff>219075</xdr:colOff>
          <xdr:row>17</xdr:row>
          <xdr:rowOff>228600</xdr:rowOff>
        </xdr:to>
        <xdr:sp macro="" textlink="">
          <xdr:nvSpPr>
            <xdr:cNvPr id="236597" name="Option Button 53" hidden="1">
              <a:extLst>
                <a:ext uri="{63B3BB69-23CF-44E3-9099-C40C66FF867C}">
                  <a14:compatExt spid="_x0000_s236597"/>
                </a:ext>
                <a:ext uri="{FF2B5EF4-FFF2-40B4-BE49-F238E27FC236}">
                  <a16:creationId xmlns:a16="http://schemas.microsoft.com/office/drawing/2014/main" id="{00000000-0008-0000-1000-000035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17</xdr:row>
          <xdr:rowOff>19050</xdr:rowOff>
        </xdr:from>
        <xdr:to>
          <xdr:col>5</xdr:col>
          <xdr:colOff>361950</xdr:colOff>
          <xdr:row>17</xdr:row>
          <xdr:rowOff>228600</xdr:rowOff>
        </xdr:to>
        <xdr:sp macro="" textlink="">
          <xdr:nvSpPr>
            <xdr:cNvPr id="236598" name="Option Button 54" hidden="1">
              <a:extLst>
                <a:ext uri="{63B3BB69-23CF-44E3-9099-C40C66FF867C}">
                  <a14:compatExt spid="_x0000_s236598"/>
                </a:ext>
                <a:ext uri="{FF2B5EF4-FFF2-40B4-BE49-F238E27FC236}">
                  <a16:creationId xmlns:a16="http://schemas.microsoft.com/office/drawing/2014/main" id="{00000000-0008-0000-1000-000036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236599" name="Group Box 55" hidden="1">
              <a:extLst>
                <a:ext uri="{63B3BB69-23CF-44E3-9099-C40C66FF867C}">
                  <a14:compatExt spid="_x0000_s236599"/>
                </a:ext>
                <a:ext uri="{FF2B5EF4-FFF2-40B4-BE49-F238E27FC236}">
                  <a16:creationId xmlns:a16="http://schemas.microsoft.com/office/drawing/2014/main" id="{00000000-0008-0000-1000-000037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17</xdr:row>
          <xdr:rowOff>19050</xdr:rowOff>
        </xdr:from>
        <xdr:to>
          <xdr:col>9</xdr:col>
          <xdr:colOff>219075</xdr:colOff>
          <xdr:row>17</xdr:row>
          <xdr:rowOff>228600</xdr:rowOff>
        </xdr:to>
        <xdr:sp macro="" textlink="">
          <xdr:nvSpPr>
            <xdr:cNvPr id="236600" name="Option Button 56" hidden="1">
              <a:extLst>
                <a:ext uri="{63B3BB69-23CF-44E3-9099-C40C66FF867C}">
                  <a14:compatExt spid="_x0000_s236600"/>
                </a:ext>
                <a:ext uri="{FF2B5EF4-FFF2-40B4-BE49-F238E27FC236}">
                  <a16:creationId xmlns:a16="http://schemas.microsoft.com/office/drawing/2014/main" id="{00000000-0008-0000-1000-000038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17</xdr:row>
          <xdr:rowOff>19050</xdr:rowOff>
        </xdr:from>
        <xdr:to>
          <xdr:col>10</xdr:col>
          <xdr:colOff>361950</xdr:colOff>
          <xdr:row>17</xdr:row>
          <xdr:rowOff>228600</xdr:rowOff>
        </xdr:to>
        <xdr:sp macro="" textlink="">
          <xdr:nvSpPr>
            <xdr:cNvPr id="236601" name="Option Button 57" hidden="1">
              <a:extLst>
                <a:ext uri="{63B3BB69-23CF-44E3-9099-C40C66FF867C}">
                  <a14:compatExt spid="_x0000_s236601"/>
                </a:ext>
                <a:ext uri="{FF2B5EF4-FFF2-40B4-BE49-F238E27FC236}">
                  <a16:creationId xmlns:a16="http://schemas.microsoft.com/office/drawing/2014/main" id="{00000000-0008-0000-1000-000039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236611" name="Group Box 67" hidden="1">
              <a:extLst>
                <a:ext uri="{63B3BB69-23CF-44E3-9099-C40C66FF867C}">
                  <a14:compatExt spid="_x0000_s236611"/>
                </a:ext>
                <a:ext uri="{FF2B5EF4-FFF2-40B4-BE49-F238E27FC236}">
                  <a16:creationId xmlns:a16="http://schemas.microsoft.com/office/drawing/2014/main" id="{00000000-0008-0000-1000-000043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25</xdr:row>
          <xdr:rowOff>19050</xdr:rowOff>
        </xdr:from>
        <xdr:to>
          <xdr:col>4</xdr:col>
          <xdr:colOff>219075</xdr:colOff>
          <xdr:row>25</xdr:row>
          <xdr:rowOff>228600</xdr:rowOff>
        </xdr:to>
        <xdr:sp macro="" textlink="">
          <xdr:nvSpPr>
            <xdr:cNvPr id="236612" name="Option Button 68" hidden="1">
              <a:extLst>
                <a:ext uri="{63B3BB69-23CF-44E3-9099-C40C66FF867C}">
                  <a14:compatExt spid="_x0000_s236612"/>
                </a:ext>
                <a:ext uri="{FF2B5EF4-FFF2-40B4-BE49-F238E27FC236}">
                  <a16:creationId xmlns:a16="http://schemas.microsoft.com/office/drawing/2014/main" id="{00000000-0008-0000-1000-000044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25</xdr:row>
          <xdr:rowOff>19050</xdr:rowOff>
        </xdr:from>
        <xdr:to>
          <xdr:col>5</xdr:col>
          <xdr:colOff>361950</xdr:colOff>
          <xdr:row>25</xdr:row>
          <xdr:rowOff>228600</xdr:rowOff>
        </xdr:to>
        <xdr:sp macro="" textlink="">
          <xdr:nvSpPr>
            <xdr:cNvPr id="236613" name="Option Button 69" hidden="1">
              <a:extLst>
                <a:ext uri="{63B3BB69-23CF-44E3-9099-C40C66FF867C}">
                  <a14:compatExt spid="_x0000_s236613"/>
                </a:ext>
                <a:ext uri="{FF2B5EF4-FFF2-40B4-BE49-F238E27FC236}">
                  <a16:creationId xmlns:a16="http://schemas.microsoft.com/office/drawing/2014/main" id="{00000000-0008-0000-1000-000045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236614" name="Group Box 70" hidden="1">
              <a:extLst>
                <a:ext uri="{63B3BB69-23CF-44E3-9099-C40C66FF867C}">
                  <a14:compatExt spid="_x0000_s236614"/>
                </a:ext>
                <a:ext uri="{FF2B5EF4-FFF2-40B4-BE49-F238E27FC236}">
                  <a16:creationId xmlns:a16="http://schemas.microsoft.com/office/drawing/2014/main" id="{00000000-0008-0000-1000-000046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25</xdr:row>
          <xdr:rowOff>19050</xdr:rowOff>
        </xdr:from>
        <xdr:to>
          <xdr:col>9</xdr:col>
          <xdr:colOff>219075</xdr:colOff>
          <xdr:row>25</xdr:row>
          <xdr:rowOff>228600</xdr:rowOff>
        </xdr:to>
        <xdr:sp macro="" textlink="">
          <xdr:nvSpPr>
            <xdr:cNvPr id="236615" name="Option Button 71" hidden="1">
              <a:extLst>
                <a:ext uri="{63B3BB69-23CF-44E3-9099-C40C66FF867C}">
                  <a14:compatExt spid="_x0000_s236615"/>
                </a:ext>
                <a:ext uri="{FF2B5EF4-FFF2-40B4-BE49-F238E27FC236}">
                  <a16:creationId xmlns:a16="http://schemas.microsoft.com/office/drawing/2014/main" id="{00000000-0008-0000-1000-000047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25</xdr:row>
          <xdr:rowOff>19050</xdr:rowOff>
        </xdr:from>
        <xdr:to>
          <xdr:col>10</xdr:col>
          <xdr:colOff>361950</xdr:colOff>
          <xdr:row>25</xdr:row>
          <xdr:rowOff>228600</xdr:rowOff>
        </xdr:to>
        <xdr:sp macro="" textlink="">
          <xdr:nvSpPr>
            <xdr:cNvPr id="236616" name="Option Button 72" hidden="1">
              <a:extLst>
                <a:ext uri="{63B3BB69-23CF-44E3-9099-C40C66FF867C}">
                  <a14:compatExt spid="_x0000_s236616"/>
                </a:ext>
                <a:ext uri="{FF2B5EF4-FFF2-40B4-BE49-F238E27FC236}">
                  <a16:creationId xmlns:a16="http://schemas.microsoft.com/office/drawing/2014/main" id="{00000000-0008-0000-1000-000048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236617" name="Group Box 73" hidden="1">
              <a:extLst>
                <a:ext uri="{63B3BB69-23CF-44E3-9099-C40C66FF867C}">
                  <a14:compatExt spid="_x0000_s236617"/>
                </a:ext>
                <a:ext uri="{FF2B5EF4-FFF2-40B4-BE49-F238E27FC236}">
                  <a16:creationId xmlns:a16="http://schemas.microsoft.com/office/drawing/2014/main" id="{00000000-0008-0000-1000-000049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33</xdr:row>
          <xdr:rowOff>19050</xdr:rowOff>
        </xdr:from>
        <xdr:to>
          <xdr:col>4</xdr:col>
          <xdr:colOff>219075</xdr:colOff>
          <xdr:row>33</xdr:row>
          <xdr:rowOff>228600</xdr:rowOff>
        </xdr:to>
        <xdr:sp macro="" textlink="">
          <xdr:nvSpPr>
            <xdr:cNvPr id="236618" name="Option Button 74" hidden="1">
              <a:extLst>
                <a:ext uri="{63B3BB69-23CF-44E3-9099-C40C66FF867C}">
                  <a14:compatExt spid="_x0000_s236618"/>
                </a:ext>
                <a:ext uri="{FF2B5EF4-FFF2-40B4-BE49-F238E27FC236}">
                  <a16:creationId xmlns:a16="http://schemas.microsoft.com/office/drawing/2014/main" id="{00000000-0008-0000-1000-00004A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33</xdr:row>
          <xdr:rowOff>19050</xdr:rowOff>
        </xdr:from>
        <xdr:to>
          <xdr:col>5</xdr:col>
          <xdr:colOff>361950</xdr:colOff>
          <xdr:row>33</xdr:row>
          <xdr:rowOff>228600</xdr:rowOff>
        </xdr:to>
        <xdr:sp macro="" textlink="">
          <xdr:nvSpPr>
            <xdr:cNvPr id="236619" name="Option Button 75" hidden="1">
              <a:extLst>
                <a:ext uri="{63B3BB69-23CF-44E3-9099-C40C66FF867C}">
                  <a14:compatExt spid="_x0000_s236619"/>
                </a:ext>
                <a:ext uri="{FF2B5EF4-FFF2-40B4-BE49-F238E27FC236}">
                  <a16:creationId xmlns:a16="http://schemas.microsoft.com/office/drawing/2014/main" id="{00000000-0008-0000-1000-00004B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236620" name="Group Box 76" hidden="1">
              <a:extLst>
                <a:ext uri="{63B3BB69-23CF-44E3-9099-C40C66FF867C}">
                  <a14:compatExt spid="_x0000_s236620"/>
                </a:ext>
                <a:ext uri="{FF2B5EF4-FFF2-40B4-BE49-F238E27FC236}">
                  <a16:creationId xmlns:a16="http://schemas.microsoft.com/office/drawing/2014/main" id="{00000000-0008-0000-1000-00004C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33</xdr:row>
          <xdr:rowOff>19050</xdr:rowOff>
        </xdr:from>
        <xdr:to>
          <xdr:col>9</xdr:col>
          <xdr:colOff>219075</xdr:colOff>
          <xdr:row>33</xdr:row>
          <xdr:rowOff>228600</xdr:rowOff>
        </xdr:to>
        <xdr:sp macro="" textlink="">
          <xdr:nvSpPr>
            <xdr:cNvPr id="236621" name="Option Button 77" hidden="1">
              <a:extLst>
                <a:ext uri="{63B3BB69-23CF-44E3-9099-C40C66FF867C}">
                  <a14:compatExt spid="_x0000_s236621"/>
                </a:ext>
                <a:ext uri="{FF2B5EF4-FFF2-40B4-BE49-F238E27FC236}">
                  <a16:creationId xmlns:a16="http://schemas.microsoft.com/office/drawing/2014/main" id="{00000000-0008-0000-1000-00004D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33</xdr:row>
          <xdr:rowOff>19050</xdr:rowOff>
        </xdr:from>
        <xdr:to>
          <xdr:col>10</xdr:col>
          <xdr:colOff>361950</xdr:colOff>
          <xdr:row>33</xdr:row>
          <xdr:rowOff>228600</xdr:rowOff>
        </xdr:to>
        <xdr:sp macro="" textlink="">
          <xdr:nvSpPr>
            <xdr:cNvPr id="236622" name="Option Button 78" hidden="1">
              <a:extLst>
                <a:ext uri="{63B3BB69-23CF-44E3-9099-C40C66FF867C}">
                  <a14:compatExt spid="_x0000_s236622"/>
                </a:ext>
                <a:ext uri="{FF2B5EF4-FFF2-40B4-BE49-F238E27FC236}">
                  <a16:creationId xmlns:a16="http://schemas.microsoft.com/office/drawing/2014/main" id="{00000000-0008-0000-1000-00004E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236623" name="Group Box 79" hidden="1">
              <a:extLst>
                <a:ext uri="{63B3BB69-23CF-44E3-9099-C40C66FF867C}">
                  <a14:compatExt spid="_x0000_s236623"/>
                </a:ext>
                <a:ext uri="{FF2B5EF4-FFF2-40B4-BE49-F238E27FC236}">
                  <a16:creationId xmlns:a16="http://schemas.microsoft.com/office/drawing/2014/main" id="{00000000-0008-0000-1000-00004F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41</xdr:row>
          <xdr:rowOff>19050</xdr:rowOff>
        </xdr:from>
        <xdr:to>
          <xdr:col>4</xdr:col>
          <xdr:colOff>219075</xdr:colOff>
          <xdr:row>41</xdr:row>
          <xdr:rowOff>228600</xdr:rowOff>
        </xdr:to>
        <xdr:sp macro="" textlink="">
          <xdr:nvSpPr>
            <xdr:cNvPr id="236624" name="Option Button 80" hidden="1">
              <a:extLst>
                <a:ext uri="{63B3BB69-23CF-44E3-9099-C40C66FF867C}">
                  <a14:compatExt spid="_x0000_s236624"/>
                </a:ext>
                <a:ext uri="{FF2B5EF4-FFF2-40B4-BE49-F238E27FC236}">
                  <a16:creationId xmlns:a16="http://schemas.microsoft.com/office/drawing/2014/main" id="{00000000-0008-0000-1000-000050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41</xdr:row>
          <xdr:rowOff>19050</xdr:rowOff>
        </xdr:from>
        <xdr:to>
          <xdr:col>5</xdr:col>
          <xdr:colOff>361950</xdr:colOff>
          <xdr:row>41</xdr:row>
          <xdr:rowOff>228600</xdr:rowOff>
        </xdr:to>
        <xdr:sp macro="" textlink="">
          <xdr:nvSpPr>
            <xdr:cNvPr id="236625" name="Option Button 81" hidden="1">
              <a:extLst>
                <a:ext uri="{63B3BB69-23CF-44E3-9099-C40C66FF867C}">
                  <a14:compatExt spid="_x0000_s236625"/>
                </a:ext>
                <a:ext uri="{FF2B5EF4-FFF2-40B4-BE49-F238E27FC236}">
                  <a16:creationId xmlns:a16="http://schemas.microsoft.com/office/drawing/2014/main" id="{00000000-0008-0000-1000-000051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236626" name="Group Box 82" hidden="1">
              <a:extLst>
                <a:ext uri="{63B3BB69-23CF-44E3-9099-C40C66FF867C}">
                  <a14:compatExt spid="_x0000_s236626"/>
                </a:ext>
                <a:ext uri="{FF2B5EF4-FFF2-40B4-BE49-F238E27FC236}">
                  <a16:creationId xmlns:a16="http://schemas.microsoft.com/office/drawing/2014/main" id="{00000000-0008-0000-1000-000052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41</xdr:row>
          <xdr:rowOff>19050</xdr:rowOff>
        </xdr:from>
        <xdr:to>
          <xdr:col>9</xdr:col>
          <xdr:colOff>219075</xdr:colOff>
          <xdr:row>41</xdr:row>
          <xdr:rowOff>228600</xdr:rowOff>
        </xdr:to>
        <xdr:sp macro="" textlink="">
          <xdr:nvSpPr>
            <xdr:cNvPr id="236627" name="Option Button 83" hidden="1">
              <a:extLst>
                <a:ext uri="{63B3BB69-23CF-44E3-9099-C40C66FF867C}">
                  <a14:compatExt spid="_x0000_s236627"/>
                </a:ext>
                <a:ext uri="{FF2B5EF4-FFF2-40B4-BE49-F238E27FC236}">
                  <a16:creationId xmlns:a16="http://schemas.microsoft.com/office/drawing/2014/main" id="{00000000-0008-0000-1000-000053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41</xdr:row>
          <xdr:rowOff>19050</xdr:rowOff>
        </xdr:from>
        <xdr:to>
          <xdr:col>10</xdr:col>
          <xdr:colOff>361950</xdr:colOff>
          <xdr:row>41</xdr:row>
          <xdr:rowOff>228600</xdr:rowOff>
        </xdr:to>
        <xdr:sp macro="" textlink="">
          <xdr:nvSpPr>
            <xdr:cNvPr id="236628" name="Option Button 84" hidden="1">
              <a:extLst>
                <a:ext uri="{63B3BB69-23CF-44E3-9099-C40C66FF867C}">
                  <a14:compatExt spid="_x0000_s236628"/>
                </a:ext>
                <a:ext uri="{FF2B5EF4-FFF2-40B4-BE49-F238E27FC236}">
                  <a16:creationId xmlns:a16="http://schemas.microsoft.com/office/drawing/2014/main" id="{00000000-0008-0000-1000-000054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88065" name="Group Box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11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88066" name="Group Box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11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88068" name="Group Box 4" hidden="1">
              <a:extLst>
                <a:ext uri="{63B3BB69-23CF-44E3-9099-C40C66FF867C}">
                  <a14:compatExt spid="_x0000_s88068"/>
                </a:ext>
                <a:ext uri="{FF2B5EF4-FFF2-40B4-BE49-F238E27FC236}">
                  <a16:creationId xmlns:a16="http://schemas.microsoft.com/office/drawing/2014/main" id="{00000000-0008-0000-1100-00000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9525</xdr:rowOff>
        </xdr:from>
        <xdr:to>
          <xdr:col>11</xdr:col>
          <xdr:colOff>0</xdr:colOff>
          <xdr:row>20</xdr:row>
          <xdr:rowOff>9525</xdr:rowOff>
        </xdr:to>
        <xdr:sp macro="" textlink="">
          <xdr:nvSpPr>
            <xdr:cNvPr id="88069" name="Group Box 5" hidden="1">
              <a:extLst>
                <a:ext uri="{63B3BB69-23CF-44E3-9099-C40C66FF867C}">
                  <a14:compatExt spid="_x0000_s88069"/>
                </a:ext>
                <a:ext uri="{FF2B5EF4-FFF2-40B4-BE49-F238E27FC236}">
                  <a16:creationId xmlns:a16="http://schemas.microsoft.com/office/drawing/2014/main" id="{00000000-0008-0000-1100-00000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88070" name="Group Box 6" hidden="1">
              <a:extLst>
                <a:ext uri="{63B3BB69-23CF-44E3-9099-C40C66FF867C}">
                  <a14:compatExt spid="_x0000_s88070"/>
                </a:ext>
                <a:ext uri="{FF2B5EF4-FFF2-40B4-BE49-F238E27FC236}">
                  <a16:creationId xmlns:a16="http://schemas.microsoft.com/office/drawing/2014/main" id="{00000000-0008-0000-1100-00000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88071" name="Group Box 7" hidden="1">
              <a:extLst>
                <a:ext uri="{63B3BB69-23CF-44E3-9099-C40C66FF867C}">
                  <a14:compatExt spid="_x0000_s88071"/>
                </a:ext>
                <a:ext uri="{FF2B5EF4-FFF2-40B4-BE49-F238E27FC236}">
                  <a16:creationId xmlns:a16="http://schemas.microsoft.com/office/drawing/2014/main" id="{00000000-0008-0000-1100-00000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9525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88072" name="Group Box 8" hidden="1">
              <a:extLst>
                <a:ext uri="{63B3BB69-23CF-44E3-9099-C40C66FF867C}">
                  <a14:compatExt spid="_x0000_s88072"/>
                </a:ext>
                <a:ext uri="{FF2B5EF4-FFF2-40B4-BE49-F238E27FC236}">
                  <a16:creationId xmlns:a16="http://schemas.microsoft.com/office/drawing/2014/main" id="{00000000-0008-0000-1100-00000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88073" name="Group Box 9" hidden="1">
              <a:extLst>
                <a:ext uri="{63B3BB69-23CF-44E3-9099-C40C66FF867C}">
                  <a14:compatExt spid="_x0000_s88073"/>
                </a:ext>
                <a:ext uri="{FF2B5EF4-FFF2-40B4-BE49-F238E27FC236}">
                  <a16:creationId xmlns:a16="http://schemas.microsoft.com/office/drawing/2014/main" id="{00000000-0008-0000-1100-00000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561975</xdr:colOff>
          <xdr:row>7</xdr:row>
          <xdr:rowOff>238125</xdr:rowOff>
        </xdr:to>
        <xdr:sp macro="" textlink="">
          <xdr:nvSpPr>
            <xdr:cNvPr id="88094" name="Option Button 30" hidden="1">
              <a:extLst>
                <a:ext uri="{63B3BB69-23CF-44E3-9099-C40C66FF867C}">
                  <a14:compatExt spid="_x0000_s88094"/>
                </a:ext>
                <a:ext uri="{FF2B5EF4-FFF2-40B4-BE49-F238E27FC236}">
                  <a16:creationId xmlns:a16="http://schemas.microsoft.com/office/drawing/2014/main" id="{00000000-0008-0000-1100-00001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7</xdr:row>
          <xdr:rowOff>9525</xdr:rowOff>
        </xdr:from>
        <xdr:to>
          <xdr:col>10</xdr:col>
          <xdr:colOff>552450</xdr:colOff>
          <xdr:row>7</xdr:row>
          <xdr:rowOff>238125</xdr:rowOff>
        </xdr:to>
        <xdr:sp macro="" textlink="">
          <xdr:nvSpPr>
            <xdr:cNvPr id="88095" name="Option Button 31" hidden="1">
              <a:extLst>
                <a:ext uri="{63B3BB69-23CF-44E3-9099-C40C66FF867C}">
                  <a14:compatExt spid="_x0000_s88095"/>
                </a:ext>
                <a:ext uri="{FF2B5EF4-FFF2-40B4-BE49-F238E27FC236}">
                  <a16:creationId xmlns:a16="http://schemas.microsoft.com/office/drawing/2014/main" id="{00000000-0008-0000-1100-00001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9525</xdr:rowOff>
        </xdr:from>
        <xdr:to>
          <xdr:col>9</xdr:col>
          <xdr:colOff>561975</xdr:colOff>
          <xdr:row>9</xdr:row>
          <xdr:rowOff>238125</xdr:rowOff>
        </xdr:to>
        <xdr:sp macro="" textlink="">
          <xdr:nvSpPr>
            <xdr:cNvPr id="88096" name="Option Button 32" hidden="1">
              <a:extLst>
                <a:ext uri="{63B3BB69-23CF-44E3-9099-C40C66FF867C}">
                  <a14:compatExt spid="_x0000_s88096"/>
                </a:ext>
                <a:ext uri="{FF2B5EF4-FFF2-40B4-BE49-F238E27FC236}">
                  <a16:creationId xmlns:a16="http://schemas.microsoft.com/office/drawing/2014/main" id="{00000000-0008-0000-1100-00002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9525</xdr:rowOff>
        </xdr:from>
        <xdr:to>
          <xdr:col>9</xdr:col>
          <xdr:colOff>561975</xdr:colOff>
          <xdr:row>17</xdr:row>
          <xdr:rowOff>238125</xdr:rowOff>
        </xdr:to>
        <xdr:sp macro="" textlink="">
          <xdr:nvSpPr>
            <xdr:cNvPr id="88098" name="Option Button 34" hidden="1">
              <a:extLst>
                <a:ext uri="{63B3BB69-23CF-44E3-9099-C40C66FF867C}">
                  <a14:compatExt spid="_x0000_s88098"/>
                </a:ext>
                <a:ext uri="{FF2B5EF4-FFF2-40B4-BE49-F238E27FC236}">
                  <a16:creationId xmlns:a16="http://schemas.microsoft.com/office/drawing/2014/main" id="{00000000-0008-0000-1100-00002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9525</xdr:rowOff>
        </xdr:from>
        <xdr:to>
          <xdr:col>9</xdr:col>
          <xdr:colOff>561975</xdr:colOff>
          <xdr:row>19</xdr:row>
          <xdr:rowOff>238125</xdr:rowOff>
        </xdr:to>
        <xdr:sp macro="" textlink="">
          <xdr:nvSpPr>
            <xdr:cNvPr id="88099" name="Option Button 35" hidden="1">
              <a:extLst>
                <a:ext uri="{63B3BB69-23CF-44E3-9099-C40C66FF867C}">
                  <a14:compatExt spid="_x0000_s88099"/>
                </a:ext>
                <a:ext uri="{FF2B5EF4-FFF2-40B4-BE49-F238E27FC236}">
                  <a16:creationId xmlns:a16="http://schemas.microsoft.com/office/drawing/2014/main" id="{00000000-0008-0000-1100-00002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9525</xdr:rowOff>
        </xdr:from>
        <xdr:to>
          <xdr:col>9</xdr:col>
          <xdr:colOff>561975</xdr:colOff>
          <xdr:row>21</xdr:row>
          <xdr:rowOff>238125</xdr:rowOff>
        </xdr:to>
        <xdr:sp macro="" textlink="">
          <xdr:nvSpPr>
            <xdr:cNvPr id="88100" name="Option Button 36" hidden="1">
              <a:extLst>
                <a:ext uri="{63B3BB69-23CF-44E3-9099-C40C66FF867C}">
                  <a14:compatExt spid="_x0000_s88100"/>
                </a:ext>
                <a:ext uri="{FF2B5EF4-FFF2-40B4-BE49-F238E27FC236}">
                  <a16:creationId xmlns:a16="http://schemas.microsoft.com/office/drawing/2014/main" id="{00000000-0008-0000-1100-00002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9525</xdr:rowOff>
        </xdr:from>
        <xdr:to>
          <xdr:col>9</xdr:col>
          <xdr:colOff>561975</xdr:colOff>
          <xdr:row>23</xdr:row>
          <xdr:rowOff>238125</xdr:rowOff>
        </xdr:to>
        <xdr:sp macro="" textlink="">
          <xdr:nvSpPr>
            <xdr:cNvPr id="88101" name="Option Button 37" hidden="1">
              <a:extLst>
                <a:ext uri="{63B3BB69-23CF-44E3-9099-C40C66FF867C}">
                  <a14:compatExt spid="_x0000_s88101"/>
                </a:ext>
                <a:ext uri="{FF2B5EF4-FFF2-40B4-BE49-F238E27FC236}">
                  <a16:creationId xmlns:a16="http://schemas.microsoft.com/office/drawing/2014/main" id="{00000000-0008-0000-1100-00002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9525</xdr:rowOff>
        </xdr:from>
        <xdr:to>
          <xdr:col>9</xdr:col>
          <xdr:colOff>561975</xdr:colOff>
          <xdr:row>25</xdr:row>
          <xdr:rowOff>238125</xdr:rowOff>
        </xdr:to>
        <xdr:sp macro="" textlink="">
          <xdr:nvSpPr>
            <xdr:cNvPr id="88102" name="Option Button 38" hidden="1">
              <a:extLst>
                <a:ext uri="{63B3BB69-23CF-44E3-9099-C40C66FF867C}">
                  <a14:compatExt spid="_x0000_s88102"/>
                </a:ext>
                <a:ext uri="{FF2B5EF4-FFF2-40B4-BE49-F238E27FC236}">
                  <a16:creationId xmlns:a16="http://schemas.microsoft.com/office/drawing/2014/main" id="{00000000-0008-0000-1100-00002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9525</xdr:rowOff>
        </xdr:from>
        <xdr:to>
          <xdr:col>9</xdr:col>
          <xdr:colOff>561975</xdr:colOff>
          <xdr:row>27</xdr:row>
          <xdr:rowOff>238125</xdr:rowOff>
        </xdr:to>
        <xdr:sp macro="" textlink="">
          <xdr:nvSpPr>
            <xdr:cNvPr id="88103" name="Option Button 39" hidden="1">
              <a:extLst>
                <a:ext uri="{63B3BB69-23CF-44E3-9099-C40C66FF867C}">
                  <a14:compatExt spid="_x0000_s88103"/>
                </a:ext>
                <a:ext uri="{FF2B5EF4-FFF2-40B4-BE49-F238E27FC236}">
                  <a16:creationId xmlns:a16="http://schemas.microsoft.com/office/drawing/2014/main" id="{00000000-0008-0000-1100-00002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9</xdr:row>
          <xdr:rowOff>9525</xdr:rowOff>
        </xdr:from>
        <xdr:to>
          <xdr:col>10</xdr:col>
          <xdr:colOff>552450</xdr:colOff>
          <xdr:row>9</xdr:row>
          <xdr:rowOff>238125</xdr:rowOff>
        </xdr:to>
        <xdr:sp macro="" textlink="">
          <xdr:nvSpPr>
            <xdr:cNvPr id="88104" name="Option Button 40" hidden="1">
              <a:extLst>
                <a:ext uri="{63B3BB69-23CF-44E3-9099-C40C66FF867C}">
                  <a14:compatExt spid="_x0000_s88104"/>
                </a:ext>
                <a:ext uri="{FF2B5EF4-FFF2-40B4-BE49-F238E27FC236}">
                  <a16:creationId xmlns:a16="http://schemas.microsoft.com/office/drawing/2014/main" id="{00000000-0008-0000-1100-00002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17</xdr:row>
          <xdr:rowOff>9525</xdr:rowOff>
        </xdr:from>
        <xdr:to>
          <xdr:col>10</xdr:col>
          <xdr:colOff>552450</xdr:colOff>
          <xdr:row>17</xdr:row>
          <xdr:rowOff>238125</xdr:rowOff>
        </xdr:to>
        <xdr:sp macro="" textlink="">
          <xdr:nvSpPr>
            <xdr:cNvPr id="88106" name="Option Button 42" hidden="1">
              <a:extLst>
                <a:ext uri="{63B3BB69-23CF-44E3-9099-C40C66FF867C}">
                  <a14:compatExt spid="_x0000_s88106"/>
                </a:ext>
                <a:ext uri="{FF2B5EF4-FFF2-40B4-BE49-F238E27FC236}">
                  <a16:creationId xmlns:a16="http://schemas.microsoft.com/office/drawing/2014/main" id="{00000000-0008-0000-1100-00002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9525</xdr:rowOff>
        </xdr:from>
        <xdr:to>
          <xdr:col>10</xdr:col>
          <xdr:colOff>552450</xdr:colOff>
          <xdr:row>19</xdr:row>
          <xdr:rowOff>238125</xdr:rowOff>
        </xdr:to>
        <xdr:sp macro="" textlink="">
          <xdr:nvSpPr>
            <xdr:cNvPr id="88107" name="Option Button 43" hidden="1">
              <a:extLst>
                <a:ext uri="{63B3BB69-23CF-44E3-9099-C40C66FF867C}">
                  <a14:compatExt spid="_x0000_s88107"/>
                </a:ext>
                <a:ext uri="{FF2B5EF4-FFF2-40B4-BE49-F238E27FC236}">
                  <a16:creationId xmlns:a16="http://schemas.microsoft.com/office/drawing/2014/main" id="{00000000-0008-0000-1100-00002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9525</xdr:rowOff>
        </xdr:from>
        <xdr:to>
          <xdr:col>10</xdr:col>
          <xdr:colOff>552450</xdr:colOff>
          <xdr:row>21</xdr:row>
          <xdr:rowOff>238125</xdr:rowOff>
        </xdr:to>
        <xdr:sp macro="" textlink="">
          <xdr:nvSpPr>
            <xdr:cNvPr id="88108" name="Option Button 44" hidden="1">
              <a:extLst>
                <a:ext uri="{63B3BB69-23CF-44E3-9099-C40C66FF867C}">
                  <a14:compatExt spid="_x0000_s88108"/>
                </a:ext>
                <a:ext uri="{FF2B5EF4-FFF2-40B4-BE49-F238E27FC236}">
                  <a16:creationId xmlns:a16="http://schemas.microsoft.com/office/drawing/2014/main" id="{00000000-0008-0000-1100-00002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10</xdr:col>
          <xdr:colOff>552450</xdr:colOff>
          <xdr:row>23</xdr:row>
          <xdr:rowOff>238125</xdr:rowOff>
        </xdr:to>
        <xdr:sp macro="" textlink="">
          <xdr:nvSpPr>
            <xdr:cNvPr id="88109" name="Option Button 45" hidden="1">
              <a:extLst>
                <a:ext uri="{63B3BB69-23CF-44E3-9099-C40C66FF867C}">
                  <a14:compatExt spid="_x0000_s88109"/>
                </a:ext>
                <a:ext uri="{FF2B5EF4-FFF2-40B4-BE49-F238E27FC236}">
                  <a16:creationId xmlns:a16="http://schemas.microsoft.com/office/drawing/2014/main" id="{00000000-0008-0000-1100-00002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9525</xdr:rowOff>
        </xdr:from>
        <xdr:to>
          <xdr:col>10</xdr:col>
          <xdr:colOff>552450</xdr:colOff>
          <xdr:row>25</xdr:row>
          <xdr:rowOff>238125</xdr:rowOff>
        </xdr:to>
        <xdr:sp macro="" textlink="">
          <xdr:nvSpPr>
            <xdr:cNvPr id="88110" name="Option Button 46" hidden="1">
              <a:extLst>
                <a:ext uri="{63B3BB69-23CF-44E3-9099-C40C66FF867C}">
                  <a14:compatExt spid="_x0000_s88110"/>
                </a:ext>
                <a:ext uri="{FF2B5EF4-FFF2-40B4-BE49-F238E27FC236}">
                  <a16:creationId xmlns:a16="http://schemas.microsoft.com/office/drawing/2014/main" id="{00000000-0008-0000-1100-00002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9525</xdr:rowOff>
        </xdr:from>
        <xdr:to>
          <xdr:col>10</xdr:col>
          <xdr:colOff>552450</xdr:colOff>
          <xdr:row>27</xdr:row>
          <xdr:rowOff>238125</xdr:rowOff>
        </xdr:to>
        <xdr:sp macro="" textlink="">
          <xdr:nvSpPr>
            <xdr:cNvPr id="88111" name="Option Button 47" hidden="1">
              <a:extLst>
                <a:ext uri="{63B3BB69-23CF-44E3-9099-C40C66FF867C}">
                  <a14:compatExt spid="_x0000_s88111"/>
                </a:ext>
                <a:ext uri="{FF2B5EF4-FFF2-40B4-BE49-F238E27FC236}">
                  <a16:creationId xmlns:a16="http://schemas.microsoft.com/office/drawing/2014/main" id="{00000000-0008-0000-1100-00002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xdr:oneCellAnchor>
    <xdr:from>
      <xdr:col>5</xdr:col>
      <xdr:colOff>57150</xdr:colOff>
      <xdr:row>0</xdr:row>
      <xdr:rowOff>47625</xdr:rowOff>
    </xdr:from>
    <xdr:ext cx="1555802" cy="560491"/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1100-00006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2171700" y="47625"/>
          <a:ext cx="1555802" cy="56049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88161" name="Group Box 97" hidden="1">
              <a:extLst>
                <a:ext uri="{63B3BB69-23CF-44E3-9099-C40C66FF867C}">
                  <a14:compatExt spid="_x0000_s88161"/>
                </a:ext>
                <a:ext uri="{FF2B5EF4-FFF2-40B4-BE49-F238E27FC236}">
                  <a16:creationId xmlns:a16="http://schemas.microsoft.com/office/drawing/2014/main" id="{00000000-0008-0000-1100-00006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29</xdr:row>
          <xdr:rowOff>28575</xdr:rowOff>
        </xdr:from>
        <xdr:to>
          <xdr:col>9</xdr:col>
          <xdr:colOff>552450</xdr:colOff>
          <xdr:row>29</xdr:row>
          <xdr:rowOff>238125</xdr:rowOff>
        </xdr:to>
        <xdr:sp macro="" textlink="">
          <xdr:nvSpPr>
            <xdr:cNvPr id="88162" name="Option Button 98" hidden="1">
              <a:extLst>
                <a:ext uri="{63B3BB69-23CF-44E3-9099-C40C66FF867C}">
                  <a14:compatExt spid="_x0000_s88162"/>
                </a:ext>
                <a:ext uri="{FF2B5EF4-FFF2-40B4-BE49-F238E27FC236}">
                  <a16:creationId xmlns:a16="http://schemas.microsoft.com/office/drawing/2014/main" id="{00000000-0008-0000-1100-00006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29</xdr:row>
          <xdr:rowOff>19050</xdr:rowOff>
        </xdr:from>
        <xdr:to>
          <xdr:col>10</xdr:col>
          <xdr:colOff>542925</xdr:colOff>
          <xdr:row>29</xdr:row>
          <xdr:rowOff>228600</xdr:rowOff>
        </xdr:to>
        <xdr:sp macro="" textlink="">
          <xdr:nvSpPr>
            <xdr:cNvPr id="88163" name="Option Button 99" hidden="1">
              <a:extLst>
                <a:ext uri="{63B3BB69-23CF-44E3-9099-C40C66FF867C}">
                  <a14:compatExt spid="_x0000_s88163"/>
                </a:ext>
                <a:ext uri="{FF2B5EF4-FFF2-40B4-BE49-F238E27FC236}">
                  <a16:creationId xmlns:a16="http://schemas.microsoft.com/office/drawing/2014/main" id="{00000000-0008-0000-1100-00006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88164" name="Group Box 100" hidden="1">
              <a:extLst>
                <a:ext uri="{63B3BB69-23CF-44E3-9099-C40C66FF867C}">
                  <a14:compatExt spid="_x0000_s88164"/>
                </a:ext>
                <a:ext uri="{FF2B5EF4-FFF2-40B4-BE49-F238E27FC236}">
                  <a16:creationId xmlns:a16="http://schemas.microsoft.com/office/drawing/2014/main" id="{00000000-0008-0000-1100-00006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31</xdr:row>
          <xdr:rowOff>19050</xdr:rowOff>
        </xdr:from>
        <xdr:to>
          <xdr:col>9</xdr:col>
          <xdr:colOff>552450</xdr:colOff>
          <xdr:row>31</xdr:row>
          <xdr:rowOff>238125</xdr:rowOff>
        </xdr:to>
        <xdr:sp macro="" textlink="">
          <xdr:nvSpPr>
            <xdr:cNvPr id="88165" name="Option Button 101" hidden="1">
              <a:extLst>
                <a:ext uri="{63B3BB69-23CF-44E3-9099-C40C66FF867C}">
                  <a14:compatExt spid="_x0000_s88165"/>
                </a:ext>
                <a:ext uri="{FF2B5EF4-FFF2-40B4-BE49-F238E27FC236}">
                  <a16:creationId xmlns:a16="http://schemas.microsoft.com/office/drawing/2014/main" id="{00000000-0008-0000-1100-00006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31</xdr:row>
          <xdr:rowOff>19050</xdr:rowOff>
        </xdr:from>
        <xdr:to>
          <xdr:col>10</xdr:col>
          <xdr:colOff>542925</xdr:colOff>
          <xdr:row>31</xdr:row>
          <xdr:rowOff>238125</xdr:rowOff>
        </xdr:to>
        <xdr:sp macro="" textlink="">
          <xdr:nvSpPr>
            <xdr:cNvPr id="88166" name="Option Button 102" hidden="1">
              <a:extLst>
                <a:ext uri="{63B3BB69-23CF-44E3-9099-C40C66FF867C}">
                  <a14:compatExt spid="_x0000_s88166"/>
                </a:ext>
                <a:ext uri="{FF2B5EF4-FFF2-40B4-BE49-F238E27FC236}">
                  <a16:creationId xmlns:a16="http://schemas.microsoft.com/office/drawing/2014/main" id="{00000000-0008-0000-1100-00006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24</xdr:col>
          <xdr:colOff>123825</xdr:colOff>
          <xdr:row>37</xdr:row>
          <xdr:rowOff>0</xdr:rowOff>
        </xdr:to>
        <xdr:sp macro="" textlink="">
          <xdr:nvSpPr>
            <xdr:cNvPr id="88168" name="TextBox1" hidden="1">
              <a:extLst>
                <a:ext uri="{63B3BB69-23CF-44E3-9099-C40C66FF867C}">
                  <a14:compatExt spid="_x0000_s88168"/>
                </a:ext>
                <a:ext uri="{FF2B5EF4-FFF2-40B4-BE49-F238E27FC236}">
                  <a16:creationId xmlns:a16="http://schemas.microsoft.com/office/drawing/2014/main" id="{00000000-0008-0000-1100-00006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88173" name="Group Box 109" hidden="1">
              <a:extLst>
                <a:ext uri="{63B3BB69-23CF-44E3-9099-C40C66FF867C}">
                  <a14:compatExt spid="_x0000_s88173"/>
                </a:ext>
                <a:ext uri="{FF2B5EF4-FFF2-40B4-BE49-F238E27FC236}">
                  <a16:creationId xmlns:a16="http://schemas.microsoft.com/office/drawing/2014/main" id="{00000000-0008-0000-1100-00006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35</xdr:row>
          <xdr:rowOff>9525</xdr:rowOff>
        </xdr:from>
        <xdr:to>
          <xdr:col>9</xdr:col>
          <xdr:colOff>561975</xdr:colOff>
          <xdr:row>35</xdr:row>
          <xdr:rowOff>238125</xdr:rowOff>
        </xdr:to>
        <xdr:sp macro="" textlink="">
          <xdr:nvSpPr>
            <xdr:cNvPr id="88176" name="Option Button 112" hidden="1">
              <a:extLst>
                <a:ext uri="{63B3BB69-23CF-44E3-9099-C40C66FF867C}">
                  <a14:compatExt spid="_x0000_s88176"/>
                </a:ext>
                <a:ext uri="{FF2B5EF4-FFF2-40B4-BE49-F238E27FC236}">
                  <a16:creationId xmlns:a16="http://schemas.microsoft.com/office/drawing/2014/main" id="{00000000-0008-0000-1100-00007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35</xdr:row>
          <xdr:rowOff>9525</xdr:rowOff>
        </xdr:from>
        <xdr:to>
          <xdr:col>10</xdr:col>
          <xdr:colOff>552450</xdr:colOff>
          <xdr:row>35</xdr:row>
          <xdr:rowOff>238125</xdr:rowOff>
        </xdr:to>
        <xdr:sp macro="" textlink="">
          <xdr:nvSpPr>
            <xdr:cNvPr id="88177" name="Option Button 113" hidden="1">
              <a:extLst>
                <a:ext uri="{63B3BB69-23CF-44E3-9099-C40C66FF867C}">
                  <a14:compatExt spid="_x0000_s88177"/>
                </a:ext>
                <a:ext uri="{FF2B5EF4-FFF2-40B4-BE49-F238E27FC236}">
                  <a16:creationId xmlns:a16="http://schemas.microsoft.com/office/drawing/2014/main" id="{00000000-0008-0000-1100-00007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19050</xdr:colOff>
      <xdr:row>0</xdr:row>
      <xdr:rowOff>91441</xdr:rowOff>
    </xdr:from>
    <xdr:to>
      <xdr:col>2</xdr:col>
      <xdr:colOff>304800</xdr:colOff>
      <xdr:row>1</xdr:row>
      <xdr:rowOff>278131</xdr:rowOff>
    </xdr:to>
    <xdr:sp macro="[0]!goto_releasedmiscfits" textlink="">
      <xdr:nvSpPr>
        <xdr:cNvPr id="65" name="Isosceles Triangle 64">
          <a:extLst>
            <a:ext uri="{FF2B5EF4-FFF2-40B4-BE49-F238E27FC236}">
              <a16:creationId xmlns:a16="http://schemas.microsoft.com/office/drawing/2014/main" id="{00000000-0008-0000-1100-000041000000}"/>
            </a:ext>
          </a:extLst>
        </xdr:cNvPr>
        <xdr:cNvSpPr/>
      </xdr:nvSpPr>
      <xdr:spPr>
        <a:xfrm rot="16200000">
          <a:off x="178117" y="103824"/>
          <a:ext cx="329565" cy="3048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392430</xdr:colOff>
      <xdr:row>0</xdr:row>
      <xdr:rowOff>85725</xdr:rowOff>
    </xdr:from>
    <xdr:to>
      <xdr:col>4</xdr:col>
      <xdr:colOff>271103</xdr:colOff>
      <xdr:row>1</xdr:row>
      <xdr:rowOff>281178</xdr:rowOff>
    </xdr:to>
    <xdr:sp macro="[0]!goto_main" textlink="">
      <xdr:nvSpPr>
        <xdr:cNvPr id="66" name="Rectangle 65">
          <a:extLst>
            <a:ext uri="{FF2B5EF4-FFF2-40B4-BE49-F238E27FC236}">
              <a16:creationId xmlns:a16="http://schemas.microsoft.com/office/drawing/2014/main" id="{00000000-0008-0000-1100-000042000000}"/>
            </a:ext>
          </a:extLst>
        </xdr:cNvPr>
        <xdr:cNvSpPr/>
      </xdr:nvSpPr>
      <xdr:spPr>
        <a:xfrm>
          <a:off x="678180" y="85725"/>
          <a:ext cx="1097873" cy="338328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4</xdr:col>
      <xdr:colOff>354127</xdr:colOff>
      <xdr:row>0</xdr:row>
      <xdr:rowOff>94191</xdr:rowOff>
    </xdr:from>
    <xdr:to>
      <xdr:col>5</xdr:col>
      <xdr:colOff>125527</xdr:colOff>
      <xdr:row>1</xdr:row>
      <xdr:rowOff>280881</xdr:rowOff>
    </xdr:to>
    <xdr:sp macro="[0]!goto_balance" textlink="">
      <xdr:nvSpPr>
        <xdr:cNvPr id="67" name="Isosceles Triangle 66">
          <a:extLst>
            <a:ext uri="{FF2B5EF4-FFF2-40B4-BE49-F238E27FC236}">
              <a16:creationId xmlns:a16="http://schemas.microsoft.com/office/drawing/2014/main" id="{00000000-0008-0000-1100-000043000000}"/>
            </a:ext>
          </a:extLst>
        </xdr:cNvPr>
        <xdr:cNvSpPr/>
      </xdr:nvSpPr>
      <xdr:spPr>
        <a:xfrm rot="5400000">
          <a:off x="1884794" y="68474"/>
          <a:ext cx="329565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11</xdr:col>
          <xdr:colOff>0</xdr:colOff>
          <xdr:row>12</xdr:row>
          <xdr:rowOff>9525</xdr:rowOff>
        </xdr:to>
        <xdr:sp macro="" textlink="">
          <xdr:nvSpPr>
            <xdr:cNvPr id="88178" name="Group Box 114" hidden="1">
              <a:extLst>
                <a:ext uri="{63B3BB69-23CF-44E3-9099-C40C66FF867C}">
                  <a14:compatExt spid="_x0000_s88178"/>
                </a:ext>
                <a:ext uri="{FF2B5EF4-FFF2-40B4-BE49-F238E27FC236}">
                  <a16:creationId xmlns:a16="http://schemas.microsoft.com/office/drawing/2014/main" id="{00000000-0008-0000-1100-00007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9525</xdr:rowOff>
        </xdr:from>
        <xdr:to>
          <xdr:col>9</xdr:col>
          <xdr:colOff>561975</xdr:colOff>
          <xdr:row>12</xdr:row>
          <xdr:rowOff>0</xdr:rowOff>
        </xdr:to>
        <xdr:sp macro="" textlink="">
          <xdr:nvSpPr>
            <xdr:cNvPr id="88179" name="Option Button 115" hidden="1">
              <a:extLst>
                <a:ext uri="{63B3BB69-23CF-44E3-9099-C40C66FF867C}">
                  <a14:compatExt spid="_x0000_s88179"/>
                </a:ext>
                <a:ext uri="{FF2B5EF4-FFF2-40B4-BE49-F238E27FC236}">
                  <a16:creationId xmlns:a16="http://schemas.microsoft.com/office/drawing/2014/main" id="{00000000-0008-0000-1100-00007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11</xdr:row>
          <xdr:rowOff>9525</xdr:rowOff>
        </xdr:from>
        <xdr:to>
          <xdr:col>10</xdr:col>
          <xdr:colOff>552450</xdr:colOff>
          <xdr:row>12</xdr:row>
          <xdr:rowOff>0</xdr:rowOff>
        </xdr:to>
        <xdr:sp macro="" textlink="">
          <xdr:nvSpPr>
            <xdr:cNvPr id="88180" name="Option Button 116" hidden="1">
              <a:extLst>
                <a:ext uri="{63B3BB69-23CF-44E3-9099-C40C66FF867C}">
                  <a14:compatExt spid="_x0000_s88180"/>
                </a:ext>
                <a:ext uri="{FF2B5EF4-FFF2-40B4-BE49-F238E27FC236}">
                  <a16:creationId xmlns:a16="http://schemas.microsoft.com/office/drawing/2014/main" id="{00000000-0008-0000-1100-00007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11</xdr:col>
          <xdr:colOff>0</xdr:colOff>
          <xdr:row>14</xdr:row>
          <xdr:rowOff>9525</xdr:rowOff>
        </xdr:to>
        <xdr:sp macro="" textlink="">
          <xdr:nvSpPr>
            <xdr:cNvPr id="88181" name="Group Box 117" hidden="1">
              <a:extLst>
                <a:ext uri="{63B3BB69-23CF-44E3-9099-C40C66FF867C}">
                  <a14:compatExt spid="_x0000_s88181"/>
                </a:ext>
                <a:ext uri="{FF2B5EF4-FFF2-40B4-BE49-F238E27FC236}">
                  <a16:creationId xmlns:a16="http://schemas.microsoft.com/office/drawing/2014/main" id="{00000000-0008-0000-1100-00007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9525</xdr:rowOff>
        </xdr:from>
        <xdr:to>
          <xdr:col>9</xdr:col>
          <xdr:colOff>561975</xdr:colOff>
          <xdr:row>14</xdr:row>
          <xdr:rowOff>0</xdr:rowOff>
        </xdr:to>
        <xdr:sp macro="" textlink="">
          <xdr:nvSpPr>
            <xdr:cNvPr id="88182" name="Option Button 118" hidden="1">
              <a:extLst>
                <a:ext uri="{63B3BB69-23CF-44E3-9099-C40C66FF867C}">
                  <a14:compatExt spid="_x0000_s88182"/>
                </a:ext>
                <a:ext uri="{FF2B5EF4-FFF2-40B4-BE49-F238E27FC236}">
                  <a16:creationId xmlns:a16="http://schemas.microsoft.com/office/drawing/2014/main" id="{00000000-0008-0000-1100-00007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13</xdr:row>
          <xdr:rowOff>9525</xdr:rowOff>
        </xdr:from>
        <xdr:to>
          <xdr:col>10</xdr:col>
          <xdr:colOff>552450</xdr:colOff>
          <xdr:row>14</xdr:row>
          <xdr:rowOff>0</xdr:rowOff>
        </xdr:to>
        <xdr:sp macro="" textlink="">
          <xdr:nvSpPr>
            <xdr:cNvPr id="88183" name="Option Button 119" hidden="1">
              <a:extLst>
                <a:ext uri="{63B3BB69-23CF-44E3-9099-C40C66FF867C}">
                  <a14:compatExt spid="_x0000_s88183"/>
                </a:ext>
                <a:ext uri="{FF2B5EF4-FFF2-40B4-BE49-F238E27FC236}">
                  <a16:creationId xmlns:a16="http://schemas.microsoft.com/office/drawing/2014/main" id="{00000000-0008-0000-1100-00007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88184" name="Group Box 120" hidden="1">
              <a:extLst>
                <a:ext uri="{63B3BB69-23CF-44E3-9099-C40C66FF867C}">
                  <a14:compatExt spid="_x0000_s88184"/>
                </a:ext>
                <a:ext uri="{FF2B5EF4-FFF2-40B4-BE49-F238E27FC236}">
                  <a16:creationId xmlns:a16="http://schemas.microsoft.com/office/drawing/2014/main" id="{00000000-0008-0000-1100-00007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33</xdr:row>
          <xdr:rowOff>9525</xdr:rowOff>
        </xdr:from>
        <xdr:to>
          <xdr:col>9</xdr:col>
          <xdr:colOff>561975</xdr:colOff>
          <xdr:row>33</xdr:row>
          <xdr:rowOff>238125</xdr:rowOff>
        </xdr:to>
        <xdr:sp macro="" textlink="">
          <xdr:nvSpPr>
            <xdr:cNvPr id="88185" name="Option Button 121" hidden="1">
              <a:extLst>
                <a:ext uri="{63B3BB69-23CF-44E3-9099-C40C66FF867C}">
                  <a14:compatExt spid="_x0000_s88185"/>
                </a:ext>
                <a:ext uri="{FF2B5EF4-FFF2-40B4-BE49-F238E27FC236}">
                  <a16:creationId xmlns:a16="http://schemas.microsoft.com/office/drawing/2014/main" id="{00000000-0008-0000-1100-00007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33</xdr:row>
          <xdr:rowOff>9525</xdr:rowOff>
        </xdr:from>
        <xdr:to>
          <xdr:col>10</xdr:col>
          <xdr:colOff>552450</xdr:colOff>
          <xdr:row>33</xdr:row>
          <xdr:rowOff>238125</xdr:rowOff>
        </xdr:to>
        <xdr:sp macro="" textlink="">
          <xdr:nvSpPr>
            <xdr:cNvPr id="88186" name="Option Button 122" hidden="1">
              <a:extLst>
                <a:ext uri="{63B3BB69-23CF-44E3-9099-C40C66FF867C}">
                  <a14:compatExt spid="_x0000_s88186"/>
                </a:ext>
                <a:ext uri="{FF2B5EF4-FFF2-40B4-BE49-F238E27FC236}">
                  <a16:creationId xmlns:a16="http://schemas.microsoft.com/office/drawing/2014/main" id="{00000000-0008-0000-1100-00007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190500</xdr:colOff>
          <xdr:row>6</xdr:row>
          <xdr:rowOff>47625</xdr:rowOff>
        </xdr:from>
        <xdr:to>
          <xdr:col>23</xdr:col>
          <xdr:colOff>457200</xdr:colOff>
          <xdr:row>8</xdr:row>
          <xdr:rowOff>0</xdr:rowOff>
        </xdr:to>
        <xdr:sp macro="" textlink="">
          <xdr:nvSpPr>
            <xdr:cNvPr id="74773" name="Drop Dow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12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6</xdr:row>
          <xdr:rowOff>47625</xdr:rowOff>
        </xdr:from>
        <xdr:to>
          <xdr:col>26</xdr:col>
          <xdr:colOff>114300</xdr:colOff>
          <xdr:row>8</xdr:row>
          <xdr:rowOff>0</xdr:rowOff>
        </xdr:to>
        <xdr:sp macro="" textlink="">
          <xdr:nvSpPr>
            <xdr:cNvPr id="74774" name="Drop Dow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12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9</xdr:row>
          <xdr:rowOff>9525</xdr:rowOff>
        </xdr:from>
        <xdr:to>
          <xdr:col>23</xdr:col>
          <xdr:colOff>447675</xdr:colOff>
          <xdr:row>10</xdr:row>
          <xdr:rowOff>0</xdr:rowOff>
        </xdr:to>
        <xdr:sp macro="" textlink="">
          <xdr:nvSpPr>
            <xdr:cNvPr id="74775" name="Drop Dow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12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9</xdr:row>
          <xdr:rowOff>0</xdr:rowOff>
        </xdr:from>
        <xdr:to>
          <xdr:col>26</xdr:col>
          <xdr:colOff>114300</xdr:colOff>
          <xdr:row>10</xdr:row>
          <xdr:rowOff>0</xdr:rowOff>
        </xdr:to>
        <xdr:sp macro="" textlink="">
          <xdr:nvSpPr>
            <xdr:cNvPr id="74776" name="Drop Dow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12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352425</xdr:colOff>
          <xdr:row>11</xdr:row>
          <xdr:rowOff>0</xdr:rowOff>
        </xdr:from>
        <xdr:to>
          <xdr:col>27</xdr:col>
          <xdr:colOff>0</xdr:colOff>
          <xdr:row>12</xdr:row>
          <xdr:rowOff>0</xdr:rowOff>
        </xdr:to>
        <xdr:sp macro="" textlink="">
          <xdr:nvSpPr>
            <xdr:cNvPr id="74777" name="Drop Down 25" hidden="1">
              <a:extLst>
                <a:ext uri="{63B3BB69-23CF-44E3-9099-C40C66FF867C}">
                  <a14:compatExt spid="_x0000_s74777"/>
                </a:ext>
                <a:ext uri="{FF2B5EF4-FFF2-40B4-BE49-F238E27FC236}">
                  <a16:creationId xmlns:a16="http://schemas.microsoft.com/office/drawing/2014/main" id="{00000000-0008-0000-1200-00001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26</xdr:row>
          <xdr:rowOff>0</xdr:rowOff>
        </xdr:from>
        <xdr:to>
          <xdr:col>31</xdr:col>
          <xdr:colOff>38100</xdr:colOff>
          <xdr:row>35</xdr:row>
          <xdr:rowOff>47625</xdr:rowOff>
        </xdr:to>
        <xdr:sp macro="" textlink="">
          <xdr:nvSpPr>
            <xdr:cNvPr id="74783" name="Group Box 31" hidden="1">
              <a:extLst>
                <a:ext uri="{63B3BB69-23CF-44E3-9099-C40C66FF867C}">
                  <a14:compatExt spid="_x0000_s74783"/>
                </a:ext>
                <a:ext uri="{FF2B5EF4-FFF2-40B4-BE49-F238E27FC236}">
                  <a16:creationId xmlns:a16="http://schemas.microsoft.com/office/drawing/2014/main" id="{00000000-0008-0000-1200-00001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33</xdr:row>
          <xdr:rowOff>9525</xdr:rowOff>
        </xdr:from>
        <xdr:to>
          <xdr:col>27</xdr:col>
          <xdr:colOff>333375</xdr:colOff>
          <xdr:row>33</xdr:row>
          <xdr:rowOff>200025</xdr:rowOff>
        </xdr:to>
        <xdr:sp macro="" textlink="">
          <xdr:nvSpPr>
            <xdr:cNvPr id="74784" name="Drop Down 32" hidden="1">
              <a:extLst>
                <a:ext uri="{63B3BB69-23CF-44E3-9099-C40C66FF867C}">
                  <a14:compatExt spid="_x0000_s74784"/>
                </a:ext>
                <a:ext uri="{FF2B5EF4-FFF2-40B4-BE49-F238E27FC236}">
                  <a16:creationId xmlns:a16="http://schemas.microsoft.com/office/drawing/2014/main" id="{00000000-0008-0000-1200-00002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38</xdr:row>
          <xdr:rowOff>9525</xdr:rowOff>
        </xdr:from>
        <xdr:to>
          <xdr:col>32</xdr:col>
          <xdr:colOff>9525</xdr:colOff>
          <xdr:row>47</xdr:row>
          <xdr:rowOff>180975</xdr:rowOff>
        </xdr:to>
        <xdr:sp macro="" textlink="">
          <xdr:nvSpPr>
            <xdr:cNvPr id="74800" name="TextBox2" hidden="1">
              <a:extLst>
                <a:ext uri="{63B3BB69-23CF-44E3-9099-C40C66FF867C}">
                  <a14:compatExt spid="_x0000_s74800"/>
                </a:ext>
                <a:ext uri="{FF2B5EF4-FFF2-40B4-BE49-F238E27FC236}">
                  <a16:creationId xmlns:a16="http://schemas.microsoft.com/office/drawing/2014/main" id="{00000000-0008-0000-1200-00003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11</xdr:row>
          <xdr:rowOff>9525</xdr:rowOff>
        </xdr:from>
        <xdr:to>
          <xdr:col>32</xdr:col>
          <xdr:colOff>19050</xdr:colOff>
          <xdr:row>12</xdr:row>
          <xdr:rowOff>0</xdr:rowOff>
        </xdr:to>
        <xdr:sp macro="" textlink="">
          <xdr:nvSpPr>
            <xdr:cNvPr id="74802" name="Drop Down 50" hidden="1">
              <a:extLst>
                <a:ext uri="{63B3BB69-23CF-44E3-9099-C40C66FF867C}">
                  <a14:compatExt spid="_x0000_s74802"/>
                </a:ext>
                <a:ext uri="{FF2B5EF4-FFF2-40B4-BE49-F238E27FC236}">
                  <a16:creationId xmlns:a16="http://schemas.microsoft.com/office/drawing/2014/main" id="{00000000-0008-0000-1200-00003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419100</xdr:colOff>
      <xdr:row>0</xdr:row>
      <xdr:rowOff>47625</xdr:rowOff>
    </xdr:from>
    <xdr:ext cx="1555802" cy="560491"/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2324100" y="47625"/>
          <a:ext cx="1555802" cy="56049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19</xdr:row>
          <xdr:rowOff>19050</xdr:rowOff>
        </xdr:from>
        <xdr:to>
          <xdr:col>15</xdr:col>
          <xdr:colOff>190500</xdr:colOff>
          <xdr:row>19</xdr:row>
          <xdr:rowOff>228600</xdr:rowOff>
        </xdr:to>
        <xdr:sp macro="" textlink="">
          <xdr:nvSpPr>
            <xdr:cNvPr id="74804" name="Check Box 52" hidden="1">
              <a:extLst>
                <a:ext uri="{63B3BB69-23CF-44E3-9099-C40C66FF867C}">
                  <a14:compatExt spid="_x0000_s74804"/>
                </a:ext>
                <a:ext uri="{FF2B5EF4-FFF2-40B4-BE49-F238E27FC236}">
                  <a16:creationId xmlns:a16="http://schemas.microsoft.com/office/drawing/2014/main" id="{00000000-0008-0000-1200-00003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Washers and Screws (Add)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495300</xdr:colOff>
          <xdr:row>19</xdr:row>
          <xdr:rowOff>19050</xdr:rowOff>
        </xdr:from>
        <xdr:to>
          <xdr:col>17</xdr:col>
          <xdr:colOff>704850</xdr:colOff>
          <xdr:row>19</xdr:row>
          <xdr:rowOff>228600</xdr:rowOff>
        </xdr:to>
        <xdr:sp macro="" textlink="">
          <xdr:nvSpPr>
            <xdr:cNvPr id="74806" name="Check Box 54" hidden="1">
              <a:extLst>
                <a:ext uri="{63B3BB69-23CF-44E3-9099-C40C66FF867C}">
                  <a14:compatExt spid="_x0000_s74806"/>
                </a:ext>
                <a:ext uri="{FF2B5EF4-FFF2-40B4-BE49-F238E27FC236}">
                  <a16:creationId xmlns:a16="http://schemas.microsoft.com/office/drawing/2014/main" id="{00000000-0008-0000-1200-00003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Dynaweight (Add)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21</xdr:row>
          <xdr:rowOff>0</xdr:rowOff>
        </xdr:from>
        <xdr:to>
          <xdr:col>15</xdr:col>
          <xdr:colOff>123825</xdr:colOff>
          <xdr:row>21</xdr:row>
          <xdr:rowOff>209550</xdr:rowOff>
        </xdr:to>
        <xdr:sp macro="" textlink="">
          <xdr:nvSpPr>
            <xdr:cNvPr id="74807" name="Check Box 55" hidden="1">
              <a:extLst>
                <a:ext uri="{63B3BB69-23CF-44E3-9099-C40C66FF867C}">
                  <a14:compatExt spid="_x0000_s74807"/>
                </a:ext>
                <a:ext uri="{FF2B5EF4-FFF2-40B4-BE49-F238E27FC236}">
                  <a16:creationId xmlns:a16="http://schemas.microsoft.com/office/drawing/2014/main" id="{00000000-0008-0000-1200-00003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Clip Casting (Remove 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495300</xdr:colOff>
          <xdr:row>21</xdr:row>
          <xdr:rowOff>0</xdr:rowOff>
        </xdr:from>
        <xdr:to>
          <xdr:col>18</xdr:col>
          <xdr:colOff>9525</xdr:colOff>
          <xdr:row>21</xdr:row>
          <xdr:rowOff>209550</xdr:rowOff>
        </xdr:to>
        <xdr:sp macro="" textlink="">
          <xdr:nvSpPr>
            <xdr:cNvPr id="74808" name="Check Box 56" hidden="1">
              <a:extLst>
                <a:ext uri="{63B3BB69-23CF-44E3-9099-C40C66FF867C}">
                  <a14:compatExt spid="_x0000_s74808"/>
                </a:ext>
                <a:ext uri="{FF2B5EF4-FFF2-40B4-BE49-F238E27FC236}">
                  <a16:creationId xmlns:a16="http://schemas.microsoft.com/office/drawing/2014/main" id="{00000000-0008-0000-1200-00003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Grind (Remove)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18</xdr:col>
          <xdr:colOff>257175</xdr:colOff>
          <xdr:row>48</xdr:row>
          <xdr:rowOff>9525</xdr:rowOff>
        </xdr:to>
        <xdr:sp macro="" textlink="">
          <xdr:nvSpPr>
            <xdr:cNvPr id="74854" name="TextBox1" hidden="1">
              <a:extLst>
                <a:ext uri="{63B3BB69-23CF-44E3-9099-C40C66FF867C}">
                  <a14:compatExt spid="_x0000_s74854"/>
                </a:ext>
                <a:ext uri="{FF2B5EF4-FFF2-40B4-BE49-F238E27FC236}">
                  <a16:creationId xmlns:a16="http://schemas.microsoft.com/office/drawing/2014/main" id="{00000000-0008-0000-1200-00006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66675</xdr:colOff>
      <xdr:row>0</xdr:row>
      <xdr:rowOff>91441</xdr:rowOff>
    </xdr:from>
    <xdr:to>
      <xdr:col>2</xdr:col>
      <xdr:colOff>352425</xdr:colOff>
      <xdr:row>1</xdr:row>
      <xdr:rowOff>230506</xdr:rowOff>
    </xdr:to>
    <xdr:sp macro="[0]!goto_prechecklist" textlink="">
      <xdr:nvSpPr>
        <xdr:cNvPr id="26" name="Isosceles Triangle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 rot="16200000">
          <a:off x="235267" y="65724"/>
          <a:ext cx="329565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440055</xdr:colOff>
      <xdr:row>0</xdr:row>
      <xdr:rowOff>85725</xdr:rowOff>
    </xdr:from>
    <xdr:to>
      <xdr:col>4</xdr:col>
      <xdr:colOff>633053</xdr:colOff>
      <xdr:row>1</xdr:row>
      <xdr:rowOff>233553</xdr:rowOff>
    </xdr:to>
    <xdr:sp macro="[0]!goto_main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>
        <a:xfrm>
          <a:off x="678180" y="85725"/>
          <a:ext cx="1097873" cy="338328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4</xdr:col>
      <xdr:colOff>716077</xdr:colOff>
      <xdr:row>0</xdr:row>
      <xdr:rowOff>94191</xdr:rowOff>
    </xdr:from>
    <xdr:to>
      <xdr:col>6</xdr:col>
      <xdr:colOff>335077</xdr:colOff>
      <xdr:row>1</xdr:row>
      <xdr:rowOff>233256</xdr:rowOff>
    </xdr:to>
    <xdr:sp macro="[0]!goto_assemblychecklist" textlink="">
      <xdr:nvSpPr>
        <xdr:cNvPr id="28" name="Isosceles Triangle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/>
      </xdr:nvSpPr>
      <xdr:spPr>
        <a:xfrm rot="5400000">
          <a:off x="1884794" y="68474"/>
          <a:ext cx="329565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552450</xdr:colOff>
          <xdr:row>8</xdr:row>
          <xdr:rowOff>38100</xdr:rowOff>
        </xdr:from>
        <xdr:to>
          <xdr:col>17</xdr:col>
          <xdr:colOff>438150</xdr:colOff>
          <xdr:row>9</xdr:row>
          <xdr:rowOff>200025</xdr:rowOff>
        </xdr:to>
        <xdr:sp macro="" textlink="">
          <xdr:nvSpPr>
            <xdr:cNvPr id="74855" name="Check Box 103" hidden="1">
              <a:extLst>
                <a:ext uri="{63B3BB69-23CF-44E3-9099-C40C66FF867C}">
                  <a14:compatExt spid="_x0000_s74855"/>
                </a:ext>
                <a:ext uri="{FF2B5EF4-FFF2-40B4-BE49-F238E27FC236}">
                  <a16:creationId xmlns:a16="http://schemas.microsoft.com/office/drawing/2014/main" id="{00000000-0008-0000-1200-00006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4W/N Method Used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35</xdr:row>
          <xdr:rowOff>19050</xdr:rowOff>
        </xdr:from>
        <xdr:to>
          <xdr:col>4</xdr:col>
          <xdr:colOff>723900</xdr:colOff>
          <xdr:row>36</xdr:row>
          <xdr:rowOff>19050</xdr:rowOff>
        </xdr:to>
        <xdr:sp macro="" textlink="">
          <xdr:nvSpPr>
            <xdr:cNvPr id="74856" name="Check Box 104" hidden="1">
              <a:extLst>
                <a:ext uri="{63B3BB69-23CF-44E3-9099-C40C66FF867C}">
                  <a14:compatExt spid="_x0000_s74856"/>
                </a:ext>
                <a:ext uri="{FF2B5EF4-FFF2-40B4-BE49-F238E27FC236}">
                  <a16:creationId xmlns:a16="http://schemas.microsoft.com/office/drawing/2014/main" id="{00000000-0008-0000-1200-00006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Washers and Screws (Add)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35</xdr:row>
          <xdr:rowOff>19050</xdr:rowOff>
        </xdr:from>
        <xdr:to>
          <xdr:col>10</xdr:col>
          <xdr:colOff>19050</xdr:colOff>
          <xdr:row>36</xdr:row>
          <xdr:rowOff>19050</xdr:rowOff>
        </xdr:to>
        <xdr:sp macro="" textlink="">
          <xdr:nvSpPr>
            <xdr:cNvPr id="74857" name="Check Box 105" hidden="1">
              <a:extLst>
                <a:ext uri="{63B3BB69-23CF-44E3-9099-C40C66FF867C}">
                  <a14:compatExt spid="_x0000_s74857"/>
                </a:ext>
                <a:ext uri="{FF2B5EF4-FFF2-40B4-BE49-F238E27FC236}">
                  <a16:creationId xmlns:a16="http://schemas.microsoft.com/office/drawing/2014/main" id="{00000000-0008-0000-1200-00006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Dynaweight (Add)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37</xdr:row>
          <xdr:rowOff>0</xdr:rowOff>
        </xdr:from>
        <xdr:to>
          <xdr:col>4</xdr:col>
          <xdr:colOff>657225</xdr:colOff>
          <xdr:row>37</xdr:row>
          <xdr:rowOff>209550</xdr:rowOff>
        </xdr:to>
        <xdr:sp macro="" textlink="">
          <xdr:nvSpPr>
            <xdr:cNvPr id="74858" name="Check Box 106" hidden="1">
              <a:extLst>
                <a:ext uri="{63B3BB69-23CF-44E3-9099-C40C66FF867C}">
                  <a14:compatExt spid="_x0000_s74858"/>
                </a:ext>
                <a:ext uri="{FF2B5EF4-FFF2-40B4-BE49-F238E27FC236}">
                  <a16:creationId xmlns:a16="http://schemas.microsoft.com/office/drawing/2014/main" id="{00000000-0008-0000-1200-00006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Clip Casting (Remove 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37</xdr:row>
          <xdr:rowOff>0</xdr:rowOff>
        </xdr:from>
        <xdr:to>
          <xdr:col>10</xdr:col>
          <xdr:colOff>38100</xdr:colOff>
          <xdr:row>37</xdr:row>
          <xdr:rowOff>209550</xdr:rowOff>
        </xdr:to>
        <xdr:sp macro="" textlink="">
          <xdr:nvSpPr>
            <xdr:cNvPr id="74859" name="Check Box 107" hidden="1">
              <a:extLst>
                <a:ext uri="{63B3BB69-23CF-44E3-9099-C40C66FF867C}">
                  <a14:compatExt spid="_x0000_s74859"/>
                </a:ext>
                <a:ext uri="{FF2B5EF4-FFF2-40B4-BE49-F238E27FC236}">
                  <a16:creationId xmlns:a16="http://schemas.microsoft.com/office/drawing/2014/main" id="{00000000-0008-0000-1200-00006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Grind (Remove)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35</xdr:row>
          <xdr:rowOff>19050</xdr:rowOff>
        </xdr:from>
        <xdr:to>
          <xdr:col>15</xdr:col>
          <xdr:colOff>200025</xdr:colOff>
          <xdr:row>36</xdr:row>
          <xdr:rowOff>19050</xdr:rowOff>
        </xdr:to>
        <xdr:sp macro="" textlink="">
          <xdr:nvSpPr>
            <xdr:cNvPr id="74860" name="Check Box 108" hidden="1">
              <a:extLst>
                <a:ext uri="{63B3BB69-23CF-44E3-9099-C40C66FF867C}">
                  <a14:compatExt spid="_x0000_s74860"/>
                </a:ext>
                <a:ext uri="{FF2B5EF4-FFF2-40B4-BE49-F238E27FC236}">
                  <a16:creationId xmlns:a16="http://schemas.microsoft.com/office/drawing/2014/main" id="{00000000-0008-0000-1200-00006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Washers and Screws (Add)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495300</xdr:colOff>
          <xdr:row>35</xdr:row>
          <xdr:rowOff>19050</xdr:rowOff>
        </xdr:from>
        <xdr:to>
          <xdr:col>17</xdr:col>
          <xdr:colOff>704850</xdr:colOff>
          <xdr:row>36</xdr:row>
          <xdr:rowOff>19050</xdr:rowOff>
        </xdr:to>
        <xdr:sp macro="" textlink="">
          <xdr:nvSpPr>
            <xdr:cNvPr id="74861" name="Check Box 109" hidden="1">
              <a:extLst>
                <a:ext uri="{63B3BB69-23CF-44E3-9099-C40C66FF867C}">
                  <a14:compatExt spid="_x0000_s74861"/>
                </a:ext>
                <a:ext uri="{FF2B5EF4-FFF2-40B4-BE49-F238E27FC236}">
                  <a16:creationId xmlns:a16="http://schemas.microsoft.com/office/drawing/2014/main" id="{00000000-0008-0000-1200-00006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Dynaweight (Add)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37</xdr:row>
          <xdr:rowOff>0</xdr:rowOff>
        </xdr:from>
        <xdr:to>
          <xdr:col>15</xdr:col>
          <xdr:colOff>133350</xdr:colOff>
          <xdr:row>37</xdr:row>
          <xdr:rowOff>209550</xdr:rowOff>
        </xdr:to>
        <xdr:sp macro="" textlink="">
          <xdr:nvSpPr>
            <xdr:cNvPr id="74862" name="Check Box 110" hidden="1">
              <a:extLst>
                <a:ext uri="{63B3BB69-23CF-44E3-9099-C40C66FF867C}">
                  <a14:compatExt spid="_x0000_s74862"/>
                </a:ext>
                <a:ext uri="{FF2B5EF4-FFF2-40B4-BE49-F238E27FC236}">
                  <a16:creationId xmlns:a16="http://schemas.microsoft.com/office/drawing/2014/main" id="{00000000-0008-0000-1200-00006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Clip Casting (Remove 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495300</xdr:colOff>
          <xdr:row>37</xdr:row>
          <xdr:rowOff>0</xdr:rowOff>
        </xdr:from>
        <xdr:to>
          <xdr:col>18</xdr:col>
          <xdr:colOff>9525</xdr:colOff>
          <xdr:row>37</xdr:row>
          <xdr:rowOff>209550</xdr:rowOff>
        </xdr:to>
        <xdr:sp macro="" textlink="">
          <xdr:nvSpPr>
            <xdr:cNvPr id="74863" name="Check Box 111" hidden="1">
              <a:extLst>
                <a:ext uri="{63B3BB69-23CF-44E3-9099-C40C66FF867C}">
                  <a14:compatExt spid="_x0000_s74863"/>
                </a:ext>
                <a:ext uri="{FF2B5EF4-FFF2-40B4-BE49-F238E27FC236}">
                  <a16:creationId xmlns:a16="http://schemas.microsoft.com/office/drawing/2014/main" id="{00000000-0008-0000-1200-00006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Grind (Remove)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314325</xdr:colOff>
          <xdr:row>13</xdr:row>
          <xdr:rowOff>0</xdr:rowOff>
        </xdr:from>
        <xdr:to>
          <xdr:col>25</xdr:col>
          <xdr:colOff>561975</xdr:colOff>
          <xdr:row>14</xdr:row>
          <xdr:rowOff>0</xdr:rowOff>
        </xdr:to>
        <xdr:sp macro="" textlink="">
          <xdr:nvSpPr>
            <xdr:cNvPr id="74864" name="Drop Down 112" hidden="1">
              <a:extLst>
                <a:ext uri="{63B3BB69-23CF-44E3-9099-C40C66FF867C}">
                  <a14:compatExt spid="_x0000_s74864"/>
                </a:ext>
                <a:ext uri="{FF2B5EF4-FFF2-40B4-BE49-F238E27FC236}">
                  <a16:creationId xmlns:a16="http://schemas.microsoft.com/office/drawing/2014/main" id="{00000000-0008-0000-1200-00007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57150</xdr:colOff>
          <xdr:row>27</xdr:row>
          <xdr:rowOff>76200</xdr:rowOff>
        </xdr:from>
        <xdr:to>
          <xdr:col>30</xdr:col>
          <xdr:colOff>600075</xdr:colOff>
          <xdr:row>29</xdr:row>
          <xdr:rowOff>0</xdr:rowOff>
        </xdr:to>
        <xdr:sp macro="" textlink="">
          <xdr:nvSpPr>
            <xdr:cNvPr id="74867" name="Option Button 115" hidden="1">
              <a:extLst>
                <a:ext uri="{63B3BB69-23CF-44E3-9099-C40C66FF867C}">
                  <a14:compatExt spid="_x0000_s74867"/>
                </a:ext>
                <a:ext uri="{FF2B5EF4-FFF2-40B4-BE49-F238E27FC236}">
                  <a16:creationId xmlns:a16="http://schemas.microsoft.com/office/drawing/2014/main" id="{00000000-0008-0000-1200-00007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Back-to-Back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57150</xdr:colOff>
          <xdr:row>29</xdr:row>
          <xdr:rowOff>0</xdr:rowOff>
        </xdr:from>
        <xdr:to>
          <xdr:col>30</xdr:col>
          <xdr:colOff>600075</xdr:colOff>
          <xdr:row>29</xdr:row>
          <xdr:rowOff>209550</xdr:rowOff>
        </xdr:to>
        <xdr:sp macro="" textlink="">
          <xdr:nvSpPr>
            <xdr:cNvPr id="74868" name="Option Button 116" hidden="1">
              <a:extLst>
                <a:ext uri="{63B3BB69-23CF-44E3-9099-C40C66FF867C}">
                  <a14:compatExt spid="_x0000_s74868"/>
                </a:ext>
                <a:ext uri="{FF2B5EF4-FFF2-40B4-BE49-F238E27FC236}">
                  <a16:creationId xmlns:a16="http://schemas.microsoft.com/office/drawing/2014/main" id="{00000000-0008-0000-1200-00007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Face-to-Face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57150</xdr:colOff>
          <xdr:row>29</xdr:row>
          <xdr:rowOff>219075</xdr:rowOff>
        </xdr:from>
        <xdr:to>
          <xdr:col>30</xdr:col>
          <xdr:colOff>600075</xdr:colOff>
          <xdr:row>31</xdr:row>
          <xdr:rowOff>142875</xdr:rowOff>
        </xdr:to>
        <xdr:sp macro="" textlink="">
          <xdr:nvSpPr>
            <xdr:cNvPr id="74869" name="Option Button 117" hidden="1">
              <a:extLst>
                <a:ext uri="{63B3BB69-23CF-44E3-9099-C40C66FF867C}">
                  <a14:compatExt spid="_x0000_s74869"/>
                </a:ext>
                <a:ext uri="{FF2B5EF4-FFF2-40B4-BE49-F238E27FC236}">
                  <a16:creationId xmlns:a16="http://schemas.microsoft.com/office/drawing/2014/main" id="{00000000-0008-0000-1200-00007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Tandem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57150</xdr:colOff>
          <xdr:row>31</xdr:row>
          <xdr:rowOff>152400</xdr:rowOff>
        </xdr:from>
        <xdr:to>
          <xdr:col>30</xdr:col>
          <xdr:colOff>600075</xdr:colOff>
          <xdr:row>33</xdr:row>
          <xdr:rowOff>104775</xdr:rowOff>
        </xdr:to>
        <xdr:sp macro="" textlink="">
          <xdr:nvSpPr>
            <xdr:cNvPr id="74870" name="Option Button 118" hidden="1">
              <a:extLst>
                <a:ext uri="{63B3BB69-23CF-44E3-9099-C40C66FF867C}">
                  <a14:compatExt spid="_x0000_s74870"/>
                </a:ext>
                <a:ext uri="{FF2B5EF4-FFF2-40B4-BE49-F238E27FC236}">
                  <a16:creationId xmlns:a16="http://schemas.microsoft.com/office/drawing/2014/main" id="{00000000-0008-0000-1200-00007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Single</a:t>
              </a:r>
            </a:p>
          </xdr:txBody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6</xdr:row>
          <xdr:rowOff>47625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110603" name="Group Box 11" hidden="1">
              <a:extLst>
                <a:ext uri="{63B3BB69-23CF-44E3-9099-C40C66FF867C}">
                  <a14:compatExt spid="_x0000_s110603"/>
                </a:ext>
                <a:ext uri="{FF2B5EF4-FFF2-40B4-BE49-F238E27FC236}">
                  <a16:creationId xmlns:a16="http://schemas.microsoft.com/office/drawing/2014/main" id="{00000000-0008-0000-1300-00000B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561975</xdr:colOff>
          <xdr:row>9</xdr:row>
          <xdr:rowOff>190500</xdr:rowOff>
        </xdr:to>
        <xdr:sp macro="" textlink="">
          <xdr:nvSpPr>
            <xdr:cNvPr id="110604" name="Option Button 12" hidden="1">
              <a:extLst>
                <a:ext uri="{63B3BB69-23CF-44E3-9099-C40C66FF867C}">
                  <a14:compatExt spid="_x0000_s110604"/>
                </a:ext>
                <a:ext uri="{FF2B5EF4-FFF2-40B4-BE49-F238E27FC236}">
                  <a16:creationId xmlns:a16="http://schemas.microsoft.com/office/drawing/2014/main" id="{00000000-0008-0000-1300-00000C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561975</xdr:colOff>
          <xdr:row>7</xdr:row>
          <xdr:rowOff>190500</xdr:rowOff>
        </xdr:to>
        <xdr:sp macro="" textlink="">
          <xdr:nvSpPr>
            <xdr:cNvPr id="110605" name="Option Button 13" hidden="1">
              <a:extLst>
                <a:ext uri="{63B3BB69-23CF-44E3-9099-C40C66FF867C}">
                  <a14:compatExt spid="_x0000_s110605"/>
                </a:ext>
                <a:ext uri="{FF2B5EF4-FFF2-40B4-BE49-F238E27FC236}">
                  <a16:creationId xmlns:a16="http://schemas.microsoft.com/office/drawing/2014/main" id="{00000000-0008-0000-1300-00000D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9</xdr:row>
          <xdr:rowOff>9525</xdr:rowOff>
        </xdr:from>
        <xdr:to>
          <xdr:col>10</xdr:col>
          <xdr:colOff>552450</xdr:colOff>
          <xdr:row>9</xdr:row>
          <xdr:rowOff>200025</xdr:rowOff>
        </xdr:to>
        <xdr:sp macro="" textlink="">
          <xdr:nvSpPr>
            <xdr:cNvPr id="110606" name="Option Button 14" hidden="1">
              <a:extLst>
                <a:ext uri="{63B3BB69-23CF-44E3-9099-C40C66FF867C}">
                  <a14:compatExt spid="_x0000_s110606"/>
                </a:ext>
                <a:ext uri="{FF2B5EF4-FFF2-40B4-BE49-F238E27FC236}">
                  <a16:creationId xmlns:a16="http://schemas.microsoft.com/office/drawing/2014/main" id="{00000000-0008-0000-1300-00000E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7</xdr:row>
          <xdr:rowOff>9525</xdr:rowOff>
        </xdr:from>
        <xdr:to>
          <xdr:col>10</xdr:col>
          <xdr:colOff>552450</xdr:colOff>
          <xdr:row>7</xdr:row>
          <xdr:rowOff>180975</xdr:rowOff>
        </xdr:to>
        <xdr:sp macro="" textlink="">
          <xdr:nvSpPr>
            <xdr:cNvPr id="110607" name="Option Button 15" hidden="1">
              <a:extLst>
                <a:ext uri="{63B3BB69-23CF-44E3-9099-C40C66FF867C}">
                  <a14:compatExt spid="_x0000_s110607"/>
                </a:ext>
                <a:ext uri="{FF2B5EF4-FFF2-40B4-BE49-F238E27FC236}">
                  <a16:creationId xmlns:a16="http://schemas.microsoft.com/office/drawing/2014/main" id="{00000000-0008-0000-1300-00000F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xdr:oneCellAnchor>
    <xdr:from>
      <xdr:col>5</xdr:col>
      <xdr:colOff>238125</xdr:colOff>
      <xdr:row>0</xdr:row>
      <xdr:rowOff>38100</xdr:rowOff>
    </xdr:from>
    <xdr:ext cx="1555802" cy="560491"/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2352675" y="38100"/>
          <a:ext cx="1555802" cy="56049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110619" name="Group Box 27" hidden="1">
              <a:extLst>
                <a:ext uri="{63B3BB69-23CF-44E3-9099-C40C66FF867C}">
                  <a14:compatExt spid="_x0000_s110619"/>
                </a:ext>
                <a:ext uri="{FF2B5EF4-FFF2-40B4-BE49-F238E27FC236}">
                  <a16:creationId xmlns:a16="http://schemas.microsoft.com/office/drawing/2014/main" id="{00000000-0008-0000-1300-00001B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47625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110620" name="Group Box 28" hidden="1">
              <a:extLst>
                <a:ext uri="{63B3BB69-23CF-44E3-9099-C40C66FF867C}">
                  <a14:compatExt spid="_x0000_s110620"/>
                </a:ext>
                <a:ext uri="{FF2B5EF4-FFF2-40B4-BE49-F238E27FC236}">
                  <a16:creationId xmlns:a16="http://schemas.microsoft.com/office/drawing/2014/main" id="{00000000-0008-0000-1300-00001C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14</xdr:row>
          <xdr:rowOff>47625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10621" name="Group Box 29" hidden="1">
              <a:extLst>
                <a:ext uri="{63B3BB69-23CF-44E3-9099-C40C66FF867C}">
                  <a14:compatExt spid="_x0000_s110621"/>
                </a:ext>
                <a:ext uri="{FF2B5EF4-FFF2-40B4-BE49-F238E27FC236}">
                  <a16:creationId xmlns:a16="http://schemas.microsoft.com/office/drawing/2014/main" id="{00000000-0008-0000-1300-00001D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47625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10622" name="Group Box 30" hidden="1">
              <a:extLst>
                <a:ext uri="{63B3BB69-23CF-44E3-9099-C40C66FF867C}">
                  <a14:compatExt spid="_x0000_s110622"/>
                </a:ext>
                <a:ext uri="{FF2B5EF4-FFF2-40B4-BE49-F238E27FC236}">
                  <a16:creationId xmlns:a16="http://schemas.microsoft.com/office/drawing/2014/main" id="{00000000-0008-0000-1300-00001E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57150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110623" name="Group Box 31" hidden="1">
              <a:extLst>
                <a:ext uri="{63B3BB69-23CF-44E3-9099-C40C66FF867C}">
                  <a14:compatExt spid="_x0000_s110623"/>
                </a:ext>
                <a:ext uri="{FF2B5EF4-FFF2-40B4-BE49-F238E27FC236}">
                  <a16:creationId xmlns:a16="http://schemas.microsoft.com/office/drawing/2014/main" id="{00000000-0008-0000-1300-00001F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20</xdr:row>
          <xdr:rowOff>47625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110624" name="Group Box 32" hidden="1">
              <a:extLst>
                <a:ext uri="{63B3BB69-23CF-44E3-9099-C40C66FF867C}">
                  <a14:compatExt spid="_x0000_s110624"/>
                </a:ext>
                <a:ext uri="{FF2B5EF4-FFF2-40B4-BE49-F238E27FC236}">
                  <a16:creationId xmlns:a16="http://schemas.microsoft.com/office/drawing/2014/main" id="{00000000-0008-0000-1300-000020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47625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110625" name="Group Box 33" hidden="1">
              <a:extLst>
                <a:ext uri="{63B3BB69-23CF-44E3-9099-C40C66FF867C}">
                  <a14:compatExt spid="_x0000_s110625"/>
                </a:ext>
                <a:ext uri="{FF2B5EF4-FFF2-40B4-BE49-F238E27FC236}">
                  <a16:creationId xmlns:a16="http://schemas.microsoft.com/office/drawing/2014/main" id="{00000000-0008-0000-1300-00002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47625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110626" name="Group Box 34" hidden="1">
              <a:extLst>
                <a:ext uri="{63B3BB69-23CF-44E3-9099-C40C66FF867C}">
                  <a14:compatExt spid="_x0000_s110626"/>
                </a:ext>
                <a:ext uri="{FF2B5EF4-FFF2-40B4-BE49-F238E27FC236}">
                  <a16:creationId xmlns:a16="http://schemas.microsoft.com/office/drawing/2014/main" id="{00000000-0008-0000-1300-00002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47625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110627" name="Group Box 35" hidden="1">
              <a:extLst>
                <a:ext uri="{63B3BB69-23CF-44E3-9099-C40C66FF867C}">
                  <a14:compatExt spid="_x0000_s110627"/>
                </a:ext>
                <a:ext uri="{FF2B5EF4-FFF2-40B4-BE49-F238E27FC236}">
                  <a16:creationId xmlns:a16="http://schemas.microsoft.com/office/drawing/2014/main" id="{00000000-0008-0000-1300-000023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47625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110628" name="Group Box 36" hidden="1">
              <a:extLst>
                <a:ext uri="{63B3BB69-23CF-44E3-9099-C40C66FF867C}">
                  <a14:compatExt spid="_x0000_s110628"/>
                </a:ext>
                <a:ext uri="{FF2B5EF4-FFF2-40B4-BE49-F238E27FC236}">
                  <a16:creationId xmlns:a16="http://schemas.microsoft.com/office/drawing/2014/main" id="{00000000-0008-0000-1300-00002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32</xdr:row>
          <xdr:rowOff>47625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110629" name="Group Box 37" hidden="1">
              <a:extLst>
                <a:ext uri="{63B3BB69-23CF-44E3-9099-C40C66FF867C}">
                  <a14:compatExt spid="_x0000_s110629"/>
                </a:ext>
                <a:ext uri="{FF2B5EF4-FFF2-40B4-BE49-F238E27FC236}">
                  <a16:creationId xmlns:a16="http://schemas.microsoft.com/office/drawing/2014/main" id="{00000000-0008-0000-1300-000025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47625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110630" name="Group Box 38" hidden="1">
              <a:extLst>
                <a:ext uri="{63B3BB69-23CF-44E3-9099-C40C66FF867C}">
                  <a14:compatExt spid="_x0000_s110630"/>
                </a:ext>
                <a:ext uri="{FF2B5EF4-FFF2-40B4-BE49-F238E27FC236}">
                  <a16:creationId xmlns:a16="http://schemas.microsoft.com/office/drawing/2014/main" id="{00000000-0008-0000-1300-000026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47625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110631" name="Group Box 39" hidden="1">
              <a:extLst>
                <a:ext uri="{63B3BB69-23CF-44E3-9099-C40C66FF867C}">
                  <a14:compatExt spid="_x0000_s110631"/>
                </a:ext>
                <a:ext uri="{FF2B5EF4-FFF2-40B4-BE49-F238E27FC236}">
                  <a16:creationId xmlns:a16="http://schemas.microsoft.com/office/drawing/2014/main" id="{00000000-0008-0000-1300-000027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47625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110632" name="Group Box 40" hidden="1">
              <a:extLst>
                <a:ext uri="{63B3BB69-23CF-44E3-9099-C40C66FF867C}">
                  <a14:compatExt spid="_x0000_s110632"/>
                </a:ext>
                <a:ext uri="{FF2B5EF4-FFF2-40B4-BE49-F238E27FC236}">
                  <a16:creationId xmlns:a16="http://schemas.microsoft.com/office/drawing/2014/main" id="{00000000-0008-0000-1300-000028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561975</xdr:colOff>
          <xdr:row>13</xdr:row>
          <xdr:rowOff>190500</xdr:rowOff>
        </xdr:to>
        <xdr:sp macro="" textlink="">
          <xdr:nvSpPr>
            <xdr:cNvPr id="110633" name="Option Button 41" hidden="1">
              <a:extLst>
                <a:ext uri="{63B3BB69-23CF-44E3-9099-C40C66FF867C}">
                  <a14:compatExt spid="_x0000_s110633"/>
                </a:ext>
                <a:ext uri="{FF2B5EF4-FFF2-40B4-BE49-F238E27FC236}">
                  <a16:creationId xmlns:a16="http://schemas.microsoft.com/office/drawing/2014/main" id="{00000000-0008-0000-1300-000029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13</xdr:row>
          <xdr:rowOff>19050</xdr:rowOff>
        </xdr:from>
        <xdr:to>
          <xdr:col>10</xdr:col>
          <xdr:colOff>552450</xdr:colOff>
          <xdr:row>13</xdr:row>
          <xdr:rowOff>190500</xdr:rowOff>
        </xdr:to>
        <xdr:sp macro="" textlink="">
          <xdr:nvSpPr>
            <xdr:cNvPr id="110634" name="Option Button 42" hidden="1">
              <a:extLst>
                <a:ext uri="{63B3BB69-23CF-44E3-9099-C40C66FF867C}">
                  <a14:compatExt spid="_x0000_s110634"/>
                </a:ext>
                <a:ext uri="{FF2B5EF4-FFF2-40B4-BE49-F238E27FC236}">
                  <a16:creationId xmlns:a16="http://schemas.microsoft.com/office/drawing/2014/main" id="{00000000-0008-0000-1300-00002A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561975</xdr:colOff>
          <xdr:row>15</xdr:row>
          <xdr:rowOff>190500</xdr:rowOff>
        </xdr:to>
        <xdr:sp macro="" textlink="">
          <xdr:nvSpPr>
            <xdr:cNvPr id="110635" name="Option Button 43" hidden="1">
              <a:extLst>
                <a:ext uri="{63B3BB69-23CF-44E3-9099-C40C66FF867C}">
                  <a14:compatExt spid="_x0000_s110635"/>
                </a:ext>
                <a:ext uri="{FF2B5EF4-FFF2-40B4-BE49-F238E27FC236}">
                  <a16:creationId xmlns:a16="http://schemas.microsoft.com/office/drawing/2014/main" id="{00000000-0008-0000-1300-00002B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15</xdr:row>
          <xdr:rowOff>19050</xdr:rowOff>
        </xdr:from>
        <xdr:to>
          <xdr:col>10</xdr:col>
          <xdr:colOff>552450</xdr:colOff>
          <xdr:row>15</xdr:row>
          <xdr:rowOff>190500</xdr:rowOff>
        </xdr:to>
        <xdr:sp macro="" textlink="">
          <xdr:nvSpPr>
            <xdr:cNvPr id="110636" name="Option Button 44" hidden="1">
              <a:extLst>
                <a:ext uri="{63B3BB69-23CF-44E3-9099-C40C66FF867C}">
                  <a14:compatExt spid="_x0000_s110636"/>
                </a:ext>
                <a:ext uri="{FF2B5EF4-FFF2-40B4-BE49-F238E27FC236}">
                  <a16:creationId xmlns:a16="http://schemas.microsoft.com/office/drawing/2014/main" id="{00000000-0008-0000-1300-00002C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561975</xdr:colOff>
          <xdr:row>18</xdr:row>
          <xdr:rowOff>0</xdr:rowOff>
        </xdr:to>
        <xdr:sp macro="" textlink="">
          <xdr:nvSpPr>
            <xdr:cNvPr id="110637" name="Option Button 45" hidden="1">
              <a:extLst>
                <a:ext uri="{63B3BB69-23CF-44E3-9099-C40C66FF867C}">
                  <a14:compatExt spid="_x0000_s110637"/>
                </a:ext>
                <a:ext uri="{FF2B5EF4-FFF2-40B4-BE49-F238E27FC236}">
                  <a16:creationId xmlns:a16="http://schemas.microsoft.com/office/drawing/2014/main" id="{00000000-0008-0000-1300-00002D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17</xdr:row>
          <xdr:rowOff>19050</xdr:rowOff>
        </xdr:from>
        <xdr:to>
          <xdr:col>10</xdr:col>
          <xdr:colOff>552450</xdr:colOff>
          <xdr:row>18</xdr:row>
          <xdr:rowOff>0</xdr:rowOff>
        </xdr:to>
        <xdr:sp macro="" textlink="">
          <xdr:nvSpPr>
            <xdr:cNvPr id="110638" name="Option Button 46" hidden="1">
              <a:extLst>
                <a:ext uri="{63B3BB69-23CF-44E3-9099-C40C66FF867C}">
                  <a14:compatExt spid="_x0000_s110638"/>
                </a:ext>
                <a:ext uri="{FF2B5EF4-FFF2-40B4-BE49-F238E27FC236}">
                  <a16:creationId xmlns:a16="http://schemas.microsoft.com/office/drawing/2014/main" id="{00000000-0008-0000-1300-00002E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561975</xdr:colOff>
          <xdr:row>19</xdr:row>
          <xdr:rowOff>190500</xdr:rowOff>
        </xdr:to>
        <xdr:sp macro="" textlink="">
          <xdr:nvSpPr>
            <xdr:cNvPr id="110639" name="Option Button 47" hidden="1">
              <a:extLst>
                <a:ext uri="{63B3BB69-23CF-44E3-9099-C40C66FF867C}">
                  <a14:compatExt spid="_x0000_s110639"/>
                </a:ext>
                <a:ext uri="{FF2B5EF4-FFF2-40B4-BE49-F238E27FC236}">
                  <a16:creationId xmlns:a16="http://schemas.microsoft.com/office/drawing/2014/main" id="{00000000-0008-0000-1300-00002F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552450</xdr:colOff>
          <xdr:row>19</xdr:row>
          <xdr:rowOff>190500</xdr:rowOff>
        </xdr:to>
        <xdr:sp macro="" textlink="">
          <xdr:nvSpPr>
            <xdr:cNvPr id="110640" name="Option Button 48" hidden="1">
              <a:extLst>
                <a:ext uri="{63B3BB69-23CF-44E3-9099-C40C66FF867C}">
                  <a14:compatExt spid="_x0000_s110640"/>
                </a:ext>
                <a:ext uri="{FF2B5EF4-FFF2-40B4-BE49-F238E27FC236}">
                  <a16:creationId xmlns:a16="http://schemas.microsoft.com/office/drawing/2014/main" id="{00000000-0008-0000-1300-000030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19050</xdr:rowOff>
        </xdr:from>
        <xdr:to>
          <xdr:col>9</xdr:col>
          <xdr:colOff>561975</xdr:colOff>
          <xdr:row>21</xdr:row>
          <xdr:rowOff>190500</xdr:rowOff>
        </xdr:to>
        <xdr:sp macro="" textlink="">
          <xdr:nvSpPr>
            <xdr:cNvPr id="110641" name="Option Button 49" hidden="1">
              <a:extLst>
                <a:ext uri="{63B3BB69-23CF-44E3-9099-C40C66FF867C}">
                  <a14:compatExt spid="_x0000_s110641"/>
                </a:ext>
                <a:ext uri="{FF2B5EF4-FFF2-40B4-BE49-F238E27FC236}">
                  <a16:creationId xmlns:a16="http://schemas.microsoft.com/office/drawing/2014/main" id="{00000000-0008-0000-1300-00003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552450</xdr:colOff>
          <xdr:row>21</xdr:row>
          <xdr:rowOff>190500</xdr:rowOff>
        </xdr:to>
        <xdr:sp macro="" textlink="">
          <xdr:nvSpPr>
            <xdr:cNvPr id="110642" name="Option Button 50" hidden="1">
              <a:extLst>
                <a:ext uri="{63B3BB69-23CF-44E3-9099-C40C66FF867C}">
                  <a14:compatExt spid="_x0000_s110642"/>
                </a:ext>
                <a:ext uri="{FF2B5EF4-FFF2-40B4-BE49-F238E27FC236}">
                  <a16:creationId xmlns:a16="http://schemas.microsoft.com/office/drawing/2014/main" id="{00000000-0008-0000-1300-00003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19050</xdr:rowOff>
        </xdr:from>
        <xdr:to>
          <xdr:col>9</xdr:col>
          <xdr:colOff>561975</xdr:colOff>
          <xdr:row>25</xdr:row>
          <xdr:rowOff>190500</xdr:rowOff>
        </xdr:to>
        <xdr:sp macro="" textlink="">
          <xdr:nvSpPr>
            <xdr:cNvPr id="110643" name="Option Button 51" hidden="1">
              <a:extLst>
                <a:ext uri="{63B3BB69-23CF-44E3-9099-C40C66FF867C}">
                  <a14:compatExt spid="_x0000_s110643"/>
                </a:ext>
                <a:ext uri="{FF2B5EF4-FFF2-40B4-BE49-F238E27FC236}">
                  <a16:creationId xmlns:a16="http://schemas.microsoft.com/office/drawing/2014/main" id="{00000000-0008-0000-1300-000033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552450</xdr:colOff>
          <xdr:row>25</xdr:row>
          <xdr:rowOff>190500</xdr:rowOff>
        </xdr:to>
        <xdr:sp macro="" textlink="">
          <xdr:nvSpPr>
            <xdr:cNvPr id="110644" name="Option Button 52" hidden="1">
              <a:extLst>
                <a:ext uri="{63B3BB69-23CF-44E3-9099-C40C66FF867C}">
                  <a14:compatExt spid="_x0000_s110644"/>
                </a:ext>
                <a:ext uri="{FF2B5EF4-FFF2-40B4-BE49-F238E27FC236}">
                  <a16:creationId xmlns:a16="http://schemas.microsoft.com/office/drawing/2014/main" id="{00000000-0008-0000-1300-00003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19050</xdr:rowOff>
        </xdr:from>
        <xdr:to>
          <xdr:col>9</xdr:col>
          <xdr:colOff>561975</xdr:colOff>
          <xdr:row>27</xdr:row>
          <xdr:rowOff>190500</xdr:rowOff>
        </xdr:to>
        <xdr:sp macro="" textlink="">
          <xdr:nvSpPr>
            <xdr:cNvPr id="110645" name="Option Button 53" hidden="1">
              <a:extLst>
                <a:ext uri="{63B3BB69-23CF-44E3-9099-C40C66FF867C}">
                  <a14:compatExt spid="_x0000_s110645"/>
                </a:ext>
                <a:ext uri="{FF2B5EF4-FFF2-40B4-BE49-F238E27FC236}">
                  <a16:creationId xmlns:a16="http://schemas.microsoft.com/office/drawing/2014/main" id="{00000000-0008-0000-1300-000035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552450</xdr:colOff>
          <xdr:row>27</xdr:row>
          <xdr:rowOff>190500</xdr:rowOff>
        </xdr:to>
        <xdr:sp macro="" textlink="">
          <xdr:nvSpPr>
            <xdr:cNvPr id="110646" name="Option Button 54" hidden="1">
              <a:extLst>
                <a:ext uri="{63B3BB69-23CF-44E3-9099-C40C66FF867C}">
                  <a14:compatExt spid="_x0000_s110646"/>
                </a:ext>
                <a:ext uri="{FF2B5EF4-FFF2-40B4-BE49-F238E27FC236}">
                  <a16:creationId xmlns:a16="http://schemas.microsoft.com/office/drawing/2014/main" id="{00000000-0008-0000-1300-000036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29</xdr:row>
          <xdr:rowOff>19050</xdr:rowOff>
        </xdr:from>
        <xdr:to>
          <xdr:col>9</xdr:col>
          <xdr:colOff>561975</xdr:colOff>
          <xdr:row>29</xdr:row>
          <xdr:rowOff>190500</xdr:rowOff>
        </xdr:to>
        <xdr:sp macro="" textlink="">
          <xdr:nvSpPr>
            <xdr:cNvPr id="110647" name="Option Button 55" hidden="1">
              <a:extLst>
                <a:ext uri="{63B3BB69-23CF-44E3-9099-C40C66FF867C}">
                  <a14:compatExt spid="_x0000_s110647"/>
                </a:ext>
                <a:ext uri="{FF2B5EF4-FFF2-40B4-BE49-F238E27FC236}">
                  <a16:creationId xmlns:a16="http://schemas.microsoft.com/office/drawing/2014/main" id="{00000000-0008-0000-1300-000037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29</xdr:row>
          <xdr:rowOff>19050</xdr:rowOff>
        </xdr:from>
        <xdr:to>
          <xdr:col>10</xdr:col>
          <xdr:colOff>552450</xdr:colOff>
          <xdr:row>29</xdr:row>
          <xdr:rowOff>190500</xdr:rowOff>
        </xdr:to>
        <xdr:sp macro="" textlink="">
          <xdr:nvSpPr>
            <xdr:cNvPr id="110648" name="Option Button 56" hidden="1">
              <a:extLst>
                <a:ext uri="{63B3BB69-23CF-44E3-9099-C40C66FF867C}">
                  <a14:compatExt spid="_x0000_s110648"/>
                </a:ext>
                <a:ext uri="{FF2B5EF4-FFF2-40B4-BE49-F238E27FC236}">
                  <a16:creationId xmlns:a16="http://schemas.microsoft.com/office/drawing/2014/main" id="{00000000-0008-0000-1300-000038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19050</xdr:rowOff>
        </xdr:from>
        <xdr:to>
          <xdr:col>9</xdr:col>
          <xdr:colOff>561975</xdr:colOff>
          <xdr:row>31</xdr:row>
          <xdr:rowOff>190500</xdr:rowOff>
        </xdr:to>
        <xdr:sp macro="" textlink="">
          <xdr:nvSpPr>
            <xdr:cNvPr id="110649" name="Option Button 57" hidden="1">
              <a:extLst>
                <a:ext uri="{63B3BB69-23CF-44E3-9099-C40C66FF867C}">
                  <a14:compatExt spid="_x0000_s110649"/>
                </a:ext>
                <a:ext uri="{FF2B5EF4-FFF2-40B4-BE49-F238E27FC236}">
                  <a16:creationId xmlns:a16="http://schemas.microsoft.com/office/drawing/2014/main" id="{00000000-0008-0000-1300-000039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31</xdr:row>
          <xdr:rowOff>19050</xdr:rowOff>
        </xdr:from>
        <xdr:to>
          <xdr:col>10</xdr:col>
          <xdr:colOff>552450</xdr:colOff>
          <xdr:row>31</xdr:row>
          <xdr:rowOff>190500</xdr:rowOff>
        </xdr:to>
        <xdr:sp macro="" textlink="">
          <xdr:nvSpPr>
            <xdr:cNvPr id="110650" name="Option Button 58" hidden="1">
              <a:extLst>
                <a:ext uri="{63B3BB69-23CF-44E3-9099-C40C66FF867C}">
                  <a14:compatExt spid="_x0000_s110650"/>
                </a:ext>
                <a:ext uri="{FF2B5EF4-FFF2-40B4-BE49-F238E27FC236}">
                  <a16:creationId xmlns:a16="http://schemas.microsoft.com/office/drawing/2014/main" id="{00000000-0008-0000-1300-00003A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33</xdr:row>
          <xdr:rowOff>19050</xdr:rowOff>
        </xdr:from>
        <xdr:to>
          <xdr:col>9</xdr:col>
          <xdr:colOff>561975</xdr:colOff>
          <xdr:row>33</xdr:row>
          <xdr:rowOff>190500</xdr:rowOff>
        </xdr:to>
        <xdr:sp macro="" textlink="">
          <xdr:nvSpPr>
            <xdr:cNvPr id="110651" name="Option Button 59" hidden="1">
              <a:extLst>
                <a:ext uri="{63B3BB69-23CF-44E3-9099-C40C66FF867C}">
                  <a14:compatExt spid="_x0000_s110651"/>
                </a:ext>
                <a:ext uri="{FF2B5EF4-FFF2-40B4-BE49-F238E27FC236}">
                  <a16:creationId xmlns:a16="http://schemas.microsoft.com/office/drawing/2014/main" id="{00000000-0008-0000-1300-00003B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33</xdr:row>
          <xdr:rowOff>19050</xdr:rowOff>
        </xdr:from>
        <xdr:to>
          <xdr:col>10</xdr:col>
          <xdr:colOff>552450</xdr:colOff>
          <xdr:row>33</xdr:row>
          <xdr:rowOff>190500</xdr:rowOff>
        </xdr:to>
        <xdr:sp macro="" textlink="">
          <xdr:nvSpPr>
            <xdr:cNvPr id="110652" name="Option Button 60" hidden="1">
              <a:extLst>
                <a:ext uri="{63B3BB69-23CF-44E3-9099-C40C66FF867C}">
                  <a14:compatExt spid="_x0000_s110652"/>
                </a:ext>
                <a:ext uri="{FF2B5EF4-FFF2-40B4-BE49-F238E27FC236}">
                  <a16:creationId xmlns:a16="http://schemas.microsoft.com/office/drawing/2014/main" id="{00000000-0008-0000-1300-00003C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35</xdr:row>
          <xdr:rowOff>19050</xdr:rowOff>
        </xdr:from>
        <xdr:to>
          <xdr:col>9</xdr:col>
          <xdr:colOff>561975</xdr:colOff>
          <xdr:row>35</xdr:row>
          <xdr:rowOff>190500</xdr:rowOff>
        </xdr:to>
        <xdr:sp macro="" textlink="">
          <xdr:nvSpPr>
            <xdr:cNvPr id="110653" name="Option Button 61" hidden="1">
              <a:extLst>
                <a:ext uri="{63B3BB69-23CF-44E3-9099-C40C66FF867C}">
                  <a14:compatExt spid="_x0000_s110653"/>
                </a:ext>
                <a:ext uri="{FF2B5EF4-FFF2-40B4-BE49-F238E27FC236}">
                  <a16:creationId xmlns:a16="http://schemas.microsoft.com/office/drawing/2014/main" id="{00000000-0008-0000-1300-00003D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35</xdr:row>
          <xdr:rowOff>19050</xdr:rowOff>
        </xdr:from>
        <xdr:to>
          <xdr:col>10</xdr:col>
          <xdr:colOff>552450</xdr:colOff>
          <xdr:row>35</xdr:row>
          <xdr:rowOff>190500</xdr:rowOff>
        </xdr:to>
        <xdr:sp macro="" textlink="">
          <xdr:nvSpPr>
            <xdr:cNvPr id="110654" name="Option Button 62" hidden="1">
              <a:extLst>
                <a:ext uri="{63B3BB69-23CF-44E3-9099-C40C66FF867C}">
                  <a14:compatExt spid="_x0000_s110654"/>
                </a:ext>
                <a:ext uri="{FF2B5EF4-FFF2-40B4-BE49-F238E27FC236}">
                  <a16:creationId xmlns:a16="http://schemas.microsoft.com/office/drawing/2014/main" id="{00000000-0008-0000-1300-00003E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37</xdr:row>
          <xdr:rowOff>19050</xdr:rowOff>
        </xdr:from>
        <xdr:to>
          <xdr:col>9</xdr:col>
          <xdr:colOff>561975</xdr:colOff>
          <xdr:row>37</xdr:row>
          <xdr:rowOff>190500</xdr:rowOff>
        </xdr:to>
        <xdr:sp macro="" textlink="">
          <xdr:nvSpPr>
            <xdr:cNvPr id="110655" name="Option Button 63" hidden="1">
              <a:extLst>
                <a:ext uri="{63B3BB69-23CF-44E3-9099-C40C66FF867C}">
                  <a14:compatExt spid="_x0000_s110655"/>
                </a:ext>
                <a:ext uri="{FF2B5EF4-FFF2-40B4-BE49-F238E27FC236}">
                  <a16:creationId xmlns:a16="http://schemas.microsoft.com/office/drawing/2014/main" id="{00000000-0008-0000-1300-00003F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37</xdr:row>
          <xdr:rowOff>19050</xdr:rowOff>
        </xdr:from>
        <xdr:to>
          <xdr:col>10</xdr:col>
          <xdr:colOff>552450</xdr:colOff>
          <xdr:row>37</xdr:row>
          <xdr:rowOff>190500</xdr:rowOff>
        </xdr:to>
        <xdr:sp macro="" textlink="">
          <xdr:nvSpPr>
            <xdr:cNvPr id="110656" name="Option Button 64" hidden="1">
              <a:extLst>
                <a:ext uri="{63B3BB69-23CF-44E3-9099-C40C66FF867C}">
                  <a14:compatExt spid="_x0000_s110656"/>
                </a:ext>
                <a:ext uri="{FF2B5EF4-FFF2-40B4-BE49-F238E27FC236}">
                  <a16:creationId xmlns:a16="http://schemas.microsoft.com/office/drawing/2014/main" id="{00000000-0008-0000-1300-000040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39</xdr:row>
          <xdr:rowOff>19050</xdr:rowOff>
        </xdr:from>
        <xdr:to>
          <xdr:col>9</xdr:col>
          <xdr:colOff>561975</xdr:colOff>
          <xdr:row>39</xdr:row>
          <xdr:rowOff>190500</xdr:rowOff>
        </xdr:to>
        <xdr:sp macro="" textlink="">
          <xdr:nvSpPr>
            <xdr:cNvPr id="110657" name="Option Button 65" hidden="1">
              <a:extLst>
                <a:ext uri="{63B3BB69-23CF-44E3-9099-C40C66FF867C}">
                  <a14:compatExt spid="_x0000_s110657"/>
                </a:ext>
                <a:ext uri="{FF2B5EF4-FFF2-40B4-BE49-F238E27FC236}">
                  <a16:creationId xmlns:a16="http://schemas.microsoft.com/office/drawing/2014/main" id="{00000000-0008-0000-1300-00004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39</xdr:row>
          <xdr:rowOff>19050</xdr:rowOff>
        </xdr:from>
        <xdr:to>
          <xdr:col>10</xdr:col>
          <xdr:colOff>552450</xdr:colOff>
          <xdr:row>39</xdr:row>
          <xdr:rowOff>190500</xdr:rowOff>
        </xdr:to>
        <xdr:sp macro="" textlink="">
          <xdr:nvSpPr>
            <xdr:cNvPr id="110658" name="Option Button 66" hidden="1">
              <a:extLst>
                <a:ext uri="{63B3BB69-23CF-44E3-9099-C40C66FF867C}">
                  <a14:compatExt spid="_x0000_s110658"/>
                </a:ext>
                <a:ext uri="{FF2B5EF4-FFF2-40B4-BE49-F238E27FC236}">
                  <a16:creationId xmlns:a16="http://schemas.microsoft.com/office/drawing/2014/main" id="{00000000-0008-0000-1300-00004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5</xdr:row>
          <xdr:rowOff>0</xdr:rowOff>
        </xdr:from>
        <xdr:to>
          <xdr:col>21</xdr:col>
          <xdr:colOff>514350</xdr:colOff>
          <xdr:row>40</xdr:row>
          <xdr:rowOff>9525</xdr:rowOff>
        </xdr:to>
        <xdr:sp macro="" textlink="">
          <xdr:nvSpPr>
            <xdr:cNvPr id="110678" name="TextBox1" hidden="1">
              <a:extLst>
                <a:ext uri="{63B3BB69-23CF-44E3-9099-C40C66FF867C}">
                  <a14:compatExt spid="_x0000_s110678"/>
                </a:ext>
                <a:ext uri="{FF2B5EF4-FFF2-40B4-BE49-F238E27FC236}">
                  <a16:creationId xmlns:a16="http://schemas.microsoft.com/office/drawing/2014/main" id="{00000000-0008-0000-1300-000056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66675</xdr:colOff>
      <xdr:row>0</xdr:row>
      <xdr:rowOff>91441</xdr:rowOff>
    </xdr:from>
    <xdr:to>
      <xdr:col>2</xdr:col>
      <xdr:colOff>304800</xdr:colOff>
      <xdr:row>1</xdr:row>
      <xdr:rowOff>230506</xdr:rowOff>
    </xdr:to>
    <xdr:sp macro="[0]!goto_balance" textlink="">
      <xdr:nvSpPr>
        <xdr:cNvPr id="72" name="Isosceles Triangle 71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SpPr/>
      </xdr:nvSpPr>
      <xdr:spPr>
        <a:xfrm rot="16200000">
          <a:off x="235267" y="65724"/>
          <a:ext cx="329565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392430</xdr:colOff>
      <xdr:row>0</xdr:row>
      <xdr:rowOff>85725</xdr:rowOff>
    </xdr:from>
    <xdr:to>
      <xdr:col>4</xdr:col>
      <xdr:colOff>271103</xdr:colOff>
      <xdr:row>1</xdr:row>
      <xdr:rowOff>233553</xdr:rowOff>
    </xdr:to>
    <xdr:sp macro="[0]!goto_main" textlink="">
      <xdr:nvSpPr>
        <xdr:cNvPr id="73" name="Rectangle 72">
          <a:extLst>
            <a:ext uri="{FF2B5EF4-FFF2-40B4-BE49-F238E27FC236}">
              <a16:creationId xmlns:a16="http://schemas.microsoft.com/office/drawing/2014/main" id="{00000000-0008-0000-1300-000049000000}"/>
            </a:ext>
          </a:extLst>
        </xdr:cNvPr>
        <xdr:cNvSpPr/>
      </xdr:nvSpPr>
      <xdr:spPr>
        <a:xfrm>
          <a:off x="678180" y="85725"/>
          <a:ext cx="1097873" cy="338328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4</xdr:col>
      <xdr:colOff>354127</xdr:colOff>
      <xdr:row>0</xdr:row>
      <xdr:rowOff>94191</xdr:rowOff>
    </xdr:from>
    <xdr:to>
      <xdr:col>5</xdr:col>
      <xdr:colOff>125527</xdr:colOff>
      <xdr:row>1</xdr:row>
      <xdr:rowOff>233256</xdr:rowOff>
    </xdr:to>
    <xdr:sp macro="[0]!goto_AcceptanceTesting" textlink="">
      <xdr:nvSpPr>
        <xdr:cNvPr id="74" name="Isosceles Triangle 73">
          <a:extLst>
            <a:ext uri="{FF2B5EF4-FFF2-40B4-BE49-F238E27FC236}">
              <a16:creationId xmlns:a16="http://schemas.microsoft.com/office/drawing/2014/main" id="{00000000-0008-0000-1300-00004A000000}"/>
            </a:ext>
          </a:extLst>
        </xdr:cNvPr>
        <xdr:cNvSpPr/>
      </xdr:nvSpPr>
      <xdr:spPr>
        <a:xfrm rot="5400000">
          <a:off x="1884794" y="68474"/>
          <a:ext cx="329565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10679" name="Group Box 87" hidden="1">
              <a:extLst>
                <a:ext uri="{63B3BB69-23CF-44E3-9099-C40C66FF867C}">
                  <a14:compatExt spid="_x0000_s110679"/>
                </a:ext>
                <a:ext uri="{FF2B5EF4-FFF2-40B4-BE49-F238E27FC236}">
                  <a16:creationId xmlns:a16="http://schemas.microsoft.com/office/drawing/2014/main" id="{00000000-0008-0000-1300-000057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9525</xdr:rowOff>
        </xdr:from>
        <xdr:to>
          <xdr:col>9</xdr:col>
          <xdr:colOff>561975</xdr:colOff>
          <xdr:row>12</xdr:row>
          <xdr:rowOff>0</xdr:rowOff>
        </xdr:to>
        <xdr:sp macro="" textlink="">
          <xdr:nvSpPr>
            <xdr:cNvPr id="110680" name="Option Button 88" hidden="1">
              <a:extLst>
                <a:ext uri="{63B3BB69-23CF-44E3-9099-C40C66FF867C}">
                  <a14:compatExt spid="_x0000_s110680"/>
                </a:ext>
                <a:ext uri="{FF2B5EF4-FFF2-40B4-BE49-F238E27FC236}">
                  <a16:creationId xmlns:a16="http://schemas.microsoft.com/office/drawing/2014/main" id="{00000000-0008-0000-1300-000058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11</xdr:row>
          <xdr:rowOff>9525</xdr:rowOff>
        </xdr:from>
        <xdr:to>
          <xdr:col>10</xdr:col>
          <xdr:colOff>552450</xdr:colOff>
          <xdr:row>12</xdr:row>
          <xdr:rowOff>0</xdr:rowOff>
        </xdr:to>
        <xdr:sp macro="" textlink="">
          <xdr:nvSpPr>
            <xdr:cNvPr id="110681" name="Option Button 89" hidden="1">
              <a:extLst>
                <a:ext uri="{63B3BB69-23CF-44E3-9099-C40C66FF867C}">
                  <a14:compatExt spid="_x0000_s110681"/>
                </a:ext>
                <a:ext uri="{FF2B5EF4-FFF2-40B4-BE49-F238E27FC236}">
                  <a16:creationId xmlns:a16="http://schemas.microsoft.com/office/drawing/2014/main" id="{00000000-0008-0000-1300-000059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28575</xdr:rowOff>
    </xdr:from>
    <xdr:to>
      <xdr:col>11</xdr:col>
      <xdr:colOff>260402</xdr:colOff>
      <xdr:row>2</xdr:row>
      <xdr:rowOff>122341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2495550" y="28575"/>
          <a:ext cx="1555802" cy="5795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31</xdr:row>
          <xdr:rowOff>19050</xdr:rowOff>
        </xdr:from>
        <xdr:to>
          <xdr:col>26</xdr:col>
          <xdr:colOff>9525</xdr:colOff>
          <xdr:row>38</xdr:row>
          <xdr:rowOff>9525</xdr:rowOff>
        </xdr:to>
        <xdr:sp macro="" textlink="">
          <xdr:nvSpPr>
            <xdr:cNvPr id="62474" name="TextBox1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4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62495" name="Group Box 31" hidden="1">
              <a:extLst>
                <a:ext uri="{63B3BB69-23CF-44E3-9099-C40C66FF867C}">
                  <a14:compatExt spid="_x0000_s62495"/>
                </a:ext>
                <a:ext uri="{FF2B5EF4-FFF2-40B4-BE49-F238E27FC236}">
                  <a16:creationId xmlns:a16="http://schemas.microsoft.com/office/drawing/2014/main" id="{00000000-0008-0000-1400-00001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62496" name="Group Box 32" hidden="1">
              <a:extLst>
                <a:ext uri="{63B3BB69-23CF-44E3-9099-C40C66FF867C}">
                  <a14:compatExt spid="_x0000_s62496"/>
                </a:ext>
                <a:ext uri="{FF2B5EF4-FFF2-40B4-BE49-F238E27FC236}">
                  <a16:creationId xmlns:a16="http://schemas.microsoft.com/office/drawing/2014/main" id="{00000000-0008-0000-1400-00002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62497" name="Group Box 33" hidden="1">
              <a:extLst>
                <a:ext uri="{63B3BB69-23CF-44E3-9099-C40C66FF867C}">
                  <a14:compatExt spid="_x0000_s62497"/>
                </a:ext>
                <a:ext uri="{FF2B5EF4-FFF2-40B4-BE49-F238E27FC236}">
                  <a16:creationId xmlns:a16="http://schemas.microsoft.com/office/drawing/2014/main" id="{00000000-0008-0000-1400-00002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62498" name="Group Box 34" hidden="1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00000000-0008-0000-1400-00002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62499" name="Group Box 35" hidden="1">
              <a:extLst>
                <a:ext uri="{63B3BB69-23CF-44E3-9099-C40C66FF867C}">
                  <a14:compatExt spid="_x0000_s62499"/>
                </a:ext>
                <a:ext uri="{FF2B5EF4-FFF2-40B4-BE49-F238E27FC236}">
                  <a16:creationId xmlns:a16="http://schemas.microsoft.com/office/drawing/2014/main" id="{00000000-0008-0000-1400-00002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62500" name="Group Box 36" hidden="1">
              <a:extLst>
                <a:ext uri="{63B3BB69-23CF-44E3-9099-C40C66FF867C}">
                  <a14:compatExt spid="_x0000_s62500"/>
                </a:ext>
                <a:ext uri="{FF2B5EF4-FFF2-40B4-BE49-F238E27FC236}">
                  <a16:creationId xmlns:a16="http://schemas.microsoft.com/office/drawing/2014/main" id="{00000000-0008-0000-1400-00002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7</xdr:row>
          <xdr:rowOff>19050</xdr:rowOff>
        </xdr:from>
        <xdr:to>
          <xdr:col>13</xdr:col>
          <xdr:colOff>600075</xdr:colOff>
          <xdr:row>7</xdr:row>
          <xdr:rowOff>228600</xdr:rowOff>
        </xdr:to>
        <xdr:sp macro="" textlink="">
          <xdr:nvSpPr>
            <xdr:cNvPr id="62513" name="Option Button 49" hidden="1">
              <a:extLst>
                <a:ext uri="{63B3BB69-23CF-44E3-9099-C40C66FF867C}">
                  <a14:compatExt spid="_x0000_s62513"/>
                </a:ext>
                <a:ext uri="{FF2B5EF4-FFF2-40B4-BE49-F238E27FC236}">
                  <a16:creationId xmlns:a16="http://schemas.microsoft.com/office/drawing/2014/main" id="{00000000-0008-0000-1400-00003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7</xdr:row>
          <xdr:rowOff>19050</xdr:rowOff>
        </xdr:from>
        <xdr:to>
          <xdr:col>14</xdr:col>
          <xdr:colOff>600075</xdr:colOff>
          <xdr:row>7</xdr:row>
          <xdr:rowOff>228600</xdr:rowOff>
        </xdr:to>
        <xdr:sp macro="" textlink="">
          <xdr:nvSpPr>
            <xdr:cNvPr id="62514" name="Option Button 50" hidden="1">
              <a:extLst>
                <a:ext uri="{63B3BB69-23CF-44E3-9099-C40C66FF867C}">
                  <a14:compatExt spid="_x0000_s62514"/>
                </a:ext>
                <a:ext uri="{FF2B5EF4-FFF2-40B4-BE49-F238E27FC236}">
                  <a16:creationId xmlns:a16="http://schemas.microsoft.com/office/drawing/2014/main" id="{00000000-0008-0000-1400-00003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9</xdr:row>
          <xdr:rowOff>19050</xdr:rowOff>
        </xdr:from>
        <xdr:to>
          <xdr:col>13</xdr:col>
          <xdr:colOff>600075</xdr:colOff>
          <xdr:row>9</xdr:row>
          <xdr:rowOff>228600</xdr:rowOff>
        </xdr:to>
        <xdr:sp macro="" textlink="">
          <xdr:nvSpPr>
            <xdr:cNvPr id="62515" name="Option Button 51" hidden="1">
              <a:extLst>
                <a:ext uri="{63B3BB69-23CF-44E3-9099-C40C66FF867C}">
                  <a14:compatExt spid="_x0000_s62515"/>
                </a:ext>
                <a:ext uri="{FF2B5EF4-FFF2-40B4-BE49-F238E27FC236}">
                  <a16:creationId xmlns:a16="http://schemas.microsoft.com/office/drawing/2014/main" id="{00000000-0008-0000-1400-00003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9</xdr:row>
          <xdr:rowOff>19050</xdr:rowOff>
        </xdr:from>
        <xdr:to>
          <xdr:col>14</xdr:col>
          <xdr:colOff>600075</xdr:colOff>
          <xdr:row>9</xdr:row>
          <xdr:rowOff>228600</xdr:rowOff>
        </xdr:to>
        <xdr:sp macro="" textlink="">
          <xdr:nvSpPr>
            <xdr:cNvPr id="62516" name="Option Button 52" hidden="1">
              <a:extLst>
                <a:ext uri="{63B3BB69-23CF-44E3-9099-C40C66FF867C}">
                  <a14:compatExt spid="_x0000_s62516"/>
                </a:ext>
                <a:ext uri="{FF2B5EF4-FFF2-40B4-BE49-F238E27FC236}">
                  <a16:creationId xmlns:a16="http://schemas.microsoft.com/office/drawing/2014/main" id="{00000000-0008-0000-1400-00003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11</xdr:row>
          <xdr:rowOff>19050</xdr:rowOff>
        </xdr:from>
        <xdr:to>
          <xdr:col>13</xdr:col>
          <xdr:colOff>600075</xdr:colOff>
          <xdr:row>11</xdr:row>
          <xdr:rowOff>228600</xdr:rowOff>
        </xdr:to>
        <xdr:sp macro="" textlink="">
          <xdr:nvSpPr>
            <xdr:cNvPr id="62517" name="Option Button 53" hidden="1">
              <a:extLst>
                <a:ext uri="{63B3BB69-23CF-44E3-9099-C40C66FF867C}">
                  <a14:compatExt spid="_x0000_s62517"/>
                </a:ext>
                <a:ext uri="{FF2B5EF4-FFF2-40B4-BE49-F238E27FC236}">
                  <a16:creationId xmlns:a16="http://schemas.microsoft.com/office/drawing/2014/main" id="{00000000-0008-0000-1400-00003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11</xdr:row>
          <xdr:rowOff>19050</xdr:rowOff>
        </xdr:from>
        <xdr:to>
          <xdr:col>14</xdr:col>
          <xdr:colOff>600075</xdr:colOff>
          <xdr:row>11</xdr:row>
          <xdr:rowOff>228600</xdr:rowOff>
        </xdr:to>
        <xdr:sp macro="" textlink="">
          <xdr:nvSpPr>
            <xdr:cNvPr id="62518" name="Option Button 54" hidden="1">
              <a:extLst>
                <a:ext uri="{63B3BB69-23CF-44E3-9099-C40C66FF867C}">
                  <a14:compatExt spid="_x0000_s62518"/>
                </a:ext>
                <a:ext uri="{FF2B5EF4-FFF2-40B4-BE49-F238E27FC236}">
                  <a16:creationId xmlns:a16="http://schemas.microsoft.com/office/drawing/2014/main" id="{00000000-0008-0000-1400-00003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13</xdr:row>
          <xdr:rowOff>19050</xdr:rowOff>
        </xdr:from>
        <xdr:to>
          <xdr:col>13</xdr:col>
          <xdr:colOff>600075</xdr:colOff>
          <xdr:row>13</xdr:row>
          <xdr:rowOff>228600</xdr:rowOff>
        </xdr:to>
        <xdr:sp macro="" textlink="">
          <xdr:nvSpPr>
            <xdr:cNvPr id="62519" name="Option Button 55" hidden="1">
              <a:extLst>
                <a:ext uri="{63B3BB69-23CF-44E3-9099-C40C66FF867C}">
                  <a14:compatExt spid="_x0000_s62519"/>
                </a:ext>
                <a:ext uri="{FF2B5EF4-FFF2-40B4-BE49-F238E27FC236}">
                  <a16:creationId xmlns:a16="http://schemas.microsoft.com/office/drawing/2014/main" id="{00000000-0008-0000-1400-00003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13</xdr:row>
          <xdr:rowOff>19050</xdr:rowOff>
        </xdr:from>
        <xdr:to>
          <xdr:col>14</xdr:col>
          <xdr:colOff>600075</xdr:colOff>
          <xdr:row>13</xdr:row>
          <xdr:rowOff>228600</xdr:rowOff>
        </xdr:to>
        <xdr:sp macro="" textlink="">
          <xdr:nvSpPr>
            <xdr:cNvPr id="62520" name="Option Button 56" hidden="1">
              <a:extLst>
                <a:ext uri="{63B3BB69-23CF-44E3-9099-C40C66FF867C}">
                  <a14:compatExt spid="_x0000_s62520"/>
                </a:ext>
                <a:ext uri="{FF2B5EF4-FFF2-40B4-BE49-F238E27FC236}">
                  <a16:creationId xmlns:a16="http://schemas.microsoft.com/office/drawing/2014/main" id="{00000000-0008-0000-1400-00003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15</xdr:row>
          <xdr:rowOff>19050</xdr:rowOff>
        </xdr:from>
        <xdr:to>
          <xdr:col>13</xdr:col>
          <xdr:colOff>600075</xdr:colOff>
          <xdr:row>15</xdr:row>
          <xdr:rowOff>228600</xdr:rowOff>
        </xdr:to>
        <xdr:sp macro="" textlink="">
          <xdr:nvSpPr>
            <xdr:cNvPr id="62521" name="Option Button 57" hidden="1">
              <a:extLst>
                <a:ext uri="{63B3BB69-23CF-44E3-9099-C40C66FF867C}">
                  <a14:compatExt spid="_x0000_s62521"/>
                </a:ext>
                <a:ext uri="{FF2B5EF4-FFF2-40B4-BE49-F238E27FC236}">
                  <a16:creationId xmlns:a16="http://schemas.microsoft.com/office/drawing/2014/main" id="{00000000-0008-0000-1400-00003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15</xdr:row>
          <xdr:rowOff>19050</xdr:rowOff>
        </xdr:from>
        <xdr:to>
          <xdr:col>14</xdr:col>
          <xdr:colOff>600075</xdr:colOff>
          <xdr:row>15</xdr:row>
          <xdr:rowOff>228600</xdr:rowOff>
        </xdr:to>
        <xdr:sp macro="" textlink="">
          <xdr:nvSpPr>
            <xdr:cNvPr id="62522" name="Option Button 58" hidden="1">
              <a:extLst>
                <a:ext uri="{63B3BB69-23CF-44E3-9099-C40C66FF867C}">
                  <a14:compatExt spid="_x0000_s62522"/>
                </a:ext>
                <a:ext uri="{FF2B5EF4-FFF2-40B4-BE49-F238E27FC236}">
                  <a16:creationId xmlns:a16="http://schemas.microsoft.com/office/drawing/2014/main" id="{00000000-0008-0000-1400-00003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17</xdr:row>
          <xdr:rowOff>19050</xdr:rowOff>
        </xdr:from>
        <xdr:to>
          <xdr:col>13</xdr:col>
          <xdr:colOff>600075</xdr:colOff>
          <xdr:row>17</xdr:row>
          <xdr:rowOff>228600</xdr:rowOff>
        </xdr:to>
        <xdr:sp macro="" textlink="">
          <xdr:nvSpPr>
            <xdr:cNvPr id="62523" name="Option Button 59" hidden="1">
              <a:extLst>
                <a:ext uri="{63B3BB69-23CF-44E3-9099-C40C66FF867C}">
                  <a14:compatExt spid="_x0000_s62523"/>
                </a:ext>
                <a:ext uri="{FF2B5EF4-FFF2-40B4-BE49-F238E27FC236}">
                  <a16:creationId xmlns:a16="http://schemas.microsoft.com/office/drawing/2014/main" id="{00000000-0008-0000-1400-00003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17</xdr:row>
          <xdr:rowOff>19050</xdr:rowOff>
        </xdr:from>
        <xdr:to>
          <xdr:col>14</xdr:col>
          <xdr:colOff>600075</xdr:colOff>
          <xdr:row>17</xdr:row>
          <xdr:rowOff>228600</xdr:rowOff>
        </xdr:to>
        <xdr:sp macro="" textlink="">
          <xdr:nvSpPr>
            <xdr:cNvPr id="62524" name="Option Button 60" hidden="1">
              <a:extLst>
                <a:ext uri="{63B3BB69-23CF-44E3-9099-C40C66FF867C}">
                  <a14:compatExt spid="_x0000_s62524"/>
                </a:ext>
                <a:ext uri="{FF2B5EF4-FFF2-40B4-BE49-F238E27FC236}">
                  <a16:creationId xmlns:a16="http://schemas.microsoft.com/office/drawing/2014/main" id="{00000000-0008-0000-1400-00003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21</xdr:row>
          <xdr:rowOff>28575</xdr:rowOff>
        </xdr:from>
        <xdr:to>
          <xdr:col>11</xdr:col>
          <xdr:colOff>352425</xdr:colOff>
          <xdr:row>22</xdr:row>
          <xdr:rowOff>0</xdr:rowOff>
        </xdr:to>
        <xdr:sp macro="" textlink="">
          <xdr:nvSpPr>
            <xdr:cNvPr id="62532" name="Check Box 68" hidden="1">
              <a:extLst>
                <a:ext uri="{63B3BB69-23CF-44E3-9099-C40C66FF867C}">
                  <a14:compatExt spid="_x0000_s62532"/>
                </a:ext>
                <a:ext uri="{FF2B5EF4-FFF2-40B4-BE49-F238E27FC236}">
                  <a16:creationId xmlns:a16="http://schemas.microsoft.com/office/drawing/2014/main" id="{00000000-0008-0000-1400-00004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if ran with load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238125</xdr:colOff>
          <xdr:row>33</xdr:row>
          <xdr:rowOff>47625</xdr:rowOff>
        </xdr:from>
        <xdr:to>
          <xdr:col>36</xdr:col>
          <xdr:colOff>400050</xdr:colOff>
          <xdr:row>37</xdr:row>
          <xdr:rowOff>76200</xdr:rowOff>
        </xdr:to>
        <xdr:sp macro="" textlink="">
          <xdr:nvSpPr>
            <xdr:cNvPr id="62533" name="Group Box 69" hidden="1">
              <a:extLst>
                <a:ext uri="{63B3BB69-23CF-44E3-9099-C40C66FF867C}">
                  <a14:compatExt spid="_x0000_s62533"/>
                </a:ext>
                <a:ext uri="{FF2B5EF4-FFF2-40B4-BE49-F238E27FC236}">
                  <a16:creationId xmlns:a16="http://schemas.microsoft.com/office/drawing/2014/main" id="{00000000-0008-0000-1400-00004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323850</xdr:colOff>
          <xdr:row>33</xdr:row>
          <xdr:rowOff>66675</xdr:rowOff>
        </xdr:from>
        <xdr:to>
          <xdr:col>36</xdr:col>
          <xdr:colOff>323850</xdr:colOff>
          <xdr:row>34</xdr:row>
          <xdr:rowOff>19050</xdr:rowOff>
        </xdr:to>
        <xdr:sp macro="" textlink="">
          <xdr:nvSpPr>
            <xdr:cNvPr id="62534" name="Option Button 70" hidden="1">
              <a:extLst>
                <a:ext uri="{63B3BB69-23CF-44E3-9099-C40C66FF867C}">
                  <a14:compatExt spid="_x0000_s62534"/>
                </a:ext>
                <a:ext uri="{FF2B5EF4-FFF2-40B4-BE49-F238E27FC236}">
                  <a16:creationId xmlns:a16="http://schemas.microsoft.com/office/drawing/2014/main" id="{00000000-0008-0000-1400-00004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On-Shaft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323850</xdr:colOff>
          <xdr:row>33</xdr:row>
          <xdr:rowOff>257175</xdr:rowOff>
        </xdr:from>
        <xdr:to>
          <xdr:col>36</xdr:col>
          <xdr:colOff>295275</xdr:colOff>
          <xdr:row>35</xdr:row>
          <xdr:rowOff>161925</xdr:rowOff>
        </xdr:to>
        <xdr:sp macro="" textlink="">
          <xdr:nvSpPr>
            <xdr:cNvPr id="62535" name="Option Button 71" hidden="1">
              <a:extLst>
                <a:ext uri="{63B3BB69-23CF-44E3-9099-C40C66FF867C}">
                  <a14:compatExt spid="_x0000_s62535"/>
                </a:ext>
                <a:ext uri="{FF2B5EF4-FFF2-40B4-BE49-F238E27FC236}">
                  <a16:creationId xmlns:a16="http://schemas.microsoft.com/office/drawing/2014/main" id="{00000000-0008-0000-1400-00004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Off-Shaft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323850</xdr:colOff>
          <xdr:row>35</xdr:row>
          <xdr:rowOff>104775</xdr:rowOff>
        </xdr:from>
        <xdr:to>
          <xdr:col>36</xdr:col>
          <xdr:colOff>171450</xdr:colOff>
          <xdr:row>37</xdr:row>
          <xdr:rowOff>57150</xdr:rowOff>
        </xdr:to>
        <xdr:sp macro="" textlink="">
          <xdr:nvSpPr>
            <xdr:cNvPr id="62537" name="Option Button 73" hidden="1">
              <a:extLst>
                <a:ext uri="{63B3BB69-23CF-44E3-9099-C40C66FF867C}">
                  <a14:compatExt spid="_x0000_s62537"/>
                </a:ext>
                <a:ext uri="{FF2B5EF4-FFF2-40B4-BE49-F238E27FC236}">
                  <a16:creationId xmlns:a16="http://schemas.microsoft.com/office/drawing/2014/main" id="{00000000-0008-0000-1400-00004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Flush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66675</xdr:colOff>
      <xdr:row>0</xdr:row>
      <xdr:rowOff>91441</xdr:rowOff>
    </xdr:from>
    <xdr:to>
      <xdr:col>2</xdr:col>
      <xdr:colOff>304800</xdr:colOff>
      <xdr:row>1</xdr:row>
      <xdr:rowOff>230506</xdr:rowOff>
    </xdr:to>
    <xdr:sp macro="[0]!goto_assemblychecklist" textlink="">
      <xdr:nvSpPr>
        <xdr:cNvPr id="31" name="Isosceles Triangle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SpPr/>
      </xdr:nvSpPr>
      <xdr:spPr>
        <a:xfrm rot="16200000">
          <a:off x="235267" y="65724"/>
          <a:ext cx="329565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392430</xdr:colOff>
      <xdr:row>0</xdr:row>
      <xdr:rowOff>85725</xdr:rowOff>
    </xdr:from>
    <xdr:to>
      <xdr:col>5</xdr:col>
      <xdr:colOff>175853</xdr:colOff>
      <xdr:row>1</xdr:row>
      <xdr:rowOff>233553</xdr:rowOff>
    </xdr:to>
    <xdr:sp macro="[0]!goto_main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SpPr/>
      </xdr:nvSpPr>
      <xdr:spPr>
        <a:xfrm>
          <a:off x="678180" y="85725"/>
          <a:ext cx="1097873" cy="338328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5</xdr:col>
      <xdr:colOff>258877</xdr:colOff>
      <xdr:row>0</xdr:row>
      <xdr:rowOff>94191</xdr:rowOff>
    </xdr:from>
    <xdr:to>
      <xdr:col>6</xdr:col>
      <xdr:colOff>30277</xdr:colOff>
      <xdr:row>1</xdr:row>
      <xdr:rowOff>233256</xdr:rowOff>
    </xdr:to>
    <xdr:sp macro="[0]!goto_QAChecklist" textlink="">
      <xdr:nvSpPr>
        <xdr:cNvPr id="33" name="Isosceles Triangle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SpPr/>
      </xdr:nvSpPr>
      <xdr:spPr>
        <a:xfrm rot="5400000">
          <a:off x="1884794" y="68474"/>
          <a:ext cx="329565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103429" name="Group Box 5" hidden="1">
              <a:extLst>
                <a:ext uri="{63B3BB69-23CF-44E3-9099-C40C66FF867C}">
                  <a14:compatExt spid="_x0000_s103429"/>
                </a:ext>
                <a:ext uri="{FF2B5EF4-FFF2-40B4-BE49-F238E27FC236}">
                  <a16:creationId xmlns:a16="http://schemas.microsoft.com/office/drawing/2014/main" id="{00000000-0008-0000-1500-00000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103430" name="Group Box 6" hidden="1">
              <a:extLst>
                <a:ext uri="{63B3BB69-23CF-44E3-9099-C40C66FF867C}">
                  <a14:compatExt spid="_x0000_s103430"/>
                </a:ext>
                <a:ext uri="{FF2B5EF4-FFF2-40B4-BE49-F238E27FC236}">
                  <a16:creationId xmlns:a16="http://schemas.microsoft.com/office/drawing/2014/main" id="{00000000-0008-0000-1500-000006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03431" name="Group Box 7" hidden="1">
              <a:extLst>
                <a:ext uri="{63B3BB69-23CF-44E3-9099-C40C66FF867C}">
                  <a14:compatExt spid="_x0000_s103431"/>
                </a:ext>
                <a:ext uri="{FF2B5EF4-FFF2-40B4-BE49-F238E27FC236}">
                  <a16:creationId xmlns:a16="http://schemas.microsoft.com/office/drawing/2014/main" id="{00000000-0008-0000-1500-000007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103432" name="Group Box 8" hidden="1">
              <a:extLst>
                <a:ext uri="{63B3BB69-23CF-44E3-9099-C40C66FF867C}">
                  <a14:compatExt spid="_x0000_s103432"/>
                </a:ext>
                <a:ext uri="{FF2B5EF4-FFF2-40B4-BE49-F238E27FC236}">
                  <a16:creationId xmlns:a16="http://schemas.microsoft.com/office/drawing/2014/main" id="{00000000-0008-0000-1500-00000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03433" name="Group Box 9" hidden="1">
              <a:extLst>
                <a:ext uri="{63B3BB69-23CF-44E3-9099-C40C66FF867C}">
                  <a14:compatExt spid="_x0000_s103433"/>
                </a:ext>
                <a:ext uri="{FF2B5EF4-FFF2-40B4-BE49-F238E27FC236}">
                  <a16:creationId xmlns:a16="http://schemas.microsoft.com/office/drawing/2014/main" id="{00000000-0008-0000-1500-00000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103434" name="Group Box 10" hidden="1">
              <a:extLst>
                <a:ext uri="{63B3BB69-23CF-44E3-9099-C40C66FF867C}">
                  <a14:compatExt spid="_x0000_s103434"/>
                </a:ext>
                <a:ext uri="{FF2B5EF4-FFF2-40B4-BE49-F238E27FC236}">
                  <a16:creationId xmlns:a16="http://schemas.microsoft.com/office/drawing/2014/main" id="{00000000-0008-0000-1500-00000A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103435" name="Group Box 11" hidden="1">
              <a:extLst>
                <a:ext uri="{63B3BB69-23CF-44E3-9099-C40C66FF867C}">
                  <a14:compatExt spid="_x0000_s103435"/>
                </a:ext>
                <a:ext uri="{FF2B5EF4-FFF2-40B4-BE49-F238E27FC236}">
                  <a16:creationId xmlns:a16="http://schemas.microsoft.com/office/drawing/2014/main" id="{00000000-0008-0000-1500-00000B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103436" name="Group Box 12" hidden="1">
              <a:extLst>
                <a:ext uri="{63B3BB69-23CF-44E3-9099-C40C66FF867C}">
                  <a14:compatExt spid="_x0000_s103436"/>
                </a:ext>
                <a:ext uri="{FF2B5EF4-FFF2-40B4-BE49-F238E27FC236}">
                  <a16:creationId xmlns:a16="http://schemas.microsoft.com/office/drawing/2014/main" id="{00000000-0008-0000-1500-00000C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103438" name="Group Box 14" hidden="1">
              <a:extLst>
                <a:ext uri="{63B3BB69-23CF-44E3-9099-C40C66FF867C}">
                  <a14:compatExt spid="_x0000_s103438"/>
                </a:ext>
                <a:ext uri="{FF2B5EF4-FFF2-40B4-BE49-F238E27FC236}">
                  <a16:creationId xmlns:a16="http://schemas.microsoft.com/office/drawing/2014/main" id="{00000000-0008-0000-1500-00000E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103439" name="Group Box 15" hidden="1">
              <a:extLst>
                <a:ext uri="{63B3BB69-23CF-44E3-9099-C40C66FF867C}">
                  <a14:compatExt spid="_x0000_s103439"/>
                </a:ext>
                <a:ext uri="{FF2B5EF4-FFF2-40B4-BE49-F238E27FC236}">
                  <a16:creationId xmlns:a16="http://schemas.microsoft.com/office/drawing/2014/main" id="{00000000-0008-0000-1500-00000F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103440" name="Group Box 16" hidden="1">
              <a:extLst>
                <a:ext uri="{63B3BB69-23CF-44E3-9099-C40C66FF867C}">
                  <a14:compatExt spid="_x0000_s103440"/>
                </a:ext>
                <a:ext uri="{FF2B5EF4-FFF2-40B4-BE49-F238E27FC236}">
                  <a16:creationId xmlns:a16="http://schemas.microsoft.com/office/drawing/2014/main" id="{00000000-0008-0000-1500-000010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0</xdr:rowOff>
        </xdr:from>
        <xdr:to>
          <xdr:col>11</xdr:col>
          <xdr:colOff>0</xdr:colOff>
          <xdr:row>50</xdr:row>
          <xdr:rowOff>0</xdr:rowOff>
        </xdr:to>
        <xdr:sp macro="" textlink="">
          <xdr:nvSpPr>
            <xdr:cNvPr id="103441" name="Group Box 17" hidden="1">
              <a:extLst>
                <a:ext uri="{63B3BB69-23CF-44E3-9099-C40C66FF867C}">
                  <a14:compatExt spid="_x0000_s103441"/>
                </a:ext>
                <a:ext uri="{FF2B5EF4-FFF2-40B4-BE49-F238E27FC236}">
                  <a16:creationId xmlns:a16="http://schemas.microsoft.com/office/drawing/2014/main" id="{00000000-0008-0000-1500-00001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103442" name="Group Box 18" hidden="1">
              <a:extLst>
                <a:ext uri="{63B3BB69-23CF-44E3-9099-C40C66FF867C}">
                  <a14:compatExt spid="_x0000_s103442"/>
                </a:ext>
                <a:ext uri="{FF2B5EF4-FFF2-40B4-BE49-F238E27FC236}">
                  <a16:creationId xmlns:a16="http://schemas.microsoft.com/office/drawing/2014/main" id="{00000000-0008-0000-1500-00001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0</xdr:rowOff>
        </xdr:from>
        <xdr:to>
          <xdr:col>11</xdr:col>
          <xdr:colOff>0</xdr:colOff>
          <xdr:row>54</xdr:row>
          <xdr:rowOff>0</xdr:rowOff>
        </xdr:to>
        <xdr:sp macro="" textlink="">
          <xdr:nvSpPr>
            <xdr:cNvPr id="103443" name="Group Box 19" hidden="1">
              <a:extLst>
                <a:ext uri="{63B3BB69-23CF-44E3-9099-C40C66FF867C}">
                  <a14:compatExt spid="_x0000_s103443"/>
                </a:ext>
                <a:ext uri="{FF2B5EF4-FFF2-40B4-BE49-F238E27FC236}">
                  <a16:creationId xmlns:a16="http://schemas.microsoft.com/office/drawing/2014/main" id="{00000000-0008-0000-1500-00001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0</xdr:rowOff>
        </xdr:from>
        <xdr:to>
          <xdr:col>11</xdr:col>
          <xdr:colOff>0</xdr:colOff>
          <xdr:row>56</xdr:row>
          <xdr:rowOff>0</xdr:rowOff>
        </xdr:to>
        <xdr:sp macro="" textlink="">
          <xdr:nvSpPr>
            <xdr:cNvPr id="103444" name="Group Box 20" hidden="1">
              <a:extLst>
                <a:ext uri="{63B3BB69-23CF-44E3-9099-C40C66FF867C}">
                  <a14:compatExt spid="_x0000_s103444"/>
                </a:ext>
                <a:ext uri="{FF2B5EF4-FFF2-40B4-BE49-F238E27FC236}">
                  <a16:creationId xmlns:a16="http://schemas.microsoft.com/office/drawing/2014/main" id="{00000000-0008-0000-1500-00001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47625</xdr:rowOff>
        </xdr:from>
        <xdr:to>
          <xdr:col>11</xdr:col>
          <xdr:colOff>0</xdr:colOff>
          <xdr:row>58</xdr:row>
          <xdr:rowOff>0</xdr:rowOff>
        </xdr:to>
        <xdr:sp macro="" textlink="">
          <xdr:nvSpPr>
            <xdr:cNvPr id="103445" name="Group Box 21" hidden="1">
              <a:extLst>
                <a:ext uri="{63B3BB69-23CF-44E3-9099-C40C66FF867C}">
                  <a14:compatExt spid="_x0000_s103445"/>
                </a:ext>
                <a:ext uri="{FF2B5EF4-FFF2-40B4-BE49-F238E27FC236}">
                  <a16:creationId xmlns:a16="http://schemas.microsoft.com/office/drawing/2014/main" id="{00000000-0008-0000-1500-00001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59</xdr:row>
          <xdr:rowOff>0</xdr:rowOff>
        </xdr:from>
        <xdr:to>
          <xdr:col>11</xdr:col>
          <xdr:colOff>0</xdr:colOff>
          <xdr:row>60</xdr:row>
          <xdr:rowOff>0</xdr:rowOff>
        </xdr:to>
        <xdr:sp macro="" textlink="">
          <xdr:nvSpPr>
            <xdr:cNvPr id="103446" name="Group Box 22" hidden="1">
              <a:extLst>
                <a:ext uri="{63B3BB69-23CF-44E3-9099-C40C66FF867C}">
                  <a14:compatExt spid="_x0000_s103446"/>
                </a:ext>
                <a:ext uri="{FF2B5EF4-FFF2-40B4-BE49-F238E27FC236}">
                  <a16:creationId xmlns:a16="http://schemas.microsoft.com/office/drawing/2014/main" id="{00000000-0008-0000-1500-000016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0</xdr:rowOff>
        </xdr:from>
        <xdr:to>
          <xdr:col>11</xdr:col>
          <xdr:colOff>0</xdr:colOff>
          <xdr:row>62</xdr:row>
          <xdr:rowOff>0</xdr:rowOff>
        </xdr:to>
        <xdr:sp macro="" textlink="">
          <xdr:nvSpPr>
            <xdr:cNvPr id="103447" name="Group Box 23" hidden="1">
              <a:extLst>
                <a:ext uri="{63B3BB69-23CF-44E3-9099-C40C66FF867C}">
                  <a14:compatExt spid="_x0000_s103447"/>
                </a:ext>
                <a:ext uri="{FF2B5EF4-FFF2-40B4-BE49-F238E27FC236}">
                  <a16:creationId xmlns:a16="http://schemas.microsoft.com/office/drawing/2014/main" id="{00000000-0008-0000-1500-000017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63</xdr:row>
          <xdr:rowOff>0</xdr:rowOff>
        </xdr:from>
        <xdr:to>
          <xdr:col>11</xdr:col>
          <xdr:colOff>0</xdr:colOff>
          <xdr:row>64</xdr:row>
          <xdr:rowOff>0</xdr:rowOff>
        </xdr:to>
        <xdr:sp macro="" textlink="">
          <xdr:nvSpPr>
            <xdr:cNvPr id="103448" name="Group Box 24" hidden="1">
              <a:extLst>
                <a:ext uri="{63B3BB69-23CF-44E3-9099-C40C66FF867C}">
                  <a14:compatExt spid="_x0000_s103448"/>
                </a:ext>
                <a:ext uri="{FF2B5EF4-FFF2-40B4-BE49-F238E27FC236}">
                  <a16:creationId xmlns:a16="http://schemas.microsoft.com/office/drawing/2014/main" id="{00000000-0008-0000-1500-00001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65</xdr:row>
          <xdr:rowOff>0</xdr:rowOff>
        </xdr:from>
        <xdr:to>
          <xdr:col>11</xdr:col>
          <xdr:colOff>0</xdr:colOff>
          <xdr:row>66</xdr:row>
          <xdr:rowOff>0</xdr:rowOff>
        </xdr:to>
        <xdr:sp macro="" textlink="">
          <xdr:nvSpPr>
            <xdr:cNvPr id="103449" name="Group Box 25" hidden="1">
              <a:extLst>
                <a:ext uri="{63B3BB69-23CF-44E3-9099-C40C66FF867C}">
                  <a14:compatExt spid="_x0000_s103449"/>
                </a:ext>
                <a:ext uri="{FF2B5EF4-FFF2-40B4-BE49-F238E27FC236}">
                  <a16:creationId xmlns:a16="http://schemas.microsoft.com/office/drawing/2014/main" id="{00000000-0008-0000-1500-00001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67</xdr:row>
          <xdr:rowOff>0</xdr:rowOff>
        </xdr:from>
        <xdr:to>
          <xdr:col>11</xdr:col>
          <xdr:colOff>0</xdr:colOff>
          <xdr:row>68</xdr:row>
          <xdr:rowOff>0</xdr:rowOff>
        </xdr:to>
        <xdr:sp macro="" textlink="">
          <xdr:nvSpPr>
            <xdr:cNvPr id="103450" name="Group Box 26" hidden="1">
              <a:extLst>
                <a:ext uri="{63B3BB69-23CF-44E3-9099-C40C66FF867C}">
                  <a14:compatExt spid="_x0000_s103450"/>
                </a:ext>
                <a:ext uri="{FF2B5EF4-FFF2-40B4-BE49-F238E27FC236}">
                  <a16:creationId xmlns:a16="http://schemas.microsoft.com/office/drawing/2014/main" id="{00000000-0008-0000-1500-00001A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69</xdr:row>
          <xdr:rowOff>0</xdr:rowOff>
        </xdr:from>
        <xdr:to>
          <xdr:col>11</xdr:col>
          <xdr:colOff>0</xdr:colOff>
          <xdr:row>70</xdr:row>
          <xdr:rowOff>0</xdr:rowOff>
        </xdr:to>
        <xdr:sp macro="" textlink="">
          <xdr:nvSpPr>
            <xdr:cNvPr id="103451" name="Group Box 27" hidden="1">
              <a:extLst>
                <a:ext uri="{63B3BB69-23CF-44E3-9099-C40C66FF867C}">
                  <a14:compatExt spid="_x0000_s103451"/>
                </a:ext>
                <a:ext uri="{FF2B5EF4-FFF2-40B4-BE49-F238E27FC236}">
                  <a16:creationId xmlns:a16="http://schemas.microsoft.com/office/drawing/2014/main" id="{00000000-0008-0000-1500-00001B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71</xdr:row>
          <xdr:rowOff>0</xdr:rowOff>
        </xdr:from>
        <xdr:to>
          <xdr:col>11</xdr:col>
          <xdr:colOff>0</xdr:colOff>
          <xdr:row>72</xdr:row>
          <xdr:rowOff>0</xdr:rowOff>
        </xdr:to>
        <xdr:sp macro="" textlink="">
          <xdr:nvSpPr>
            <xdr:cNvPr id="103452" name="Group Box 28" hidden="1">
              <a:extLst>
                <a:ext uri="{63B3BB69-23CF-44E3-9099-C40C66FF867C}">
                  <a14:compatExt spid="_x0000_s103452"/>
                </a:ext>
                <a:ext uri="{FF2B5EF4-FFF2-40B4-BE49-F238E27FC236}">
                  <a16:creationId xmlns:a16="http://schemas.microsoft.com/office/drawing/2014/main" id="{00000000-0008-0000-1500-00001C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72</xdr:row>
          <xdr:rowOff>47625</xdr:rowOff>
        </xdr:from>
        <xdr:to>
          <xdr:col>11</xdr:col>
          <xdr:colOff>0</xdr:colOff>
          <xdr:row>74</xdr:row>
          <xdr:rowOff>0</xdr:rowOff>
        </xdr:to>
        <xdr:sp macro="" textlink="">
          <xdr:nvSpPr>
            <xdr:cNvPr id="103453" name="Group Box 29" hidden="1">
              <a:extLst>
                <a:ext uri="{63B3BB69-23CF-44E3-9099-C40C66FF867C}">
                  <a14:compatExt spid="_x0000_s103453"/>
                </a:ext>
                <a:ext uri="{FF2B5EF4-FFF2-40B4-BE49-F238E27FC236}">
                  <a16:creationId xmlns:a16="http://schemas.microsoft.com/office/drawing/2014/main" id="{00000000-0008-0000-1500-00001D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9525</xdr:rowOff>
        </xdr:from>
        <xdr:to>
          <xdr:col>9</xdr:col>
          <xdr:colOff>561975</xdr:colOff>
          <xdr:row>28</xdr:row>
          <xdr:rowOff>0</xdr:rowOff>
        </xdr:to>
        <xdr:sp macro="" textlink="">
          <xdr:nvSpPr>
            <xdr:cNvPr id="103459" name="Option Button 35" hidden="1">
              <a:extLst>
                <a:ext uri="{63B3BB69-23CF-44E3-9099-C40C66FF867C}">
                  <a14:compatExt spid="_x0000_s103459"/>
                </a:ext>
                <a:ext uri="{FF2B5EF4-FFF2-40B4-BE49-F238E27FC236}">
                  <a16:creationId xmlns:a16="http://schemas.microsoft.com/office/drawing/2014/main" id="{00000000-0008-0000-1500-00002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9525</xdr:rowOff>
        </xdr:from>
        <xdr:to>
          <xdr:col>9</xdr:col>
          <xdr:colOff>561975</xdr:colOff>
          <xdr:row>9</xdr:row>
          <xdr:rowOff>238125</xdr:rowOff>
        </xdr:to>
        <xdr:sp macro="" textlink="">
          <xdr:nvSpPr>
            <xdr:cNvPr id="103460" name="Option Button 36" hidden="1">
              <a:extLst>
                <a:ext uri="{63B3BB69-23CF-44E3-9099-C40C66FF867C}">
                  <a14:compatExt spid="_x0000_s103460"/>
                </a:ext>
                <a:ext uri="{FF2B5EF4-FFF2-40B4-BE49-F238E27FC236}">
                  <a16:creationId xmlns:a16="http://schemas.microsoft.com/office/drawing/2014/main" id="{00000000-0008-0000-1500-00002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9525</xdr:rowOff>
        </xdr:from>
        <xdr:to>
          <xdr:col>9</xdr:col>
          <xdr:colOff>561975</xdr:colOff>
          <xdr:row>11</xdr:row>
          <xdr:rowOff>238125</xdr:rowOff>
        </xdr:to>
        <xdr:sp macro="" textlink="">
          <xdr:nvSpPr>
            <xdr:cNvPr id="103461" name="Option Button 37" hidden="1">
              <a:extLst>
                <a:ext uri="{63B3BB69-23CF-44E3-9099-C40C66FF867C}">
                  <a14:compatExt spid="_x0000_s103461"/>
                </a:ext>
                <a:ext uri="{FF2B5EF4-FFF2-40B4-BE49-F238E27FC236}">
                  <a16:creationId xmlns:a16="http://schemas.microsoft.com/office/drawing/2014/main" id="{00000000-0008-0000-1500-00002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9525</xdr:rowOff>
        </xdr:from>
        <xdr:to>
          <xdr:col>9</xdr:col>
          <xdr:colOff>561975</xdr:colOff>
          <xdr:row>13</xdr:row>
          <xdr:rowOff>238125</xdr:rowOff>
        </xdr:to>
        <xdr:sp macro="" textlink="">
          <xdr:nvSpPr>
            <xdr:cNvPr id="103462" name="Option Button 38" hidden="1">
              <a:extLst>
                <a:ext uri="{63B3BB69-23CF-44E3-9099-C40C66FF867C}">
                  <a14:compatExt spid="_x0000_s103462"/>
                </a:ext>
                <a:ext uri="{FF2B5EF4-FFF2-40B4-BE49-F238E27FC236}">
                  <a16:creationId xmlns:a16="http://schemas.microsoft.com/office/drawing/2014/main" id="{00000000-0008-0000-1500-000026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9525</xdr:rowOff>
        </xdr:from>
        <xdr:to>
          <xdr:col>9</xdr:col>
          <xdr:colOff>561975</xdr:colOff>
          <xdr:row>15</xdr:row>
          <xdr:rowOff>238125</xdr:rowOff>
        </xdr:to>
        <xdr:sp macro="" textlink="">
          <xdr:nvSpPr>
            <xdr:cNvPr id="103463" name="Option Button 39" hidden="1">
              <a:extLst>
                <a:ext uri="{63B3BB69-23CF-44E3-9099-C40C66FF867C}">
                  <a14:compatExt spid="_x0000_s103463"/>
                </a:ext>
                <a:ext uri="{FF2B5EF4-FFF2-40B4-BE49-F238E27FC236}">
                  <a16:creationId xmlns:a16="http://schemas.microsoft.com/office/drawing/2014/main" id="{00000000-0008-0000-1500-000027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9525</xdr:rowOff>
        </xdr:from>
        <xdr:to>
          <xdr:col>10</xdr:col>
          <xdr:colOff>552450</xdr:colOff>
          <xdr:row>28</xdr:row>
          <xdr:rowOff>0</xdr:rowOff>
        </xdr:to>
        <xdr:sp macro="" textlink="">
          <xdr:nvSpPr>
            <xdr:cNvPr id="103467" name="Option Button 43" hidden="1">
              <a:extLst>
                <a:ext uri="{63B3BB69-23CF-44E3-9099-C40C66FF867C}">
                  <a14:compatExt spid="_x0000_s103467"/>
                </a:ext>
                <a:ext uri="{FF2B5EF4-FFF2-40B4-BE49-F238E27FC236}">
                  <a16:creationId xmlns:a16="http://schemas.microsoft.com/office/drawing/2014/main" id="{00000000-0008-0000-1500-00002B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9</xdr:row>
          <xdr:rowOff>9525</xdr:rowOff>
        </xdr:from>
        <xdr:to>
          <xdr:col>10</xdr:col>
          <xdr:colOff>552450</xdr:colOff>
          <xdr:row>9</xdr:row>
          <xdr:rowOff>238125</xdr:rowOff>
        </xdr:to>
        <xdr:sp macro="" textlink="">
          <xdr:nvSpPr>
            <xdr:cNvPr id="103468" name="Option Button 44" hidden="1">
              <a:extLst>
                <a:ext uri="{63B3BB69-23CF-44E3-9099-C40C66FF867C}">
                  <a14:compatExt spid="_x0000_s103468"/>
                </a:ext>
                <a:ext uri="{FF2B5EF4-FFF2-40B4-BE49-F238E27FC236}">
                  <a16:creationId xmlns:a16="http://schemas.microsoft.com/office/drawing/2014/main" id="{00000000-0008-0000-1500-00002C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11</xdr:row>
          <xdr:rowOff>9525</xdr:rowOff>
        </xdr:from>
        <xdr:to>
          <xdr:col>10</xdr:col>
          <xdr:colOff>552450</xdr:colOff>
          <xdr:row>11</xdr:row>
          <xdr:rowOff>238125</xdr:rowOff>
        </xdr:to>
        <xdr:sp macro="" textlink="">
          <xdr:nvSpPr>
            <xdr:cNvPr id="103469" name="Option Button 45" hidden="1">
              <a:extLst>
                <a:ext uri="{63B3BB69-23CF-44E3-9099-C40C66FF867C}">
                  <a14:compatExt spid="_x0000_s103469"/>
                </a:ext>
                <a:ext uri="{FF2B5EF4-FFF2-40B4-BE49-F238E27FC236}">
                  <a16:creationId xmlns:a16="http://schemas.microsoft.com/office/drawing/2014/main" id="{00000000-0008-0000-1500-00002D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13</xdr:row>
          <xdr:rowOff>9525</xdr:rowOff>
        </xdr:from>
        <xdr:to>
          <xdr:col>10</xdr:col>
          <xdr:colOff>552450</xdr:colOff>
          <xdr:row>13</xdr:row>
          <xdr:rowOff>238125</xdr:rowOff>
        </xdr:to>
        <xdr:sp macro="" textlink="">
          <xdr:nvSpPr>
            <xdr:cNvPr id="103470" name="Option Button 46" hidden="1">
              <a:extLst>
                <a:ext uri="{63B3BB69-23CF-44E3-9099-C40C66FF867C}">
                  <a14:compatExt spid="_x0000_s103470"/>
                </a:ext>
                <a:ext uri="{FF2B5EF4-FFF2-40B4-BE49-F238E27FC236}">
                  <a16:creationId xmlns:a16="http://schemas.microsoft.com/office/drawing/2014/main" id="{00000000-0008-0000-1500-00002E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15</xdr:row>
          <xdr:rowOff>9525</xdr:rowOff>
        </xdr:from>
        <xdr:to>
          <xdr:col>10</xdr:col>
          <xdr:colOff>552450</xdr:colOff>
          <xdr:row>15</xdr:row>
          <xdr:rowOff>238125</xdr:rowOff>
        </xdr:to>
        <xdr:sp macro="" textlink="">
          <xdr:nvSpPr>
            <xdr:cNvPr id="103471" name="Option Button 47" hidden="1">
              <a:extLst>
                <a:ext uri="{63B3BB69-23CF-44E3-9099-C40C66FF867C}">
                  <a14:compatExt spid="_x0000_s103471"/>
                </a:ext>
                <a:ext uri="{FF2B5EF4-FFF2-40B4-BE49-F238E27FC236}">
                  <a16:creationId xmlns:a16="http://schemas.microsoft.com/office/drawing/2014/main" id="{00000000-0008-0000-1500-00002F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43</xdr:row>
          <xdr:rowOff>9525</xdr:rowOff>
        </xdr:from>
        <xdr:to>
          <xdr:col>9</xdr:col>
          <xdr:colOff>561975</xdr:colOff>
          <xdr:row>44</xdr:row>
          <xdr:rowOff>0</xdr:rowOff>
        </xdr:to>
        <xdr:sp macro="" textlink="">
          <xdr:nvSpPr>
            <xdr:cNvPr id="103472" name="Option Button 48" hidden="1">
              <a:extLst>
                <a:ext uri="{63B3BB69-23CF-44E3-9099-C40C66FF867C}">
                  <a14:compatExt spid="_x0000_s103472"/>
                </a:ext>
                <a:ext uri="{FF2B5EF4-FFF2-40B4-BE49-F238E27FC236}">
                  <a16:creationId xmlns:a16="http://schemas.microsoft.com/office/drawing/2014/main" id="{00000000-0008-0000-1500-000030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45</xdr:row>
          <xdr:rowOff>9525</xdr:rowOff>
        </xdr:from>
        <xdr:to>
          <xdr:col>9</xdr:col>
          <xdr:colOff>561975</xdr:colOff>
          <xdr:row>46</xdr:row>
          <xdr:rowOff>0</xdr:rowOff>
        </xdr:to>
        <xdr:sp macro="" textlink="">
          <xdr:nvSpPr>
            <xdr:cNvPr id="103473" name="Option Button 49" hidden="1">
              <a:extLst>
                <a:ext uri="{63B3BB69-23CF-44E3-9099-C40C66FF867C}">
                  <a14:compatExt spid="_x0000_s103473"/>
                </a:ext>
                <a:ext uri="{FF2B5EF4-FFF2-40B4-BE49-F238E27FC236}">
                  <a16:creationId xmlns:a16="http://schemas.microsoft.com/office/drawing/2014/main" id="{00000000-0008-0000-1500-00003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47</xdr:row>
          <xdr:rowOff>9525</xdr:rowOff>
        </xdr:from>
        <xdr:to>
          <xdr:col>9</xdr:col>
          <xdr:colOff>561975</xdr:colOff>
          <xdr:row>48</xdr:row>
          <xdr:rowOff>0</xdr:rowOff>
        </xdr:to>
        <xdr:sp macro="" textlink="">
          <xdr:nvSpPr>
            <xdr:cNvPr id="103474" name="Option Button 50" hidden="1">
              <a:extLst>
                <a:ext uri="{63B3BB69-23CF-44E3-9099-C40C66FF867C}">
                  <a14:compatExt spid="_x0000_s103474"/>
                </a:ext>
                <a:ext uri="{FF2B5EF4-FFF2-40B4-BE49-F238E27FC236}">
                  <a16:creationId xmlns:a16="http://schemas.microsoft.com/office/drawing/2014/main" id="{00000000-0008-0000-1500-00003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49</xdr:row>
          <xdr:rowOff>9525</xdr:rowOff>
        </xdr:from>
        <xdr:to>
          <xdr:col>9</xdr:col>
          <xdr:colOff>561975</xdr:colOff>
          <xdr:row>50</xdr:row>
          <xdr:rowOff>0</xdr:rowOff>
        </xdr:to>
        <xdr:sp macro="" textlink="">
          <xdr:nvSpPr>
            <xdr:cNvPr id="103475" name="Option Button 51" hidden="1">
              <a:extLst>
                <a:ext uri="{63B3BB69-23CF-44E3-9099-C40C66FF867C}">
                  <a14:compatExt spid="_x0000_s103475"/>
                </a:ext>
                <a:ext uri="{FF2B5EF4-FFF2-40B4-BE49-F238E27FC236}">
                  <a16:creationId xmlns:a16="http://schemas.microsoft.com/office/drawing/2014/main" id="{00000000-0008-0000-1500-00003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51</xdr:row>
          <xdr:rowOff>9525</xdr:rowOff>
        </xdr:from>
        <xdr:to>
          <xdr:col>9</xdr:col>
          <xdr:colOff>561975</xdr:colOff>
          <xdr:row>52</xdr:row>
          <xdr:rowOff>0</xdr:rowOff>
        </xdr:to>
        <xdr:sp macro="" textlink="">
          <xdr:nvSpPr>
            <xdr:cNvPr id="103476" name="Option Button 52" hidden="1">
              <a:extLst>
                <a:ext uri="{63B3BB69-23CF-44E3-9099-C40C66FF867C}">
                  <a14:compatExt spid="_x0000_s103476"/>
                </a:ext>
                <a:ext uri="{FF2B5EF4-FFF2-40B4-BE49-F238E27FC236}">
                  <a16:creationId xmlns:a16="http://schemas.microsoft.com/office/drawing/2014/main" id="{00000000-0008-0000-1500-00003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53</xdr:row>
          <xdr:rowOff>9525</xdr:rowOff>
        </xdr:from>
        <xdr:to>
          <xdr:col>9</xdr:col>
          <xdr:colOff>561975</xdr:colOff>
          <xdr:row>54</xdr:row>
          <xdr:rowOff>0</xdr:rowOff>
        </xdr:to>
        <xdr:sp macro="" textlink="">
          <xdr:nvSpPr>
            <xdr:cNvPr id="103477" name="Option Button 53" hidden="1">
              <a:extLst>
                <a:ext uri="{63B3BB69-23CF-44E3-9099-C40C66FF867C}">
                  <a14:compatExt spid="_x0000_s103477"/>
                </a:ext>
                <a:ext uri="{FF2B5EF4-FFF2-40B4-BE49-F238E27FC236}">
                  <a16:creationId xmlns:a16="http://schemas.microsoft.com/office/drawing/2014/main" id="{00000000-0008-0000-1500-00003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55</xdr:row>
          <xdr:rowOff>9525</xdr:rowOff>
        </xdr:from>
        <xdr:to>
          <xdr:col>9</xdr:col>
          <xdr:colOff>561975</xdr:colOff>
          <xdr:row>56</xdr:row>
          <xdr:rowOff>0</xdr:rowOff>
        </xdr:to>
        <xdr:sp macro="" textlink="">
          <xdr:nvSpPr>
            <xdr:cNvPr id="103478" name="Option Button 54" hidden="1">
              <a:extLst>
                <a:ext uri="{63B3BB69-23CF-44E3-9099-C40C66FF867C}">
                  <a14:compatExt spid="_x0000_s103478"/>
                </a:ext>
                <a:ext uri="{FF2B5EF4-FFF2-40B4-BE49-F238E27FC236}">
                  <a16:creationId xmlns:a16="http://schemas.microsoft.com/office/drawing/2014/main" id="{00000000-0008-0000-1500-000036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57</xdr:row>
          <xdr:rowOff>9525</xdr:rowOff>
        </xdr:from>
        <xdr:to>
          <xdr:col>9</xdr:col>
          <xdr:colOff>561975</xdr:colOff>
          <xdr:row>58</xdr:row>
          <xdr:rowOff>0</xdr:rowOff>
        </xdr:to>
        <xdr:sp macro="" textlink="">
          <xdr:nvSpPr>
            <xdr:cNvPr id="103479" name="Option Button 55" hidden="1">
              <a:extLst>
                <a:ext uri="{63B3BB69-23CF-44E3-9099-C40C66FF867C}">
                  <a14:compatExt spid="_x0000_s103479"/>
                </a:ext>
                <a:ext uri="{FF2B5EF4-FFF2-40B4-BE49-F238E27FC236}">
                  <a16:creationId xmlns:a16="http://schemas.microsoft.com/office/drawing/2014/main" id="{00000000-0008-0000-1500-000037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59</xdr:row>
          <xdr:rowOff>9525</xdr:rowOff>
        </xdr:from>
        <xdr:to>
          <xdr:col>9</xdr:col>
          <xdr:colOff>561975</xdr:colOff>
          <xdr:row>60</xdr:row>
          <xdr:rowOff>0</xdr:rowOff>
        </xdr:to>
        <xdr:sp macro="" textlink="">
          <xdr:nvSpPr>
            <xdr:cNvPr id="103480" name="Option Button 56" hidden="1">
              <a:extLst>
                <a:ext uri="{63B3BB69-23CF-44E3-9099-C40C66FF867C}">
                  <a14:compatExt spid="_x0000_s103480"/>
                </a:ext>
                <a:ext uri="{FF2B5EF4-FFF2-40B4-BE49-F238E27FC236}">
                  <a16:creationId xmlns:a16="http://schemas.microsoft.com/office/drawing/2014/main" id="{00000000-0008-0000-1500-00003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61</xdr:row>
          <xdr:rowOff>9525</xdr:rowOff>
        </xdr:from>
        <xdr:to>
          <xdr:col>9</xdr:col>
          <xdr:colOff>561975</xdr:colOff>
          <xdr:row>62</xdr:row>
          <xdr:rowOff>0</xdr:rowOff>
        </xdr:to>
        <xdr:sp macro="" textlink="">
          <xdr:nvSpPr>
            <xdr:cNvPr id="103481" name="Option Button 57" hidden="1">
              <a:extLst>
                <a:ext uri="{63B3BB69-23CF-44E3-9099-C40C66FF867C}">
                  <a14:compatExt spid="_x0000_s103481"/>
                </a:ext>
                <a:ext uri="{FF2B5EF4-FFF2-40B4-BE49-F238E27FC236}">
                  <a16:creationId xmlns:a16="http://schemas.microsoft.com/office/drawing/2014/main" id="{00000000-0008-0000-1500-00003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63</xdr:row>
          <xdr:rowOff>9525</xdr:rowOff>
        </xdr:from>
        <xdr:to>
          <xdr:col>9</xdr:col>
          <xdr:colOff>561975</xdr:colOff>
          <xdr:row>64</xdr:row>
          <xdr:rowOff>0</xdr:rowOff>
        </xdr:to>
        <xdr:sp macro="" textlink="">
          <xdr:nvSpPr>
            <xdr:cNvPr id="103482" name="Option Button 58" hidden="1">
              <a:extLst>
                <a:ext uri="{63B3BB69-23CF-44E3-9099-C40C66FF867C}">
                  <a14:compatExt spid="_x0000_s103482"/>
                </a:ext>
                <a:ext uri="{FF2B5EF4-FFF2-40B4-BE49-F238E27FC236}">
                  <a16:creationId xmlns:a16="http://schemas.microsoft.com/office/drawing/2014/main" id="{00000000-0008-0000-1500-00003A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65</xdr:row>
          <xdr:rowOff>9525</xdr:rowOff>
        </xdr:from>
        <xdr:to>
          <xdr:col>9</xdr:col>
          <xdr:colOff>561975</xdr:colOff>
          <xdr:row>66</xdr:row>
          <xdr:rowOff>0</xdr:rowOff>
        </xdr:to>
        <xdr:sp macro="" textlink="">
          <xdr:nvSpPr>
            <xdr:cNvPr id="103483" name="Option Button 59" hidden="1">
              <a:extLst>
                <a:ext uri="{63B3BB69-23CF-44E3-9099-C40C66FF867C}">
                  <a14:compatExt spid="_x0000_s103483"/>
                </a:ext>
                <a:ext uri="{FF2B5EF4-FFF2-40B4-BE49-F238E27FC236}">
                  <a16:creationId xmlns:a16="http://schemas.microsoft.com/office/drawing/2014/main" id="{00000000-0008-0000-1500-00003B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67</xdr:row>
          <xdr:rowOff>9525</xdr:rowOff>
        </xdr:from>
        <xdr:to>
          <xdr:col>9</xdr:col>
          <xdr:colOff>561975</xdr:colOff>
          <xdr:row>68</xdr:row>
          <xdr:rowOff>0</xdr:rowOff>
        </xdr:to>
        <xdr:sp macro="" textlink="">
          <xdr:nvSpPr>
            <xdr:cNvPr id="103484" name="Option Button 60" hidden="1">
              <a:extLst>
                <a:ext uri="{63B3BB69-23CF-44E3-9099-C40C66FF867C}">
                  <a14:compatExt spid="_x0000_s103484"/>
                </a:ext>
                <a:ext uri="{FF2B5EF4-FFF2-40B4-BE49-F238E27FC236}">
                  <a16:creationId xmlns:a16="http://schemas.microsoft.com/office/drawing/2014/main" id="{00000000-0008-0000-1500-00003C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69</xdr:row>
          <xdr:rowOff>9525</xdr:rowOff>
        </xdr:from>
        <xdr:to>
          <xdr:col>9</xdr:col>
          <xdr:colOff>561975</xdr:colOff>
          <xdr:row>70</xdr:row>
          <xdr:rowOff>0</xdr:rowOff>
        </xdr:to>
        <xdr:sp macro="" textlink="">
          <xdr:nvSpPr>
            <xdr:cNvPr id="103485" name="Option Button 61" hidden="1">
              <a:extLst>
                <a:ext uri="{63B3BB69-23CF-44E3-9099-C40C66FF867C}">
                  <a14:compatExt spid="_x0000_s103485"/>
                </a:ext>
                <a:ext uri="{FF2B5EF4-FFF2-40B4-BE49-F238E27FC236}">
                  <a16:creationId xmlns:a16="http://schemas.microsoft.com/office/drawing/2014/main" id="{00000000-0008-0000-1500-00003D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71</xdr:row>
          <xdr:rowOff>9525</xdr:rowOff>
        </xdr:from>
        <xdr:to>
          <xdr:col>9</xdr:col>
          <xdr:colOff>561975</xdr:colOff>
          <xdr:row>72</xdr:row>
          <xdr:rowOff>0</xdr:rowOff>
        </xdr:to>
        <xdr:sp macro="" textlink="">
          <xdr:nvSpPr>
            <xdr:cNvPr id="103486" name="Option Button 62" hidden="1">
              <a:extLst>
                <a:ext uri="{63B3BB69-23CF-44E3-9099-C40C66FF867C}">
                  <a14:compatExt spid="_x0000_s103486"/>
                </a:ext>
                <a:ext uri="{FF2B5EF4-FFF2-40B4-BE49-F238E27FC236}">
                  <a16:creationId xmlns:a16="http://schemas.microsoft.com/office/drawing/2014/main" id="{00000000-0008-0000-1500-00003E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73</xdr:row>
          <xdr:rowOff>9525</xdr:rowOff>
        </xdr:from>
        <xdr:to>
          <xdr:col>9</xdr:col>
          <xdr:colOff>561975</xdr:colOff>
          <xdr:row>74</xdr:row>
          <xdr:rowOff>0</xdr:rowOff>
        </xdr:to>
        <xdr:sp macro="" textlink="">
          <xdr:nvSpPr>
            <xdr:cNvPr id="103487" name="Option Button 63" hidden="1">
              <a:extLst>
                <a:ext uri="{63B3BB69-23CF-44E3-9099-C40C66FF867C}">
                  <a14:compatExt spid="_x0000_s103487"/>
                </a:ext>
                <a:ext uri="{FF2B5EF4-FFF2-40B4-BE49-F238E27FC236}">
                  <a16:creationId xmlns:a16="http://schemas.microsoft.com/office/drawing/2014/main" id="{00000000-0008-0000-1500-00003F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43</xdr:row>
          <xdr:rowOff>9525</xdr:rowOff>
        </xdr:from>
        <xdr:to>
          <xdr:col>10</xdr:col>
          <xdr:colOff>552450</xdr:colOff>
          <xdr:row>44</xdr:row>
          <xdr:rowOff>0</xdr:rowOff>
        </xdr:to>
        <xdr:sp macro="" textlink="">
          <xdr:nvSpPr>
            <xdr:cNvPr id="103488" name="Option Button 64" hidden="1">
              <a:extLst>
                <a:ext uri="{63B3BB69-23CF-44E3-9099-C40C66FF867C}">
                  <a14:compatExt spid="_x0000_s103488"/>
                </a:ext>
                <a:ext uri="{FF2B5EF4-FFF2-40B4-BE49-F238E27FC236}">
                  <a16:creationId xmlns:a16="http://schemas.microsoft.com/office/drawing/2014/main" id="{00000000-0008-0000-1500-000040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45</xdr:row>
          <xdr:rowOff>9525</xdr:rowOff>
        </xdr:from>
        <xdr:to>
          <xdr:col>10</xdr:col>
          <xdr:colOff>552450</xdr:colOff>
          <xdr:row>46</xdr:row>
          <xdr:rowOff>0</xdr:rowOff>
        </xdr:to>
        <xdr:sp macro="" textlink="">
          <xdr:nvSpPr>
            <xdr:cNvPr id="103489" name="Option Button 65" hidden="1">
              <a:extLst>
                <a:ext uri="{63B3BB69-23CF-44E3-9099-C40C66FF867C}">
                  <a14:compatExt spid="_x0000_s103489"/>
                </a:ext>
                <a:ext uri="{FF2B5EF4-FFF2-40B4-BE49-F238E27FC236}">
                  <a16:creationId xmlns:a16="http://schemas.microsoft.com/office/drawing/2014/main" id="{00000000-0008-0000-1500-00004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47</xdr:row>
          <xdr:rowOff>9525</xdr:rowOff>
        </xdr:from>
        <xdr:to>
          <xdr:col>10</xdr:col>
          <xdr:colOff>552450</xdr:colOff>
          <xdr:row>48</xdr:row>
          <xdr:rowOff>0</xdr:rowOff>
        </xdr:to>
        <xdr:sp macro="" textlink="">
          <xdr:nvSpPr>
            <xdr:cNvPr id="103490" name="Option Button 66" hidden="1">
              <a:extLst>
                <a:ext uri="{63B3BB69-23CF-44E3-9099-C40C66FF867C}">
                  <a14:compatExt spid="_x0000_s103490"/>
                </a:ext>
                <a:ext uri="{FF2B5EF4-FFF2-40B4-BE49-F238E27FC236}">
                  <a16:creationId xmlns:a16="http://schemas.microsoft.com/office/drawing/2014/main" id="{00000000-0008-0000-1500-00004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49</xdr:row>
          <xdr:rowOff>9525</xdr:rowOff>
        </xdr:from>
        <xdr:to>
          <xdr:col>10</xdr:col>
          <xdr:colOff>552450</xdr:colOff>
          <xdr:row>50</xdr:row>
          <xdr:rowOff>0</xdr:rowOff>
        </xdr:to>
        <xdr:sp macro="" textlink="">
          <xdr:nvSpPr>
            <xdr:cNvPr id="103491" name="Option Button 67" hidden="1">
              <a:extLst>
                <a:ext uri="{63B3BB69-23CF-44E3-9099-C40C66FF867C}">
                  <a14:compatExt spid="_x0000_s103491"/>
                </a:ext>
                <a:ext uri="{FF2B5EF4-FFF2-40B4-BE49-F238E27FC236}">
                  <a16:creationId xmlns:a16="http://schemas.microsoft.com/office/drawing/2014/main" id="{00000000-0008-0000-1500-00004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51</xdr:row>
          <xdr:rowOff>9525</xdr:rowOff>
        </xdr:from>
        <xdr:to>
          <xdr:col>10</xdr:col>
          <xdr:colOff>552450</xdr:colOff>
          <xdr:row>52</xdr:row>
          <xdr:rowOff>0</xdr:rowOff>
        </xdr:to>
        <xdr:sp macro="" textlink="">
          <xdr:nvSpPr>
            <xdr:cNvPr id="103492" name="Option Button 68" hidden="1">
              <a:extLst>
                <a:ext uri="{63B3BB69-23CF-44E3-9099-C40C66FF867C}">
                  <a14:compatExt spid="_x0000_s103492"/>
                </a:ext>
                <a:ext uri="{FF2B5EF4-FFF2-40B4-BE49-F238E27FC236}">
                  <a16:creationId xmlns:a16="http://schemas.microsoft.com/office/drawing/2014/main" id="{00000000-0008-0000-1500-00004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53</xdr:row>
          <xdr:rowOff>9525</xdr:rowOff>
        </xdr:from>
        <xdr:to>
          <xdr:col>10</xdr:col>
          <xdr:colOff>552450</xdr:colOff>
          <xdr:row>54</xdr:row>
          <xdr:rowOff>0</xdr:rowOff>
        </xdr:to>
        <xdr:sp macro="" textlink="">
          <xdr:nvSpPr>
            <xdr:cNvPr id="103493" name="Option Button 69" hidden="1">
              <a:extLst>
                <a:ext uri="{63B3BB69-23CF-44E3-9099-C40C66FF867C}">
                  <a14:compatExt spid="_x0000_s103493"/>
                </a:ext>
                <a:ext uri="{FF2B5EF4-FFF2-40B4-BE49-F238E27FC236}">
                  <a16:creationId xmlns:a16="http://schemas.microsoft.com/office/drawing/2014/main" id="{00000000-0008-0000-1500-00004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55</xdr:row>
          <xdr:rowOff>9525</xdr:rowOff>
        </xdr:from>
        <xdr:to>
          <xdr:col>10</xdr:col>
          <xdr:colOff>552450</xdr:colOff>
          <xdr:row>56</xdr:row>
          <xdr:rowOff>0</xdr:rowOff>
        </xdr:to>
        <xdr:sp macro="" textlink="">
          <xdr:nvSpPr>
            <xdr:cNvPr id="103494" name="Option Button 70" hidden="1">
              <a:extLst>
                <a:ext uri="{63B3BB69-23CF-44E3-9099-C40C66FF867C}">
                  <a14:compatExt spid="_x0000_s103494"/>
                </a:ext>
                <a:ext uri="{FF2B5EF4-FFF2-40B4-BE49-F238E27FC236}">
                  <a16:creationId xmlns:a16="http://schemas.microsoft.com/office/drawing/2014/main" id="{00000000-0008-0000-1500-000046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57</xdr:row>
          <xdr:rowOff>9525</xdr:rowOff>
        </xdr:from>
        <xdr:to>
          <xdr:col>10</xdr:col>
          <xdr:colOff>552450</xdr:colOff>
          <xdr:row>58</xdr:row>
          <xdr:rowOff>0</xdr:rowOff>
        </xdr:to>
        <xdr:sp macro="" textlink="">
          <xdr:nvSpPr>
            <xdr:cNvPr id="103495" name="Option Button 71" hidden="1">
              <a:extLst>
                <a:ext uri="{63B3BB69-23CF-44E3-9099-C40C66FF867C}">
                  <a14:compatExt spid="_x0000_s103495"/>
                </a:ext>
                <a:ext uri="{FF2B5EF4-FFF2-40B4-BE49-F238E27FC236}">
                  <a16:creationId xmlns:a16="http://schemas.microsoft.com/office/drawing/2014/main" id="{00000000-0008-0000-1500-000047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59</xdr:row>
          <xdr:rowOff>9525</xdr:rowOff>
        </xdr:from>
        <xdr:to>
          <xdr:col>10</xdr:col>
          <xdr:colOff>552450</xdr:colOff>
          <xdr:row>60</xdr:row>
          <xdr:rowOff>0</xdr:rowOff>
        </xdr:to>
        <xdr:sp macro="" textlink="">
          <xdr:nvSpPr>
            <xdr:cNvPr id="103496" name="Option Button 72" hidden="1">
              <a:extLst>
                <a:ext uri="{63B3BB69-23CF-44E3-9099-C40C66FF867C}">
                  <a14:compatExt spid="_x0000_s103496"/>
                </a:ext>
                <a:ext uri="{FF2B5EF4-FFF2-40B4-BE49-F238E27FC236}">
                  <a16:creationId xmlns:a16="http://schemas.microsoft.com/office/drawing/2014/main" id="{00000000-0008-0000-1500-00004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61</xdr:row>
          <xdr:rowOff>9525</xdr:rowOff>
        </xdr:from>
        <xdr:to>
          <xdr:col>10</xdr:col>
          <xdr:colOff>552450</xdr:colOff>
          <xdr:row>62</xdr:row>
          <xdr:rowOff>0</xdr:rowOff>
        </xdr:to>
        <xdr:sp macro="" textlink="">
          <xdr:nvSpPr>
            <xdr:cNvPr id="103497" name="Option Button 73" hidden="1">
              <a:extLst>
                <a:ext uri="{63B3BB69-23CF-44E3-9099-C40C66FF867C}">
                  <a14:compatExt spid="_x0000_s103497"/>
                </a:ext>
                <a:ext uri="{FF2B5EF4-FFF2-40B4-BE49-F238E27FC236}">
                  <a16:creationId xmlns:a16="http://schemas.microsoft.com/office/drawing/2014/main" id="{00000000-0008-0000-1500-00004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63</xdr:row>
          <xdr:rowOff>9525</xdr:rowOff>
        </xdr:from>
        <xdr:to>
          <xdr:col>10</xdr:col>
          <xdr:colOff>552450</xdr:colOff>
          <xdr:row>64</xdr:row>
          <xdr:rowOff>0</xdr:rowOff>
        </xdr:to>
        <xdr:sp macro="" textlink="">
          <xdr:nvSpPr>
            <xdr:cNvPr id="103498" name="Option Button 74" hidden="1">
              <a:extLst>
                <a:ext uri="{63B3BB69-23CF-44E3-9099-C40C66FF867C}">
                  <a14:compatExt spid="_x0000_s103498"/>
                </a:ext>
                <a:ext uri="{FF2B5EF4-FFF2-40B4-BE49-F238E27FC236}">
                  <a16:creationId xmlns:a16="http://schemas.microsoft.com/office/drawing/2014/main" id="{00000000-0008-0000-1500-00004A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65</xdr:row>
          <xdr:rowOff>9525</xdr:rowOff>
        </xdr:from>
        <xdr:to>
          <xdr:col>10</xdr:col>
          <xdr:colOff>552450</xdr:colOff>
          <xdr:row>66</xdr:row>
          <xdr:rowOff>0</xdr:rowOff>
        </xdr:to>
        <xdr:sp macro="" textlink="">
          <xdr:nvSpPr>
            <xdr:cNvPr id="103499" name="Option Button 75" hidden="1">
              <a:extLst>
                <a:ext uri="{63B3BB69-23CF-44E3-9099-C40C66FF867C}">
                  <a14:compatExt spid="_x0000_s103499"/>
                </a:ext>
                <a:ext uri="{FF2B5EF4-FFF2-40B4-BE49-F238E27FC236}">
                  <a16:creationId xmlns:a16="http://schemas.microsoft.com/office/drawing/2014/main" id="{00000000-0008-0000-1500-00004B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67</xdr:row>
          <xdr:rowOff>9525</xdr:rowOff>
        </xdr:from>
        <xdr:to>
          <xdr:col>10</xdr:col>
          <xdr:colOff>552450</xdr:colOff>
          <xdr:row>68</xdr:row>
          <xdr:rowOff>0</xdr:rowOff>
        </xdr:to>
        <xdr:sp macro="" textlink="">
          <xdr:nvSpPr>
            <xdr:cNvPr id="103500" name="Option Button 76" hidden="1">
              <a:extLst>
                <a:ext uri="{63B3BB69-23CF-44E3-9099-C40C66FF867C}">
                  <a14:compatExt spid="_x0000_s103500"/>
                </a:ext>
                <a:ext uri="{FF2B5EF4-FFF2-40B4-BE49-F238E27FC236}">
                  <a16:creationId xmlns:a16="http://schemas.microsoft.com/office/drawing/2014/main" id="{00000000-0008-0000-1500-00004C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69</xdr:row>
          <xdr:rowOff>9525</xdr:rowOff>
        </xdr:from>
        <xdr:to>
          <xdr:col>10</xdr:col>
          <xdr:colOff>552450</xdr:colOff>
          <xdr:row>70</xdr:row>
          <xdr:rowOff>0</xdr:rowOff>
        </xdr:to>
        <xdr:sp macro="" textlink="">
          <xdr:nvSpPr>
            <xdr:cNvPr id="103501" name="Option Button 77" hidden="1">
              <a:extLst>
                <a:ext uri="{63B3BB69-23CF-44E3-9099-C40C66FF867C}">
                  <a14:compatExt spid="_x0000_s103501"/>
                </a:ext>
                <a:ext uri="{FF2B5EF4-FFF2-40B4-BE49-F238E27FC236}">
                  <a16:creationId xmlns:a16="http://schemas.microsoft.com/office/drawing/2014/main" id="{00000000-0008-0000-1500-00004D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71</xdr:row>
          <xdr:rowOff>9525</xdr:rowOff>
        </xdr:from>
        <xdr:to>
          <xdr:col>10</xdr:col>
          <xdr:colOff>552450</xdr:colOff>
          <xdr:row>72</xdr:row>
          <xdr:rowOff>0</xdr:rowOff>
        </xdr:to>
        <xdr:sp macro="" textlink="">
          <xdr:nvSpPr>
            <xdr:cNvPr id="103502" name="Option Button 78" hidden="1">
              <a:extLst>
                <a:ext uri="{63B3BB69-23CF-44E3-9099-C40C66FF867C}">
                  <a14:compatExt spid="_x0000_s103502"/>
                </a:ext>
                <a:ext uri="{FF2B5EF4-FFF2-40B4-BE49-F238E27FC236}">
                  <a16:creationId xmlns:a16="http://schemas.microsoft.com/office/drawing/2014/main" id="{00000000-0008-0000-1500-00004E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73</xdr:row>
          <xdr:rowOff>9525</xdr:rowOff>
        </xdr:from>
        <xdr:to>
          <xdr:col>10</xdr:col>
          <xdr:colOff>552450</xdr:colOff>
          <xdr:row>74</xdr:row>
          <xdr:rowOff>0</xdr:rowOff>
        </xdr:to>
        <xdr:sp macro="" textlink="">
          <xdr:nvSpPr>
            <xdr:cNvPr id="103503" name="Option Button 79" hidden="1">
              <a:extLst>
                <a:ext uri="{63B3BB69-23CF-44E3-9099-C40C66FF867C}">
                  <a14:compatExt spid="_x0000_s103503"/>
                </a:ext>
                <a:ext uri="{FF2B5EF4-FFF2-40B4-BE49-F238E27FC236}">
                  <a16:creationId xmlns:a16="http://schemas.microsoft.com/office/drawing/2014/main" id="{00000000-0008-0000-1500-00004F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103504" name="Group Box 80" hidden="1">
              <a:extLst>
                <a:ext uri="{63B3BB69-23CF-44E3-9099-C40C66FF867C}">
                  <a14:compatExt spid="_x0000_s103504"/>
                </a:ext>
                <a:ext uri="{FF2B5EF4-FFF2-40B4-BE49-F238E27FC236}">
                  <a16:creationId xmlns:a16="http://schemas.microsoft.com/office/drawing/2014/main" id="{00000000-0008-0000-1500-000050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47625</xdr:rowOff>
        </xdr:from>
        <xdr:to>
          <xdr:col>11</xdr:col>
          <xdr:colOff>0</xdr:colOff>
          <xdr:row>40</xdr:row>
          <xdr:rowOff>9525</xdr:rowOff>
        </xdr:to>
        <xdr:sp macro="" textlink="">
          <xdr:nvSpPr>
            <xdr:cNvPr id="103505" name="Group Box 81" hidden="1">
              <a:extLst>
                <a:ext uri="{63B3BB69-23CF-44E3-9099-C40C66FF867C}">
                  <a14:compatExt spid="_x0000_s103505"/>
                </a:ext>
                <a:ext uri="{FF2B5EF4-FFF2-40B4-BE49-F238E27FC236}">
                  <a16:creationId xmlns:a16="http://schemas.microsoft.com/office/drawing/2014/main" id="{00000000-0008-0000-1500-00005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39</xdr:row>
          <xdr:rowOff>9525</xdr:rowOff>
        </xdr:from>
        <xdr:to>
          <xdr:col>9</xdr:col>
          <xdr:colOff>561975</xdr:colOff>
          <xdr:row>40</xdr:row>
          <xdr:rowOff>0</xdr:rowOff>
        </xdr:to>
        <xdr:sp macro="" textlink="">
          <xdr:nvSpPr>
            <xdr:cNvPr id="103507" name="Option Button 83" hidden="1">
              <a:extLst>
                <a:ext uri="{63B3BB69-23CF-44E3-9099-C40C66FF867C}">
                  <a14:compatExt spid="_x0000_s103507"/>
                </a:ext>
                <a:ext uri="{FF2B5EF4-FFF2-40B4-BE49-F238E27FC236}">
                  <a16:creationId xmlns:a16="http://schemas.microsoft.com/office/drawing/2014/main" id="{00000000-0008-0000-1500-00005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29</xdr:row>
          <xdr:rowOff>9525</xdr:rowOff>
        </xdr:from>
        <xdr:to>
          <xdr:col>9</xdr:col>
          <xdr:colOff>561975</xdr:colOff>
          <xdr:row>29</xdr:row>
          <xdr:rowOff>238125</xdr:rowOff>
        </xdr:to>
        <xdr:sp macro="" textlink="">
          <xdr:nvSpPr>
            <xdr:cNvPr id="103508" name="Option Button 84" hidden="1">
              <a:extLst>
                <a:ext uri="{63B3BB69-23CF-44E3-9099-C40C66FF867C}">
                  <a14:compatExt spid="_x0000_s103508"/>
                </a:ext>
                <a:ext uri="{FF2B5EF4-FFF2-40B4-BE49-F238E27FC236}">
                  <a16:creationId xmlns:a16="http://schemas.microsoft.com/office/drawing/2014/main" id="{00000000-0008-0000-1500-00005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33</xdr:row>
          <xdr:rowOff>9525</xdr:rowOff>
        </xdr:from>
        <xdr:to>
          <xdr:col>9</xdr:col>
          <xdr:colOff>561975</xdr:colOff>
          <xdr:row>33</xdr:row>
          <xdr:rowOff>238125</xdr:rowOff>
        </xdr:to>
        <xdr:sp macro="" textlink="">
          <xdr:nvSpPr>
            <xdr:cNvPr id="103510" name="Option Button 86" hidden="1">
              <a:extLst>
                <a:ext uri="{63B3BB69-23CF-44E3-9099-C40C66FF867C}">
                  <a14:compatExt spid="_x0000_s103510"/>
                </a:ext>
                <a:ext uri="{FF2B5EF4-FFF2-40B4-BE49-F238E27FC236}">
                  <a16:creationId xmlns:a16="http://schemas.microsoft.com/office/drawing/2014/main" id="{00000000-0008-0000-1500-000056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37</xdr:row>
          <xdr:rowOff>9525</xdr:rowOff>
        </xdr:from>
        <xdr:to>
          <xdr:col>9</xdr:col>
          <xdr:colOff>561975</xdr:colOff>
          <xdr:row>37</xdr:row>
          <xdr:rowOff>238125</xdr:rowOff>
        </xdr:to>
        <xdr:sp macro="" textlink="">
          <xdr:nvSpPr>
            <xdr:cNvPr id="103511" name="Option Button 87" hidden="1">
              <a:extLst>
                <a:ext uri="{63B3BB69-23CF-44E3-9099-C40C66FF867C}">
                  <a14:compatExt spid="_x0000_s103511"/>
                </a:ext>
                <a:ext uri="{FF2B5EF4-FFF2-40B4-BE49-F238E27FC236}">
                  <a16:creationId xmlns:a16="http://schemas.microsoft.com/office/drawing/2014/main" id="{00000000-0008-0000-1500-000057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39</xdr:row>
          <xdr:rowOff>9525</xdr:rowOff>
        </xdr:from>
        <xdr:to>
          <xdr:col>10</xdr:col>
          <xdr:colOff>552450</xdr:colOff>
          <xdr:row>40</xdr:row>
          <xdr:rowOff>0</xdr:rowOff>
        </xdr:to>
        <xdr:sp macro="" textlink="">
          <xdr:nvSpPr>
            <xdr:cNvPr id="103513" name="Option Button 89" hidden="1">
              <a:extLst>
                <a:ext uri="{63B3BB69-23CF-44E3-9099-C40C66FF867C}">
                  <a14:compatExt spid="_x0000_s103513"/>
                </a:ext>
                <a:ext uri="{FF2B5EF4-FFF2-40B4-BE49-F238E27FC236}">
                  <a16:creationId xmlns:a16="http://schemas.microsoft.com/office/drawing/2014/main" id="{00000000-0008-0000-1500-00005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29</xdr:row>
          <xdr:rowOff>9525</xdr:rowOff>
        </xdr:from>
        <xdr:to>
          <xdr:col>10</xdr:col>
          <xdr:colOff>552450</xdr:colOff>
          <xdr:row>29</xdr:row>
          <xdr:rowOff>228600</xdr:rowOff>
        </xdr:to>
        <xdr:sp macro="" textlink="">
          <xdr:nvSpPr>
            <xdr:cNvPr id="103514" name="Option Button 90" hidden="1">
              <a:extLst>
                <a:ext uri="{63B3BB69-23CF-44E3-9099-C40C66FF867C}">
                  <a14:compatExt spid="_x0000_s103514"/>
                </a:ext>
                <a:ext uri="{FF2B5EF4-FFF2-40B4-BE49-F238E27FC236}">
                  <a16:creationId xmlns:a16="http://schemas.microsoft.com/office/drawing/2014/main" id="{00000000-0008-0000-1500-00005A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33</xdr:row>
          <xdr:rowOff>9525</xdr:rowOff>
        </xdr:from>
        <xdr:to>
          <xdr:col>10</xdr:col>
          <xdr:colOff>552450</xdr:colOff>
          <xdr:row>33</xdr:row>
          <xdr:rowOff>238125</xdr:rowOff>
        </xdr:to>
        <xdr:sp macro="" textlink="">
          <xdr:nvSpPr>
            <xdr:cNvPr id="103516" name="Option Button 92" hidden="1">
              <a:extLst>
                <a:ext uri="{63B3BB69-23CF-44E3-9099-C40C66FF867C}">
                  <a14:compatExt spid="_x0000_s103516"/>
                </a:ext>
                <a:ext uri="{FF2B5EF4-FFF2-40B4-BE49-F238E27FC236}">
                  <a16:creationId xmlns:a16="http://schemas.microsoft.com/office/drawing/2014/main" id="{00000000-0008-0000-1500-00005C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37</xdr:row>
          <xdr:rowOff>9525</xdr:rowOff>
        </xdr:from>
        <xdr:to>
          <xdr:col>10</xdr:col>
          <xdr:colOff>552450</xdr:colOff>
          <xdr:row>37</xdr:row>
          <xdr:rowOff>238125</xdr:rowOff>
        </xdr:to>
        <xdr:sp macro="" textlink="">
          <xdr:nvSpPr>
            <xdr:cNvPr id="103517" name="Option Button 93" hidden="1">
              <a:extLst>
                <a:ext uri="{63B3BB69-23CF-44E3-9099-C40C66FF867C}">
                  <a14:compatExt spid="_x0000_s103517"/>
                </a:ext>
                <a:ext uri="{FF2B5EF4-FFF2-40B4-BE49-F238E27FC236}">
                  <a16:creationId xmlns:a16="http://schemas.microsoft.com/office/drawing/2014/main" id="{00000000-0008-0000-1500-00005D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xdr:oneCellAnchor>
    <xdr:from>
      <xdr:col>5</xdr:col>
      <xdr:colOff>57150</xdr:colOff>
      <xdr:row>0</xdr:row>
      <xdr:rowOff>47625</xdr:rowOff>
    </xdr:from>
    <xdr:ext cx="1555802" cy="560491"/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1500-00006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429"/>
        <a:stretch/>
      </xdr:blipFill>
      <xdr:spPr>
        <a:xfrm>
          <a:off x="2171700" y="47625"/>
          <a:ext cx="1555802" cy="56049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03521" name="Group Box 97" hidden="1">
              <a:extLst>
                <a:ext uri="{63B3BB69-23CF-44E3-9099-C40C66FF867C}">
                  <a14:compatExt spid="_x0000_s103521"/>
                </a:ext>
                <a:ext uri="{FF2B5EF4-FFF2-40B4-BE49-F238E27FC236}">
                  <a16:creationId xmlns:a16="http://schemas.microsoft.com/office/drawing/2014/main" id="{00000000-0008-0000-1500-00006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9525</xdr:rowOff>
        </xdr:from>
        <xdr:to>
          <xdr:col>9</xdr:col>
          <xdr:colOff>561975</xdr:colOff>
          <xdr:row>17</xdr:row>
          <xdr:rowOff>238125</xdr:rowOff>
        </xdr:to>
        <xdr:sp macro="" textlink="">
          <xdr:nvSpPr>
            <xdr:cNvPr id="103522" name="Option Button 98" hidden="1">
              <a:extLst>
                <a:ext uri="{63B3BB69-23CF-44E3-9099-C40C66FF867C}">
                  <a14:compatExt spid="_x0000_s103522"/>
                </a:ext>
                <a:ext uri="{FF2B5EF4-FFF2-40B4-BE49-F238E27FC236}">
                  <a16:creationId xmlns:a16="http://schemas.microsoft.com/office/drawing/2014/main" id="{00000000-0008-0000-1500-00006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17</xdr:row>
          <xdr:rowOff>9525</xdr:rowOff>
        </xdr:from>
        <xdr:to>
          <xdr:col>10</xdr:col>
          <xdr:colOff>552450</xdr:colOff>
          <xdr:row>17</xdr:row>
          <xdr:rowOff>238125</xdr:rowOff>
        </xdr:to>
        <xdr:sp macro="" textlink="">
          <xdr:nvSpPr>
            <xdr:cNvPr id="103523" name="Option Button 99" hidden="1">
              <a:extLst>
                <a:ext uri="{63B3BB69-23CF-44E3-9099-C40C66FF867C}">
                  <a14:compatExt spid="_x0000_s103523"/>
                </a:ext>
                <a:ext uri="{FF2B5EF4-FFF2-40B4-BE49-F238E27FC236}">
                  <a16:creationId xmlns:a16="http://schemas.microsoft.com/office/drawing/2014/main" id="{00000000-0008-0000-1500-00006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103524" name="Group Box 100" hidden="1">
              <a:extLst>
                <a:ext uri="{63B3BB69-23CF-44E3-9099-C40C66FF867C}">
                  <a14:compatExt spid="_x0000_s103524"/>
                </a:ext>
                <a:ext uri="{FF2B5EF4-FFF2-40B4-BE49-F238E27FC236}">
                  <a16:creationId xmlns:a16="http://schemas.microsoft.com/office/drawing/2014/main" id="{00000000-0008-0000-1500-00006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9525</xdr:rowOff>
        </xdr:from>
        <xdr:to>
          <xdr:col>9</xdr:col>
          <xdr:colOff>561975</xdr:colOff>
          <xdr:row>19</xdr:row>
          <xdr:rowOff>238125</xdr:rowOff>
        </xdr:to>
        <xdr:sp macro="" textlink="">
          <xdr:nvSpPr>
            <xdr:cNvPr id="103525" name="Option Button 101" hidden="1">
              <a:extLst>
                <a:ext uri="{63B3BB69-23CF-44E3-9099-C40C66FF867C}">
                  <a14:compatExt spid="_x0000_s103525"/>
                </a:ext>
                <a:ext uri="{FF2B5EF4-FFF2-40B4-BE49-F238E27FC236}">
                  <a16:creationId xmlns:a16="http://schemas.microsoft.com/office/drawing/2014/main" id="{00000000-0008-0000-1500-00006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9525</xdr:rowOff>
        </xdr:from>
        <xdr:to>
          <xdr:col>10</xdr:col>
          <xdr:colOff>552450</xdr:colOff>
          <xdr:row>19</xdr:row>
          <xdr:rowOff>238125</xdr:rowOff>
        </xdr:to>
        <xdr:sp macro="" textlink="">
          <xdr:nvSpPr>
            <xdr:cNvPr id="103526" name="Option Button 102" hidden="1">
              <a:extLst>
                <a:ext uri="{63B3BB69-23CF-44E3-9099-C40C66FF867C}">
                  <a14:compatExt spid="_x0000_s103526"/>
                </a:ext>
                <a:ext uri="{FF2B5EF4-FFF2-40B4-BE49-F238E27FC236}">
                  <a16:creationId xmlns:a16="http://schemas.microsoft.com/office/drawing/2014/main" id="{00000000-0008-0000-1500-000066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103527" name="Group Box 103" hidden="1">
              <a:extLst>
                <a:ext uri="{63B3BB69-23CF-44E3-9099-C40C66FF867C}">
                  <a14:compatExt spid="_x0000_s103527"/>
                </a:ext>
                <a:ext uri="{FF2B5EF4-FFF2-40B4-BE49-F238E27FC236}">
                  <a16:creationId xmlns:a16="http://schemas.microsoft.com/office/drawing/2014/main" id="{00000000-0008-0000-1500-000067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9525</xdr:rowOff>
        </xdr:from>
        <xdr:to>
          <xdr:col>9</xdr:col>
          <xdr:colOff>561975</xdr:colOff>
          <xdr:row>21</xdr:row>
          <xdr:rowOff>238125</xdr:rowOff>
        </xdr:to>
        <xdr:sp macro="" textlink="">
          <xdr:nvSpPr>
            <xdr:cNvPr id="103528" name="Option Button 104" hidden="1">
              <a:extLst>
                <a:ext uri="{63B3BB69-23CF-44E3-9099-C40C66FF867C}">
                  <a14:compatExt spid="_x0000_s103528"/>
                </a:ext>
                <a:ext uri="{FF2B5EF4-FFF2-40B4-BE49-F238E27FC236}">
                  <a16:creationId xmlns:a16="http://schemas.microsoft.com/office/drawing/2014/main" id="{00000000-0008-0000-1500-00006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9525</xdr:rowOff>
        </xdr:from>
        <xdr:to>
          <xdr:col>10</xdr:col>
          <xdr:colOff>552450</xdr:colOff>
          <xdr:row>21</xdr:row>
          <xdr:rowOff>238125</xdr:rowOff>
        </xdr:to>
        <xdr:sp macro="" textlink="">
          <xdr:nvSpPr>
            <xdr:cNvPr id="103529" name="Option Button 105" hidden="1">
              <a:extLst>
                <a:ext uri="{63B3BB69-23CF-44E3-9099-C40C66FF867C}">
                  <a14:compatExt spid="_x0000_s103529"/>
                </a:ext>
                <a:ext uri="{FF2B5EF4-FFF2-40B4-BE49-F238E27FC236}">
                  <a16:creationId xmlns:a16="http://schemas.microsoft.com/office/drawing/2014/main" id="{00000000-0008-0000-1500-00006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103530" name="Group Box 106" hidden="1">
              <a:extLst>
                <a:ext uri="{63B3BB69-23CF-44E3-9099-C40C66FF867C}">
                  <a14:compatExt spid="_x0000_s103530"/>
                </a:ext>
                <a:ext uri="{FF2B5EF4-FFF2-40B4-BE49-F238E27FC236}">
                  <a16:creationId xmlns:a16="http://schemas.microsoft.com/office/drawing/2014/main" id="{00000000-0008-0000-1500-00006A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9525</xdr:rowOff>
        </xdr:from>
        <xdr:to>
          <xdr:col>9</xdr:col>
          <xdr:colOff>561975</xdr:colOff>
          <xdr:row>24</xdr:row>
          <xdr:rowOff>0</xdr:rowOff>
        </xdr:to>
        <xdr:sp macro="" textlink="">
          <xdr:nvSpPr>
            <xdr:cNvPr id="103531" name="Option Button 107" hidden="1">
              <a:extLst>
                <a:ext uri="{63B3BB69-23CF-44E3-9099-C40C66FF867C}">
                  <a14:compatExt spid="_x0000_s103531"/>
                </a:ext>
                <a:ext uri="{FF2B5EF4-FFF2-40B4-BE49-F238E27FC236}">
                  <a16:creationId xmlns:a16="http://schemas.microsoft.com/office/drawing/2014/main" id="{00000000-0008-0000-1500-00006B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10</xdr:col>
          <xdr:colOff>552450</xdr:colOff>
          <xdr:row>24</xdr:row>
          <xdr:rowOff>0</xdr:rowOff>
        </xdr:to>
        <xdr:sp macro="" textlink="">
          <xdr:nvSpPr>
            <xdr:cNvPr id="103532" name="Option Button 108" hidden="1">
              <a:extLst>
                <a:ext uri="{63B3BB69-23CF-44E3-9099-C40C66FF867C}">
                  <a14:compatExt spid="_x0000_s103532"/>
                </a:ext>
                <a:ext uri="{FF2B5EF4-FFF2-40B4-BE49-F238E27FC236}">
                  <a16:creationId xmlns:a16="http://schemas.microsoft.com/office/drawing/2014/main" id="{00000000-0008-0000-1500-00006C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103533" name="Group Box 109" hidden="1">
              <a:extLst>
                <a:ext uri="{63B3BB69-23CF-44E3-9099-C40C66FF867C}">
                  <a14:compatExt spid="_x0000_s103533"/>
                </a:ext>
                <a:ext uri="{FF2B5EF4-FFF2-40B4-BE49-F238E27FC236}">
                  <a16:creationId xmlns:a16="http://schemas.microsoft.com/office/drawing/2014/main" id="{00000000-0008-0000-1500-00006D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561975</xdr:colOff>
          <xdr:row>7</xdr:row>
          <xdr:rowOff>238125</xdr:rowOff>
        </xdr:to>
        <xdr:sp macro="" textlink="">
          <xdr:nvSpPr>
            <xdr:cNvPr id="103534" name="Option Button 110" hidden="1">
              <a:extLst>
                <a:ext uri="{63B3BB69-23CF-44E3-9099-C40C66FF867C}">
                  <a14:compatExt spid="_x0000_s103534"/>
                </a:ext>
                <a:ext uri="{FF2B5EF4-FFF2-40B4-BE49-F238E27FC236}">
                  <a16:creationId xmlns:a16="http://schemas.microsoft.com/office/drawing/2014/main" id="{00000000-0008-0000-1500-00006E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7</xdr:row>
          <xdr:rowOff>9525</xdr:rowOff>
        </xdr:from>
        <xdr:to>
          <xdr:col>10</xdr:col>
          <xdr:colOff>552450</xdr:colOff>
          <xdr:row>7</xdr:row>
          <xdr:rowOff>238125</xdr:rowOff>
        </xdr:to>
        <xdr:sp macro="" textlink="">
          <xdr:nvSpPr>
            <xdr:cNvPr id="103535" name="Option Button 111" hidden="1">
              <a:extLst>
                <a:ext uri="{63B3BB69-23CF-44E3-9099-C40C66FF867C}">
                  <a14:compatExt spid="_x0000_s103535"/>
                </a:ext>
                <a:ext uri="{FF2B5EF4-FFF2-40B4-BE49-F238E27FC236}">
                  <a16:creationId xmlns:a16="http://schemas.microsoft.com/office/drawing/2014/main" id="{00000000-0008-0000-1500-00006F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7</xdr:row>
          <xdr:rowOff>19050</xdr:rowOff>
        </xdr:from>
        <xdr:to>
          <xdr:col>23</xdr:col>
          <xdr:colOff>476250</xdr:colOff>
          <xdr:row>35</xdr:row>
          <xdr:rowOff>0</xdr:rowOff>
        </xdr:to>
        <xdr:sp macro="" textlink="">
          <xdr:nvSpPr>
            <xdr:cNvPr id="103539" name="TextBox1" hidden="1">
              <a:extLst>
                <a:ext uri="{63B3BB69-23CF-44E3-9099-C40C66FF867C}">
                  <a14:compatExt spid="_x0000_s103539"/>
                </a:ext>
                <a:ext uri="{FF2B5EF4-FFF2-40B4-BE49-F238E27FC236}">
                  <a16:creationId xmlns:a16="http://schemas.microsoft.com/office/drawing/2014/main" id="{00000000-0008-0000-1500-00007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19050</xdr:rowOff>
        </xdr:from>
        <xdr:to>
          <xdr:col>9</xdr:col>
          <xdr:colOff>561975</xdr:colOff>
          <xdr:row>31</xdr:row>
          <xdr:rowOff>238125</xdr:rowOff>
        </xdr:to>
        <xdr:sp macro="" textlink="">
          <xdr:nvSpPr>
            <xdr:cNvPr id="103540" name="Option Button 116" hidden="1">
              <a:extLst>
                <a:ext uri="{63B3BB69-23CF-44E3-9099-C40C66FF867C}">
                  <a14:compatExt spid="_x0000_s103540"/>
                </a:ext>
                <a:ext uri="{FF2B5EF4-FFF2-40B4-BE49-F238E27FC236}">
                  <a16:creationId xmlns:a16="http://schemas.microsoft.com/office/drawing/2014/main" id="{00000000-0008-0000-1500-00007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31</xdr:row>
          <xdr:rowOff>19050</xdr:rowOff>
        </xdr:from>
        <xdr:to>
          <xdr:col>10</xdr:col>
          <xdr:colOff>552450</xdr:colOff>
          <xdr:row>31</xdr:row>
          <xdr:rowOff>228600</xdr:rowOff>
        </xdr:to>
        <xdr:sp macro="" textlink="">
          <xdr:nvSpPr>
            <xdr:cNvPr id="103541" name="Option Button 117" hidden="1">
              <a:extLst>
                <a:ext uri="{63B3BB69-23CF-44E3-9099-C40C66FF867C}">
                  <a14:compatExt spid="_x0000_s103541"/>
                </a:ext>
                <a:ext uri="{FF2B5EF4-FFF2-40B4-BE49-F238E27FC236}">
                  <a16:creationId xmlns:a16="http://schemas.microsoft.com/office/drawing/2014/main" id="{00000000-0008-0000-1500-00007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19050</xdr:colOff>
      <xdr:row>0</xdr:row>
      <xdr:rowOff>91441</xdr:rowOff>
    </xdr:from>
    <xdr:to>
      <xdr:col>2</xdr:col>
      <xdr:colOff>304800</xdr:colOff>
      <xdr:row>1</xdr:row>
      <xdr:rowOff>278131</xdr:rowOff>
    </xdr:to>
    <xdr:sp macro="[0]!goto_AcceptanceTesting" textlink="">
      <xdr:nvSpPr>
        <xdr:cNvPr id="107" name="Isosceles Triangle 106">
          <a:extLst>
            <a:ext uri="{FF2B5EF4-FFF2-40B4-BE49-F238E27FC236}">
              <a16:creationId xmlns:a16="http://schemas.microsoft.com/office/drawing/2014/main" id="{00000000-0008-0000-1500-00006B000000}"/>
            </a:ext>
          </a:extLst>
        </xdr:cNvPr>
        <xdr:cNvSpPr/>
      </xdr:nvSpPr>
      <xdr:spPr>
        <a:xfrm rot="16200000">
          <a:off x="235267" y="65724"/>
          <a:ext cx="329565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392430</xdr:colOff>
      <xdr:row>0</xdr:row>
      <xdr:rowOff>85725</xdr:rowOff>
    </xdr:from>
    <xdr:to>
      <xdr:col>4</xdr:col>
      <xdr:colOff>271103</xdr:colOff>
      <xdr:row>1</xdr:row>
      <xdr:rowOff>281178</xdr:rowOff>
    </xdr:to>
    <xdr:sp macro="[0]!goto_main" textlink="">
      <xdr:nvSpPr>
        <xdr:cNvPr id="108" name="Rectangle 107">
          <a:extLst>
            <a:ext uri="{FF2B5EF4-FFF2-40B4-BE49-F238E27FC236}">
              <a16:creationId xmlns:a16="http://schemas.microsoft.com/office/drawing/2014/main" id="{00000000-0008-0000-1500-00006C000000}"/>
            </a:ext>
          </a:extLst>
        </xdr:cNvPr>
        <xdr:cNvSpPr/>
      </xdr:nvSpPr>
      <xdr:spPr>
        <a:xfrm>
          <a:off x="678180" y="85725"/>
          <a:ext cx="1097873" cy="338328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/>
  </xdr:twoCellAnchor>
  <xdr:twoCellAnchor>
    <xdr:from>
      <xdr:col>4</xdr:col>
      <xdr:colOff>354127</xdr:colOff>
      <xdr:row>0</xdr:row>
      <xdr:rowOff>94191</xdr:rowOff>
    </xdr:from>
    <xdr:to>
      <xdr:col>5</xdr:col>
      <xdr:colOff>125527</xdr:colOff>
      <xdr:row>1</xdr:row>
      <xdr:rowOff>280881</xdr:rowOff>
    </xdr:to>
    <xdr:sp macro="[0]!goto_reportcustomer" textlink="">
      <xdr:nvSpPr>
        <xdr:cNvPr id="109" name="Isosceles Triangle 108">
          <a:extLst>
            <a:ext uri="{FF2B5EF4-FFF2-40B4-BE49-F238E27FC236}">
              <a16:creationId xmlns:a16="http://schemas.microsoft.com/office/drawing/2014/main" id="{00000000-0008-0000-1500-00006D000000}"/>
            </a:ext>
          </a:extLst>
        </xdr:cNvPr>
        <xdr:cNvSpPr/>
      </xdr:nvSpPr>
      <xdr:spPr>
        <a:xfrm rot="5400000">
          <a:off x="1884794" y="68474"/>
          <a:ext cx="329565" cy="381000"/>
        </a:xfrm>
        <a:prstGeom prst="triangle">
          <a:avLst/>
        </a:prstGeom>
        <a:solidFill>
          <a:schemeClr val="accent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297</xdr:row>
          <xdr:rowOff>19050</xdr:rowOff>
        </xdr:from>
        <xdr:to>
          <xdr:col>6</xdr:col>
          <xdr:colOff>0</xdr:colOff>
          <xdr:row>298</xdr:row>
          <xdr:rowOff>66675</xdr:rowOff>
        </xdr:to>
        <xdr:sp macro="" textlink="">
          <xdr:nvSpPr>
            <xdr:cNvPr id="209933" name="Check Box 13" hidden="1">
              <a:extLst>
                <a:ext uri="{63B3BB69-23CF-44E3-9099-C40C66FF867C}">
                  <a14:compatExt spid="_x0000_s209933"/>
                </a:ext>
                <a:ext uri="{FF2B5EF4-FFF2-40B4-BE49-F238E27FC236}">
                  <a16:creationId xmlns:a16="http://schemas.microsoft.com/office/drawing/2014/main" id="{00000000-0008-0000-1600-00000D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Repair IB Journal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298</xdr:row>
          <xdr:rowOff>47625</xdr:rowOff>
        </xdr:from>
        <xdr:to>
          <xdr:col>6</xdr:col>
          <xdr:colOff>0</xdr:colOff>
          <xdr:row>299</xdr:row>
          <xdr:rowOff>66675</xdr:rowOff>
        </xdr:to>
        <xdr:sp macro="" textlink="">
          <xdr:nvSpPr>
            <xdr:cNvPr id="209934" name="Check Box 14" hidden="1">
              <a:extLst>
                <a:ext uri="{63B3BB69-23CF-44E3-9099-C40C66FF867C}">
                  <a14:compatExt spid="_x0000_s209934"/>
                </a:ext>
                <a:ext uri="{FF2B5EF4-FFF2-40B4-BE49-F238E27FC236}">
                  <a16:creationId xmlns:a16="http://schemas.microsoft.com/office/drawing/2014/main" id="{00000000-0008-0000-1600-00000E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Repair OB Journal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299</xdr:row>
          <xdr:rowOff>57150</xdr:rowOff>
        </xdr:from>
        <xdr:to>
          <xdr:col>6</xdr:col>
          <xdr:colOff>0</xdr:colOff>
          <xdr:row>300</xdr:row>
          <xdr:rowOff>104775</xdr:rowOff>
        </xdr:to>
        <xdr:sp macro="" textlink="">
          <xdr:nvSpPr>
            <xdr:cNvPr id="209935" name="Check Box 15" hidden="1">
              <a:extLst>
                <a:ext uri="{63B3BB69-23CF-44E3-9099-C40C66FF867C}">
                  <a14:compatExt spid="_x0000_s209935"/>
                </a:ext>
                <a:ext uri="{FF2B5EF4-FFF2-40B4-BE49-F238E27FC236}">
                  <a16:creationId xmlns:a16="http://schemas.microsoft.com/office/drawing/2014/main" id="{00000000-0008-0000-1600-00000F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Repair IB Housing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300</xdr:row>
          <xdr:rowOff>76200</xdr:rowOff>
        </xdr:from>
        <xdr:to>
          <xdr:col>6</xdr:col>
          <xdr:colOff>0</xdr:colOff>
          <xdr:row>301</xdr:row>
          <xdr:rowOff>123825</xdr:rowOff>
        </xdr:to>
        <xdr:sp macro="" textlink="">
          <xdr:nvSpPr>
            <xdr:cNvPr id="209936" name="Check Box 16" hidden="1">
              <a:extLst>
                <a:ext uri="{63B3BB69-23CF-44E3-9099-C40C66FF867C}">
                  <a14:compatExt spid="_x0000_s209936"/>
                </a:ext>
                <a:ext uri="{FF2B5EF4-FFF2-40B4-BE49-F238E27FC236}">
                  <a16:creationId xmlns:a16="http://schemas.microsoft.com/office/drawing/2014/main" id="{00000000-0008-0000-1600-000010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Repair OB Housing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301</xdr:row>
          <xdr:rowOff>104775</xdr:rowOff>
        </xdr:from>
        <xdr:to>
          <xdr:col>6</xdr:col>
          <xdr:colOff>0</xdr:colOff>
          <xdr:row>302</xdr:row>
          <xdr:rowOff>142875</xdr:rowOff>
        </xdr:to>
        <xdr:sp macro="" textlink="">
          <xdr:nvSpPr>
            <xdr:cNvPr id="209937" name="Check Box 17" hidden="1">
              <a:extLst>
                <a:ext uri="{63B3BB69-23CF-44E3-9099-C40C66FF867C}">
                  <a14:compatExt spid="_x0000_s209937"/>
                </a:ext>
                <a:ext uri="{FF2B5EF4-FFF2-40B4-BE49-F238E27FC236}">
                  <a16:creationId xmlns:a16="http://schemas.microsoft.com/office/drawing/2014/main" id="{00000000-0008-0000-1600-00001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Repair Shaft Extension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297</xdr:row>
          <xdr:rowOff>19050</xdr:rowOff>
        </xdr:from>
        <xdr:to>
          <xdr:col>8</xdr:col>
          <xdr:colOff>257175</xdr:colOff>
          <xdr:row>298</xdr:row>
          <xdr:rowOff>47625</xdr:rowOff>
        </xdr:to>
        <xdr:sp macro="" textlink="">
          <xdr:nvSpPr>
            <xdr:cNvPr id="209938" name="Check Box 18" hidden="1">
              <a:extLst>
                <a:ext uri="{63B3BB69-23CF-44E3-9099-C40C66FF867C}">
                  <a14:compatExt spid="_x0000_s209938"/>
                </a:ext>
                <a:ext uri="{FF2B5EF4-FFF2-40B4-BE49-F238E27FC236}">
                  <a16:creationId xmlns:a16="http://schemas.microsoft.com/office/drawing/2014/main" id="{00000000-0008-0000-1600-00001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Bore &amp; Broach New Coupling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298</xdr:row>
          <xdr:rowOff>38100</xdr:rowOff>
        </xdr:from>
        <xdr:to>
          <xdr:col>8</xdr:col>
          <xdr:colOff>171450</xdr:colOff>
          <xdr:row>299</xdr:row>
          <xdr:rowOff>66675</xdr:rowOff>
        </xdr:to>
        <xdr:sp macro="" textlink="">
          <xdr:nvSpPr>
            <xdr:cNvPr id="209939" name="Check Box 19" hidden="1">
              <a:extLst>
                <a:ext uri="{63B3BB69-23CF-44E3-9099-C40C66FF867C}">
                  <a14:compatExt spid="_x0000_s209939"/>
                </a:ext>
                <a:ext uri="{FF2B5EF4-FFF2-40B4-BE49-F238E27FC236}">
                  <a16:creationId xmlns:a16="http://schemas.microsoft.com/office/drawing/2014/main" id="{00000000-0008-0000-1600-000013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Replace Coupling Key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299</xdr:row>
          <xdr:rowOff>57150</xdr:rowOff>
        </xdr:from>
        <xdr:to>
          <xdr:col>8</xdr:col>
          <xdr:colOff>171450</xdr:colOff>
          <xdr:row>300</xdr:row>
          <xdr:rowOff>104775</xdr:rowOff>
        </xdr:to>
        <xdr:sp macro="" textlink="">
          <xdr:nvSpPr>
            <xdr:cNvPr id="209940" name="Check Box 20" hidden="1">
              <a:extLst>
                <a:ext uri="{63B3BB69-23CF-44E3-9099-C40C66FF867C}">
                  <a14:compatExt spid="_x0000_s209940"/>
                </a:ext>
                <a:ext uri="{FF2B5EF4-FFF2-40B4-BE49-F238E27FC236}">
                  <a16:creationId xmlns:a16="http://schemas.microsoft.com/office/drawing/2014/main" id="{00000000-0008-0000-1600-000014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Polish Seal Surfaces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300</xdr:row>
          <xdr:rowOff>76200</xdr:rowOff>
        </xdr:from>
        <xdr:to>
          <xdr:col>8</xdr:col>
          <xdr:colOff>171450</xdr:colOff>
          <xdr:row>301</xdr:row>
          <xdr:rowOff>123825</xdr:rowOff>
        </xdr:to>
        <xdr:sp macro="" textlink="">
          <xdr:nvSpPr>
            <xdr:cNvPr id="209941" name="Check Box 21" hidden="1">
              <a:extLst>
                <a:ext uri="{63B3BB69-23CF-44E3-9099-C40C66FF867C}">
                  <a14:compatExt spid="_x0000_s209941"/>
                </a:ext>
                <a:ext uri="{FF2B5EF4-FFF2-40B4-BE49-F238E27FC236}">
                  <a16:creationId xmlns:a16="http://schemas.microsoft.com/office/drawing/2014/main" id="{00000000-0008-0000-1600-000015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Machine/Bore Fan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317</xdr:row>
          <xdr:rowOff>85724</xdr:rowOff>
        </xdr:from>
        <xdr:to>
          <xdr:col>0</xdr:col>
          <xdr:colOff>866775</xdr:colOff>
          <xdr:row>319</xdr:row>
          <xdr:rowOff>171449</xdr:rowOff>
        </xdr:to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1600-000018000000}"/>
                </a:ext>
              </a:extLst>
            </xdr:cNvPr>
            <xdr:cNvGrpSpPr/>
          </xdr:nvGrpSpPr>
          <xdr:grpSpPr>
            <a:xfrm>
              <a:off x="85725" y="59045475"/>
              <a:ext cx="781050" cy="466727"/>
              <a:chOff x="10848975" y="925183"/>
              <a:chExt cx="1371600" cy="569160"/>
            </a:xfrm>
          </xdr:grpSpPr>
          <xdr:sp macro="" textlink="">
            <xdr:nvSpPr>
              <xdr:cNvPr id="209942" name="Check Box 22" hidden="1">
                <a:extLst>
                  <a:ext uri="{63B3BB69-23CF-44E3-9099-C40C66FF867C}">
                    <a14:compatExt spid="_x0000_s209942"/>
                  </a:ext>
                  <a:ext uri="{FF2B5EF4-FFF2-40B4-BE49-F238E27FC236}">
                    <a16:creationId xmlns:a16="http://schemas.microsoft.com/office/drawing/2014/main" id="{00000000-0008-0000-1600-000016340300}"/>
                  </a:ext>
                </a:extLst>
              </xdr:cNvPr>
              <xdr:cNvSpPr/>
            </xdr:nvSpPr>
            <xdr:spPr bwMode="auto">
              <a:xfrm>
                <a:off x="10848975" y="925183"/>
                <a:ext cx="1371600" cy="24764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Rewind Rotor</a:t>
                </a:r>
              </a:p>
            </xdr:txBody>
          </xdr:sp>
          <xdr:sp macro="" textlink="">
            <xdr:nvSpPr>
              <xdr:cNvPr id="209943" name="Check Box 23" hidden="1">
                <a:extLst>
                  <a:ext uri="{63B3BB69-23CF-44E3-9099-C40C66FF867C}">
                    <a14:compatExt spid="_x0000_s209943"/>
                  </a:ext>
                  <a:ext uri="{FF2B5EF4-FFF2-40B4-BE49-F238E27FC236}">
                    <a16:creationId xmlns:a16="http://schemas.microsoft.com/office/drawing/2014/main" id="{00000000-0008-0000-1600-000017340300}"/>
                  </a:ext>
                </a:extLst>
              </xdr:cNvPr>
              <xdr:cNvSpPr/>
            </xdr:nvSpPr>
            <xdr:spPr bwMode="auto">
              <a:xfrm>
                <a:off x="10848975" y="1246694"/>
                <a:ext cx="1371600" cy="24764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Rewind Stator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60960</xdr:colOff>
      <xdr:row>1</xdr:row>
      <xdr:rowOff>135255</xdr:rowOff>
    </xdr:to>
    <xdr:sp macro="[0]!goto_main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SpPr/>
      </xdr:nvSpPr>
      <xdr:spPr>
        <a:xfrm>
          <a:off x="0" y="0"/>
          <a:ext cx="1051560" cy="33528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188</xdr:row>
          <xdr:rowOff>0</xdr:rowOff>
        </xdr:from>
        <xdr:to>
          <xdr:col>6</xdr:col>
          <xdr:colOff>419100</xdr:colOff>
          <xdr:row>189</xdr:row>
          <xdr:rowOff>47625</xdr:rowOff>
        </xdr:to>
        <xdr:sp macro="" textlink="">
          <xdr:nvSpPr>
            <xdr:cNvPr id="209947" name="Check Box 27" hidden="1">
              <a:extLst>
                <a:ext uri="{63B3BB69-23CF-44E3-9099-C40C66FF867C}">
                  <a14:compatExt spid="_x0000_s209947"/>
                </a:ext>
                <a:ext uri="{FF2B5EF4-FFF2-40B4-BE49-F238E27FC236}">
                  <a16:creationId xmlns:a16="http://schemas.microsoft.com/office/drawing/2014/main" id="{00000000-0008-0000-1600-00001B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Tapered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189</xdr:row>
          <xdr:rowOff>19050</xdr:rowOff>
        </xdr:from>
        <xdr:to>
          <xdr:col>6</xdr:col>
          <xdr:colOff>504825</xdr:colOff>
          <xdr:row>190</xdr:row>
          <xdr:rowOff>38100</xdr:rowOff>
        </xdr:to>
        <xdr:sp macro="" textlink="">
          <xdr:nvSpPr>
            <xdr:cNvPr id="209948" name="Check Box 28" hidden="1">
              <a:extLst>
                <a:ext uri="{63B3BB69-23CF-44E3-9099-C40C66FF867C}">
                  <a14:compatExt spid="_x0000_s209948"/>
                </a:ext>
                <a:ext uri="{FF2B5EF4-FFF2-40B4-BE49-F238E27FC236}">
                  <a16:creationId xmlns:a16="http://schemas.microsoft.com/office/drawing/2014/main" id="{00000000-0008-0000-1600-00001C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 of Round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190</xdr:row>
          <xdr:rowOff>28575</xdr:rowOff>
        </xdr:from>
        <xdr:to>
          <xdr:col>6</xdr:col>
          <xdr:colOff>523875</xdr:colOff>
          <xdr:row>191</xdr:row>
          <xdr:rowOff>38100</xdr:rowOff>
        </xdr:to>
        <xdr:sp macro="" textlink="">
          <xdr:nvSpPr>
            <xdr:cNvPr id="209949" name="Check Box 29" hidden="1">
              <a:extLst>
                <a:ext uri="{63B3BB69-23CF-44E3-9099-C40C66FF867C}">
                  <a14:compatExt spid="_x0000_s209949"/>
                </a:ext>
                <a:ext uri="{FF2B5EF4-FFF2-40B4-BE49-F238E27FC236}">
                  <a16:creationId xmlns:a16="http://schemas.microsoft.com/office/drawing/2014/main" id="{00000000-0008-0000-1600-00001D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Loose Material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188</xdr:row>
          <xdr:rowOff>9525</xdr:rowOff>
        </xdr:from>
        <xdr:to>
          <xdr:col>7</xdr:col>
          <xdr:colOff>466725</xdr:colOff>
          <xdr:row>189</xdr:row>
          <xdr:rowOff>38100</xdr:rowOff>
        </xdr:to>
        <xdr:sp macro="" textlink="">
          <xdr:nvSpPr>
            <xdr:cNvPr id="209950" name="Check Box 30" hidden="1">
              <a:extLst>
                <a:ext uri="{63B3BB69-23CF-44E3-9099-C40C66FF867C}">
                  <a14:compatExt spid="_x0000_s209950"/>
                </a:ext>
                <a:ext uri="{FF2B5EF4-FFF2-40B4-BE49-F238E27FC236}">
                  <a16:creationId xmlns:a16="http://schemas.microsoft.com/office/drawing/2014/main" id="{00000000-0008-0000-1600-00001E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Fretted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189</xdr:row>
          <xdr:rowOff>0</xdr:rowOff>
        </xdr:from>
        <xdr:to>
          <xdr:col>7</xdr:col>
          <xdr:colOff>447675</xdr:colOff>
          <xdr:row>190</xdr:row>
          <xdr:rowOff>47625</xdr:rowOff>
        </xdr:to>
        <xdr:sp macro="" textlink="">
          <xdr:nvSpPr>
            <xdr:cNvPr id="209951" name="Check Box 31" hidden="1">
              <a:extLst>
                <a:ext uri="{63B3BB69-23CF-44E3-9099-C40C66FF867C}">
                  <a14:compatExt spid="_x0000_s209951"/>
                </a:ext>
                <a:ext uri="{FF2B5EF4-FFF2-40B4-BE49-F238E27FC236}">
                  <a16:creationId xmlns:a16="http://schemas.microsoft.com/office/drawing/2014/main" id="{00000000-0008-0000-1600-00001F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Galled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189</xdr:row>
          <xdr:rowOff>180975</xdr:rowOff>
        </xdr:from>
        <xdr:to>
          <xdr:col>7</xdr:col>
          <xdr:colOff>485775</xdr:colOff>
          <xdr:row>191</xdr:row>
          <xdr:rowOff>57150</xdr:rowOff>
        </xdr:to>
        <xdr:sp macro="" textlink="">
          <xdr:nvSpPr>
            <xdr:cNvPr id="209952" name="Check Box 32" hidden="1">
              <a:extLst>
                <a:ext uri="{63B3BB69-23CF-44E3-9099-C40C66FF867C}">
                  <a14:compatExt spid="_x0000_s209952"/>
                </a:ext>
                <a:ext uri="{FF2B5EF4-FFF2-40B4-BE49-F238E27FC236}">
                  <a16:creationId xmlns:a16="http://schemas.microsoft.com/office/drawing/2014/main" id="{00000000-0008-0000-1600-000020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192</xdr:row>
          <xdr:rowOff>180975</xdr:rowOff>
        </xdr:from>
        <xdr:to>
          <xdr:col>1</xdr:col>
          <xdr:colOff>200025</xdr:colOff>
          <xdr:row>193</xdr:row>
          <xdr:rowOff>180975</xdr:rowOff>
        </xdr:to>
        <xdr:sp macro="" textlink="">
          <xdr:nvSpPr>
            <xdr:cNvPr id="209953" name="Check Box 33" hidden="1">
              <a:extLst>
                <a:ext uri="{63B3BB69-23CF-44E3-9099-C40C66FF867C}">
                  <a14:compatExt spid="_x0000_s209953"/>
                </a:ext>
                <a:ext uri="{FF2B5EF4-FFF2-40B4-BE49-F238E27FC236}">
                  <a16:creationId xmlns:a16="http://schemas.microsoft.com/office/drawing/2014/main" id="{00000000-0008-0000-1600-00002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296</xdr:row>
          <xdr:rowOff>0</xdr:rowOff>
        </xdr:from>
        <xdr:to>
          <xdr:col>1</xdr:col>
          <xdr:colOff>333375</xdr:colOff>
          <xdr:row>297</xdr:row>
          <xdr:rowOff>47625</xdr:rowOff>
        </xdr:to>
        <xdr:sp macro="" textlink="">
          <xdr:nvSpPr>
            <xdr:cNvPr id="209955" name="Check Box 35" hidden="1">
              <a:extLst>
                <a:ext uri="{63B3BB69-23CF-44E3-9099-C40C66FF867C}">
                  <a14:compatExt spid="_x0000_s209955"/>
                </a:ext>
                <a:ext uri="{FF2B5EF4-FFF2-40B4-BE49-F238E27FC236}">
                  <a16:creationId xmlns:a16="http://schemas.microsoft.com/office/drawing/2014/main" id="{00000000-0008-0000-1600-000023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Inpsect Motor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297</xdr:row>
          <xdr:rowOff>19050</xdr:rowOff>
        </xdr:from>
        <xdr:to>
          <xdr:col>2</xdr:col>
          <xdr:colOff>66675</xdr:colOff>
          <xdr:row>298</xdr:row>
          <xdr:rowOff>66675</xdr:rowOff>
        </xdr:to>
        <xdr:sp macro="" textlink="">
          <xdr:nvSpPr>
            <xdr:cNvPr id="209956" name="Check Box 36" hidden="1">
              <a:extLst>
                <a:ext uri="{63B3BB69-23CF-44E3-9099-C40C66FF867C}">
                  <a14:compatExt spid="_x0000_s209956"/>
                </a:ext>
                <a:ext uri="{FF2B5EF4-FFF2-40B4-BE49-F238E27FC236}">
                  <a16:creationId xmlns:a16="http://schemas.microsoft.com/office/drawing/2014/main" id="{00000000-0008-0000-1600-000024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Test Run (before disassembly)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303</xdr:row>
          <xdr:rowOff>104775</xdr:rowOff>
        </xdr:from>
        <xdr:to>
          <xdr:col>1</xdr:col>
          <xdr:colOff>342900</xdr:colOff>
          <xdr:row>304</xdr:row>
          <xdr:rowOff>152400</xdr:rowOff>
        </xdr:to>
        <xdr:sp macro="" textlink="">
          <xdr:nvSpPr>
            <xdr:cNvPr id="209957" name="Check Box 37" hidden="1">
              <a:extLst>
                <a:ext uri="{63B3BB69-23CF-44E3-9099-C40C66FF867C}">
                  <a14:compatExt spid="_x0000_s209957"/>
                </a:ext>
                <a:ext uri="{FF2B5EF4-FFF2-40B4-BE49-F238E27FC236}">
                  <a16:creationId xmlns:a16="http://schemas.microsoft.com/office/drawing/2014/main" id="{00000000-0008-0000-1600-000025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Balance Rotor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299</xdr:row>
          <xdr:rowOff>38100</xdr:rowOff>
        </xdr:from>
        <xdr:to>
          <xdr:col>2</xdr:col>
          <xdr:colOff>228600</xdr:colOff>
          <xdr:row>300</xdr:row>
          <xdr:rowOff>104775</xdr:rowOff>
        </xdr:to>
        <xdr:sp macro="" textlink="">
          <xdr:nvSpPr>
            <xdr:cNvPr id="209958" name="Check Box 38" hidden="1">
              <a:extLst>
                <a:ext uri="{63B3BB69-23CF-44E3-9099-C40C66FF867C}">
                  <a14:compatExt spid="_x0000_s209958"/>
                </a:ext>
                <a:ext uri="{FF2B5EF4-FFF2-40B4-BE49-F238E27FC236}">
                  <a16:creationId xmlns:a16="http://schemas.microsoft.com/office/drawing/2014/main" id="{00000000-0008-0000-1600-000026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Shaft, Housing and Journal Fits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300</xdr:row>
          <xdr:rowOff>57150</xdr:rowOff>
        </xdr:from>
        <xdr:to>
          <xdr:col>1</xdr:col>
          <xdr:colOff>847725</xdr:colOff>
          <xdr:row>301</xdr:row>
          <xdr:rowOff>123825</xdr:rowOff>
        </xdr:to>
        <xdr:sp macro="" textlink="">
          <xdr:nvSpPr>
            <xdr:cNvPr id="209959" name="Check Box 39" hidden="1">
              <a:extLst>
                <a:ext uri="{63B3BB69-23CF-44E3-9099-C40C66FF867C}">
                  <a14:compatExt spid="_x0000_s209959"/>
                </a:ext>
                <a:ext uri="{FF2B5EF4-FFF2-40B4-BE49-F238E27FC236}">
                  <a16:creationId xmlns:a16="http://schemas.microsoft.com/office/drawing/2014/main" id="{00000000-0008-0000-1600-000027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Perform Surge &amp; HiPot Tests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302</xdr:row>
          <xdr:rowOff>85725</xdr:rowOff>
        </xdr:from>
        <xdr:to>
          <xdr:col>1</xdr:col>
          <xdr:colOff>847725</xdr:colOff>
          <xdr:row>303</xdr:row>
          <xdr:rowOff>142875</xdr:rowOff>
        </xdr:to>
        <xdr:sp macro="" textlink="">
          <xdr:nvSpPr>
            <xdr:cNvPr id="209960" name="Check Box 40" hidden="1">
              <a:extLst>
                <a:ext uri="{63B3BB69-23CF-44E3-9099-C40C66FF867C}">
                  <a14:compatExt spid="_x0000_s209960"/>
                </a:ext>
                <a:ext uri="{FF2B5EF4-FFF2-40B4-BE49-F238E27FC236}">
                  <a16:creationId xmlns:a16="http://schemas.microsoft.com/office/drawing/2014/main" id="{00000000-0008-0000-1600-000028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Clean Parts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298</xdr:row>
          <xdr:rowOff>38100</xdr:rowOff>
        </xdr:from>
        <xdr:to>
          <xdr:col>1</xdr:col>
          <xdr:colOff>847725</xdr:colOff>
          <xdr:row>299</xdr:row>
          <xdr:rowOff>66675</xdr:rowOff>
        </xdr:to>
        <xdr:sp macro="" textlink="">
          <xdr:nvSpPr>
            <xdr:cNvPr id="209961" name="Check Box 41" hidden="1">
              <a:extLst>
                <a:ext uri="{63B3BB69-23CF-44E3-9099-C40C66FF867C}">
                  <a14:compatExt spid="_x0000_s209961"/>
                </a:ext>
                <a:ext uri="{FF2B5EF4-FFF2-40B4-BE49-F238E27FC236}">
                  <a16:creationId xmlns:a16="http://schemas.microsoft.com/office/drawing/2014/main" id="{00000000-0008-0000-1600-000029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Disassemble Motor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296</xdr:row>
          <xdr:rowOff>9525</xdr:rowOff>
        </xdr:from>
        <xdr:to>
          <xdr:col>3</xdr:col>
          <xdr:colOff>695325</xdr:colOff>
          <xdr:row>297</xdr:row>
          <xdr:rowOff>66675</xdr:rowOff>
        </xdr:to>
        <xdr:sp macro="" textlink="">
          <xdr:nvSpPr>
            <xdr:cNvPr id="209962" name="Check Box 42" hidden="1">
              <a:extLst>
                <a:ext uri="{63B3BB69-23CF-44E3-9099-C40C66FF867C}">
                  <a14:compatExt spid="_x0000_s209962"/>
                </a:ext>
                <a:ext uri="{FF2B5EF4-FFF2-40B4-BE49-F238E27FC236}">
                  <a16:creationId xmlns:a16="http://schemas.microsoft.com/office/drawing/2014/main" id="{00000000-0008-0000-1600-00002A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Dip and Bake Stator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297</xdr:row>
          <xdr:rowOff>28575</xdr:rowOff>
        </xdr:from>
        <xdr:to>
          <xdr:col>3</xdr:col>
          <xdr:colOff>695325</xdr:colOff>
          <xdr:row>298</xdr:row>
          <xdr:rowOff>66675</xdr:rowOff>
        </xdr:to>
        <xdr:sp macro="" textlink="">
          <xdr:nvSpPr>
            <xdr:cNvPr id="209963" name="Check Box 43" hidden="1">
              <a:extLst>
                <a:ext uri="{63B3BB69-23CF-44E3-9099-C40C66FF867C}">
                  <a14:compatExt spid="_x0000_s209963"/>
                </a:ext>
                <a:ext uri="{FF2B5EF4-FFF2-40B4-BE49-F238E27FC236}">
                  <a16:creationId xmlns:a16="http://schemas.microsoft.com/office/drawing/2014/main" id="{00000000-0008-0000-1600-00002B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Assemble Motor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298</xdr:row>
          <xdr:rowOff>38100</xdr:rowOff>
        </xdr:from>
        <xdr:to>
          <xdr:col>4</xdr:col>
          <xdr:colOff>171450</xdr:colOff>
          <xdr:row>299</xdr:row>
          <xdr:rowOff>85725</xdr:rowOff>
        </xdr:to>
        <xdr:sp macro="" textlink="">
          <xdr:nvSpPr>
            <xdr:cNvPr id="209964" name="Check Box 44" hidden="1">
              <a:extLst>
                <a:ext uri="{63B3BB69-23CF-44E3-9099-C40C66FF867C}">
                  <a14:compatExt spid="_x0000_s209964"/>
                </a:ext>
                <a:ext uri="{FF2B5EF4-FFF2-40B4-BE49-F238E27FC236}">
                  <a16:creationId xmlns:a16="http://schemas.microsoft.com/office/drawing/2014/main" id="{00000000-0008-0000-1600-00002C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Test Run (after assembly)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302</xdr:row>
          <xdr:rowOff>95250</xdr:rowOff>
        </xdr:from>
        <xdr:to>
          <xdr:col>3</xdr:col>
          <xdr:colOff>533400</xdr:colOff>
          <xdr:row>303</xdr:row>
          <xdr:rowOff>142875</xdr:rowOff>
        </xdr:to>
        <xdr:sp macro="" textlink="">
          <xdr:nvSpPr>
            <xdr:cNvPr id="209965" name="Check Box 45" hidden="1">
              <a:extLst>
                <a:ext uri="{63B3BB69-23CF-44E3-9099-C40C66FF867C}">
                  <a14:compatExt spid="_x0000_s209965"/>
                </a:ext>
                <a:ext uri="{FF2B5EF4-FFF2-40B4-BE49-F238E27FC236}">
                  <a16:creationId xmlns:a16="http://schemas.microsoft.com/office/drawing/2014/main" id="{00000000-0008-0000-1600-00002D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Tag Motor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301</xdr:row>
          <xdr:rowOff>85725</xdr:rowOff>
        </xdr:from>
        <xdr:to>
          <xdr:col>3</xdr:col>
          <xdr:colOff>695325</xdr:colOff>
          <xdr:row>302</xdr:row>
          <xdr:rowOff>142875</xdr:rowOff>
        </xdr:to>
        <xdr:sp macro="" textlink="">
          <xdr:nvSpPr>
            <xdr:cNvPr id="209966" name="Check Box 46" hidden="1">
              <a:extLst>
                <a:ext uri="{63B3BB69-23CF-44E3-9099-C40C66FF867C}">
                  <a14:compatExt spid="_x0000_s209966"/>
                </a:ext>
                <a:ext uri="{FF2B5EF4-FFF2-40B4-BE49-F238E27FC236}">
                  <a16:creationId xmlns:a16="http://schemas.microsoft.com/office/drawing/2014/main" id="{00000000-0008-0000-1600-00002E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Paint Motor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301</xdr:row>
          <xdr:rowOff>76200</xdr:rowOff>
        </xdr:from>
        <xdr:to>
          <xdr:col>1</xdr:col>
          <xdr:colOff>847725</xdr:colOff>
          <xdr:row>302</xdr:row>
          <xdr:rowOff>123825</xdr:rowOff>
        </xdr:to>
        <xdr:sp macro="" textlink="">
          <xdr:nvSpPr>
            <xdr:cNvPr id="209967" name="Check Box 47" hidden="1">
              <a:extLst>
                <a:ext uri="{63B3BB69-23CF-44E3-9099-C40C66FF867C}">
                  <a14:compatExt spid="_x0000_s209967"/>
                </a:ext>
                <a:ext uri="{FF2B5EF4-FFF2-40B4-BE49-F238E27FC236}">
                  <a16:creationId xmlns:a16="http://schemas.microsoft.com/office/drawing/2014/main" id="{00000000-0008-0000-1600-00002F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Perform Core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299</xdr:row>
          <xdr:rowOff>57150</xdr:rowOff>
        </xdr:from>
        <xdr:to>
          <xdr:col>3</xdr:col>
          <xdr:colOff>342900</xdr:colOff>
          <xdr:row>300</xdr:row>
          <xdr:rowOff>104775</xdr:rowOff>
        </xdr:to>
        <xdr:sp macro="" textlink="">
          <xdr:nvSpPr>
            <xdr:cNvPr id="209968" name="Check Box 48" hidden="1">
              <a:extLst>
                <a:ext uri="{63B3BB69-23CF-44E3-9099-C40C66FF867C}">
                  <a14:compatExt spid="_x0000_s209968"/>
                </a:ext>
                <a:ext uri="{FF2B5EF4-FFF2-40B4-BE49-F238E27FC236}">
                  <a16:creationId xmlns:a16="http://schemas.microsoft.com/office/drawing/2014/main" id="{00000000-0008-0000-1600-000030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Reinsulate Leads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300</xdr:row>
          <xdr:rowOff>85725</xdr:rowOff>
        </xdr:from>
        <xdr:to>
          <xdr:col>3</xdr:col>
          <xdr:colOff>904875</xdr:colOff>
          <xdr:row>301</xdr:row>
          <xdr:rowOff>104775</xdr:rowOff>
        </xdr:to>
        <xdr:sp macro="" textlink="">
          <xdr:nvSpPr>
            <xdr:cNvPr id="209969" name="Check Box 49" hidden="1">
              <a:extLst>
                <a:ext uri="{63B3BB69-23CF-44E3-9099-C40C66FF867C}">
                  <a14:compatExt spid="_x0000_s209969"/>
                </a:ext>
                <a:ext uri="{FF2B5EF4-FFF2-40B4-BE49-F238E27FC236}">
                  <a16:creationId xmlns:a16="http://schemas.microsoft.com/office/drawing/2014/main" id="{00000000-0008-0000-1600-00003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Make New Gaskets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301</xdr:row>
          <xdr:rowOff>95250</xdr:rowOff>
        </xdr:from>
        <xdr:to>
          <xdr:col>8</xdr:col>
          <xdr:colOff>238125</xdr:colOff>
          <xdr:row>302</xdr:row>
          <xdr:rowOff>152400</xdr:rowOff>
        </xdr:to>
        <xdr:sp macro="" textlink="">
          <xdr:nvSpPr>
            <xdr:cNvPr id="209970" name="Check Box 50" hidden="1">
              <a:extLst>
                <a:ext uri="{63B3BB69-23CF-44E3-9099-C40C66FF867C}">
                  <a14:compatExt spid="_x0000_s209970"/>
                </a:ext>
                <a:ext uri="{FF2B5EF4-FFF2-40B4-BE49-F238E27FC236}">
                  <a16:creationId xmlns:a16="http://schemas.microsoft.com/office/drawing/2014/main" id="{00000000-0008-0000-1600-00003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Cut Face True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302</xdr:row>
          <xdr:rowOff>142875</xdr:rowOff>
        </xdr:from>
        <xdr:to>
          <xdr:col>7</xdr:col>
          <xdr:colOff>533400</xdr:colOff>
          <xdr:row>303</xdr:row>
          <xdr:rowOff>152400</xdr:rowOff>
        </xdr:to>
        <xdr:sp macro="" textlink="">
          <xdr:nvSpPr>
            <xdr:cNvPr id="209971" name="Check Box 51" hidden="1">
              <a:extLst>
                <a:ext uri="{63B3BB69-23CF-44E3-9099-C40C66FF867C}">
                  <a14:compatExt spid="_x0000_s209971"/>
                </a:ext>
                <a:ext uri="{FF2B5EF4-FFF2-40B4-BE49-F238E27FC236}">
                  <a16:creationId xmlns:a16="http://schemas.microsoft.com/office/drawing/2014/main" id="{00000000-0008-0000-1600-000033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Cut Register True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386</xdr:row>
          <xdr:rowOff>82826</xdr:rowOff>
        </xdr:from>
        <xdr:to>
          <xdr:col>8</xdr:col>
          <xdr:colOff>333381</xdr:colOff>
          <xdr:row>388</xdr:row>
          <xdr:rowOff>127803</xdr:rowOff>
        </xdr:to>
        <xdr:grpSp>
          <xdr:nvGrpSpPr>
            <xdr:cNvPr id="91" name="Group 90">
              <a:extLst>
                <a:ext uri="{FF2B5EF4-FFF2-40B4-BE49-F238E27FC236}">
                  <a16:creationId xmlns:a16="http://schemas.microsoft.com/office/drawing/2014/main" id="{00000000-0008-0000-1600-00005B000000}"/>
                </a:ext>
              </a:extLst>
            </xdr:cNvPr>
            <xdr:cNvGrpSpPr/>
          </xdr:nvGrpSpPr>
          <xdr:grpSpPr>
            <a:xfrm>
              <a:off x="104775" y="72790202"/>
              <a:ext cx="6578606" cy="521370"/>
              <a:chOff x="114300" y="39309545"/>
              <a:chExt cx="6972300" cy="545386"/>
            </a:xfrm>
          </xdr:grpSpPr>
          <xdr:sp macro="" textlink="">
            <xdr:nvSpPr>
              <xdr:cNvPr id="210006" name="Check Box 86" hidden="1">
                <a:extLst>
                  <a:ext uri="{63B3BB69-23CF-44E3-9099-C40C66FF867C}">
                    <a14:compatExt spid="_x0000_s210006"/>
                  </a:ext>
                  <a:ext uri="{FF2B5EF4-FFF2-40B4-BE49-F238E27FC236}">
                    <a16:creationId xmlns:a16="http://schemas.microsoft.com/office/drawing/2014/main" id="{00000000-0008-0000-1600-000056340300}"/>
                  </a:ext>
                </a:extLst>
              </xdr:cNvPr>
              <xdr:cNvSpPr/>
            </xdr:nvSpPr>
            <xdr:spPr bwMode="auto">
              <a:xfrm>
                <a:off x="3289795" y="39328723"/>
                <a:ext cx="1095375" cy="21907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Re-insulate Leads</a:t>
                </a:r>
              </a:p>
            </xdr:txBody>
          </xdr:sp>
          <xdr:sp macro="" textlink="">
            <xdr:nvSpPr>
              <xdr:cNvPr id="210007" name="Check Box 87" hidden="1">
                <a:extLst>
                  <a:ext uri="{63B3BB69-23CF-44E3-9099-C40C66FF867C}">
                    <a14:compatExt spid="_x0000_s210007"/>
                  </a:ext>
                  <a:ext uri="{FF2B5EF4-FFF2-40B4-BE49-F238E27FC236}">
                    <a16:creationId xmlns:a16="http://schemas.microsoft.com/office/drawing/2014/main" id="{00000000-0008-0000-1600-000057340300}"/>
                  </a:ext>
                </a:extLst>
              </xdr:cNvPr>
              <xdr:cNvSpPr/>
            </xdr:nvSpPr>
            <xdr:spPr bwMode="auto">
              <a:xfrm>
                <a:off x="1620722" y="39338249"/>
                <a:ext cx="866774" cy="20954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Add Metal Tags</a:t>
                </a:r>
              </a:p>
            </xdr:txBody>
          </xdr:sp>
          <xdr:sp macro="" textlink="">
            <xdr:nvSpPr>
              <xdr:cNvPr id="210008" name="Check Box 88" hidden="1">
                <a:extLst>
                  <a:ext uri="{63B3BB69-23CF-44E3-9099-C40C66FF867C}">
                    <a14:compatExt spid="_x0000_s210008"/>
                  </a:ext>
                  <a:ext uri="{FF2B5EF4-FFF2-40B4-BE49-F238E27FC236}">
                    <a16:creationId xmlns:a16="http://schemas.microsoft.com/office/drawing/2014/main" id="{00000000-0008-0000-1600-000058340300}"/>
                  </a:ext>
                </a:extLst>
              </xdr:cNvPr>
              <xdr:cNvSpPr/>
            </xdr:nvSpPr>
            <xdr:spPr bwMode="auto">
              <a:xfrm>
                <a:off x="1620722" y="39614461"/>
                <a:ext cx="1076324" cy="20954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Re-Apply Color tape</a:t>
                </a:r>
              </a:p>
            </xdr:txBody>
          </xdr:sp>
          <xdr:sp macro="" textlink="">
            <xdr:nvSpPr>
              <xdr:cNvPr id="210009" name="Check Box 89" hidden="1">
                <a:extLst>
                  <a:ext uri="{63B3BB69-23CF-44E3-9099-C40C66FF867C}">
                    <a14:compatExt spid="_x0000_s210009"/>
                  </a:ext>
                  <a:ext uri="{FF2B5EF4-FFF2-40B4-BE49-F238E27FC236}">
                    <a16:creationId xmlns:a16="http://schemas.microsoft.com/office/drawing/2014/main" id="{00000000-0008-0000-1600-000059340300}"/>
                  </a:ext>
                </a:extLst>
              </xdr:cNvPr>
              <xdr:cNvSpPr/>
            </xdr:nvSpPr>
            <xdr:spPr bwMode="auto">
              <a:xfrm>
                <a:off x="3289795" y="39614461"/>
                <a:ext cx="1038225" cy="20954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Seal Leads</a:t>
                </a:r>
              </a:p>
            </xdr:txBody>
          </xdr:sp>
          <xdr:sp macro="" textlink="">
            <xdr:nvSpPr>
              <xdr:cNvPr id="210010" name="Check Box 90" hidden="1">
                <a:extLst>
                  <a:ext uri="{63B3BB69-23CF-44E3-9099-C40C66FF867C}">
                    <a14:compatExt spid="_x0000_s210010"/>
                  </a:ext>
                  <a:ext uri="{FF2B5EF4-FFF2-40B4-BE49-F238E27FC236}">
                    <a16:creationId xmlns:a16="http://schemas.microsoft.com/office/drawing/2014/main" id="{00000000-0008-0000-1600-00005A340300}"/>
                  </a:ext>
                </a:extLst>
              </xdr:cNvPr>
              <xdr:cNvSpPr/>
            </xdr:nvSpPr>
            <xdr:spPr bwMode="auto">
              <a:xfrm>
                <a:off x="6219099" y="39328723"/>
                <a:ext cx="815486" cy="20002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Splice Lead</a:t>
                </a:r>
              </a:p>
            </xdr:txBody>
          </xdr:sp>
          <xdr:sp macro="" textlink="">
            <xdr:nvSpPr>
              <xdr:cNvPr id="210011" name="Check Box 91" hidden="1">
                <a:extLst>
                  <a:ext uri="{63B3BB69-23CF-44E3-9099-C40C66FF867C}">
                    <a14:compatExt spid="_x0000_s210011"/>
                  </a:ext>
                  <a:ext uri="{FF2B5EF4-FFF2-40B4-BE49-F238E27FC236}">
                    <a16:creationId xmlns:a16="http://schemas.microsoft.com/office/drawing/2014/main" id="{00000000-0008-0000-1600-00005B340300}"/>
                  </a:ext>
                </a:extLst>
              </xdr:cNvPr>
              <xdr:cNvSpPr/>
            </xdr:nvSpPr>
            <xdr:spPr bwMode="auto">
              <a:xfrm>
                <a:off x="6219096" y="39614461"/>
                <a:ext cx="867504" cy="20954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Re-lead</a:t>
                </a:r>
              </a:p>
            </xdr:txBody>
          </xdr:sp>
          <xdr:sp macro="" textlink="">
            <xdr:nvSpPr>
              <xdr:cNvPr id="210012" name="Check Box 92" hidden="1">
                <a:extLst>
                  <a:ext uri="{63B3BB69-23CF-44E3-9099-C40C66FF867C}">
                    <a14:compatExt spid="_x0000_s210012"/>
                  </a:ext>
                  <a:ext uri="{FF2B5EF4-FFF2-40B4-BE49-F238E27FC236}">
                    <a16:creationId xmlns:a16="http://schemas.microsoft.com/office/drawing/2014/main" id="{00000000-0008-0000-1600-00005C340300}"/>
                  </a:ext>
                </a:extLst>
              </xdr:cNvPr>
              <xdr:cNvSpPr/>
            </xdr:nvSpPr>
            <xdr:spPr bwMode="auto">
              <a:xfrm>
                <a:off x="4966195" y="39614461"/>
                <a:ext cx="814753" cy="20954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Sodder Leads</a:t>
                </a:r>
              </a:p>
            </xdr:txBody>
          </xdr:sp>
          <xdr:sp macro="" textlink="">
            <xdr:nvSpPr>
              <xdr:cNvPr id="210013" name="Check Box 93" hidden="1">
                <a:extLst>
                  <a:ext uri="{63B3BB69-23CF-44E3-9099-C40C66FF867C}">
                    <a14:compatExt spid="_x0000_s210013"/>
                  </a:ext>
                  <a:ext uri="{FF2B5EF4-FFF2-40B4-BE49-F238E27FC236}">
                    <a16:creationId xmlns:a16="http://schemas.microsoft.com/office/drawing/2014/main" id="{00000000-0008-0000-1600-00005D340300}"/>
                  </a:ext>
                </a:extLst>
              </xdr:cNvPr>
              <xdr:cNvSpPr/>
            </xdr:nvSpPr>
            <xdr:spPr bwMode="auto">
              <a:xfrm>
                <a:off x="4966195" y="39319199"/>
                <a:ext cx="786178" cy="21907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Re-Lug Leads</a:t>
                </a:r>
              </a:p>
            </xdr:txBody>
          </xdr:sp>
          <xdr:sp macro="" textlink="">
            <xdr:nvSpPr>
              <xdr:cNvPr id="210014" name="Check Box 94" hidden="1">
                <a:extLst>
                  <a:ext uri="{63B3BB69-23CF-44E3-9099-C40C66FF867C}">
                    <a14:compatExt spid="_x0000_s210014"/>
                  </a:ext>
                  <a:ext uri="{FF2B5EF4-FFF2-40B4-BE49-F238E27FC236}">
                    <a16:creationId xmlns:a16="http://schemas.microsoft.com/office/drawing/2014/main" id="{00000000-0008-0000-1600-00005E340300}"/>
                  </a:ext>
                </a:extLst>
              </xdr:cNvPr>
              <xdr:cNvSpPr/>
            </xdr:nvSpPr>
            <xdr:spPr bwMode="auto">
              <a:xfrm>
                <a:off x="114300" y="39309545"/>
                <a:ext cx="1371600" cy="24863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Rewind Rotor</a:t>
                </a:r>
              </a:p>
            </xdr:txBody>
          </xdr:sp>
          <xdr:sp macro="" textlink="">
            <xdr:nvSpPr>
              <xdr:cNvPr id="210015" name="Check Box 95" hidden="1">
                <a:extLst>
                  <a:ext uri="{63B3BB69-23CF-44E3-9099-C40C66FF867C}">
                    <a14:compatExt spid="_x0000_s210015"/>
                  </a:ext>
                  <a:ext uri="{FF2B5EF4-FFF2-40B4-BE49-F238E27FC236}">
                    <a16:creationId xmlns:a16="http://schemas.microsoft.com/office/drawing/2014/main" id="{00000000-0008-0000-1600-00005F340300}"/>
                  </a:ext>
                </a:extLst>
              </xdr:cNvPr>
              <xdr:cNvSpPr/>
            </xdr:nvSpPr>
            <xdr:spPr bwMode="auto">
              <a:xfrm>
                <a:off x="114300" y="39606291"/>
                <a:ext cx="1371600" cy="24864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Rewind Stator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657225</xdr:colOff>
          <xdr:row>615</xdr:row>
          <xdr:rowOff>19050</xdr:rowOff>
        </xdr:from>
        <xdr:to>
          <xdr:col>6</xdr:col>
          <xdr:colOff>323850</xdr:colOff>
          <xdr:row>616</xdr:row>
          <xdr:rowOff>114300</xdr:rowOff>
        </xdr:to>
        <xdr:sp macro="" textlink="">
          <xdr:nvSpPr>
            <xdr:cNvPr id="210028" name="Check Box 108" hidden="1">
              <a:extLst>
                <a:ext uri="{63B3BB69-23CF-44E3-9099-C40C66FF867C}">
                  <a14:compatExt spid="_x0000_s210028"/>
                </a:ext>
                <a:ext uri="{FF2B5EF4-FFF2-40B4-BE49-F238E27FC236}">
                  <a16:creationId xmlns:a16="http://schemas.microsoft.com/office/drawing/2014/main" id="{00000000-0008-0000-1600-00006C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Washers and Screws (Add)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615</xdr:row>
          <xdr:rowOff>19050</xdr:rowOff>
        </xdr:from>
        <xdr:to>
          <xdr:col>8</xdr:col>
          <xdr:colOff>133350</xdr:colOff>
          <xdr:row>616</xdr:row>
          <xdr:rowOff>114300</xdr:rowOff>
        </xdr:to>
        <xdr:sp macro="" textlink="">
          <xdr:nvSpPr>
            <xdr:cNvPr id="210029" name="Check Box 109" hidden="1">
              <a:extLst>
                <a:ext uri="{63B3BB69-23CF-44E3-9099-C40C66FF867C}">
                  <a14:compatExt spid="_x0000_s210029"/>
                </a:ext>
                <a:ext uri="{FF2B5EF4-FFF2-40B4-BE49-F238E27FC236}">
                  <a16:creationId xmlns:a16="http://schemas.microsoft.com/office/drawing/2014/main" id="{00000000-0008-0000-1600-00006D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Dynaweight (Add)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657225</xdr:colOff>
          <xdr:row>616</xdr:row>
          <xdr:rowOff>142875</xdr:rowOff>
        </xdr:from>
        <xdr:to>
          <xdr:col>6</xdr:col>
          <xdr:colOff>257175</xdr:colOff>
          <xdr:row>617</xdr:row>
          <xdr:rowOff>152400</xdr:rowOff>
        </xdr:to>
        <xdr:sp macro="" textlink="">
          <xdr:nvSpPr>
            <xdr:cNvPr id="210030" name="Check Box 110" hidden="1">
              <a:extLst>
                <a:ext uri="{63B3BB69-23CF-44E3-9099-C40C66FF867C}">
                  <a14:compatExt spid="_x0000_s210030"/>
                </a:ext>
                <a:ext uri="{FF2B5EF4-FFF2-40B4-BE49-F238E27FC236}">
                  <a16:creationId xmlns:a16="http://schemas.microsoft.com/office/drawing/2014/main" id="{00000000-0008-0000-1600-00006E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Clip Casting (Remove 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616</xdr:row>
          <xdr:rowOff>104775</xdr:rowOff>
        </xdr:from>
        <xdr:to>
          <xdr:col>8</xdr:col>
          <xdr:colOff>152400</xdr:colOff>
          <xdr:row>618</xdr:row>
          <xdr:rowOff>9525</xdr:rowOff>
        </xdr:to>
        <xdr:sp macro="" textlink="">
          <xdr:nvSpPr>
            <xdr:cNvPr id="210031" name="Check Box 111" hidden="1">
              <a:extLst>
                <a:ext uri="{63B3BB69-23CF-44E3-9099-C40C66FF867C}">
                  <a14:compatExt spid="_x0000_s210031"/>
                </a:ext>
                <a:ext uri="{FF2B5EF4-FFF2-40B4-BE49-F238E27FC236}">
                  <a16:creationId xmlns:a16="http://schemas.microsoft.com/office/drawing/2014/main" id="{00000000-0008-0000-1600-00006F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Grind (Remove)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702</xdr:row>
          <xdr:rowOff>9525</xdr:rowOff>
        </xdr:from>
        <xdr:to>
          <xdr:col>4</xdr:col>
          <xdr:colOff>200025</xdr:colOff>
          <xdr:row>702</xdr:row>
          <xdr:rowOff>200025</xdr:rowOff>
        </xdr:to>
        <xdr:sp macro="" textlink="">
          <xdr:nvSpPr>
            <xdr:cNvPr id="210033" name="Check Box 113" hidden="1">
              <a:extLst>
                <a:ext uri="{63B3BB69-23CF-44E3-9099-C40C66FF867C}">
                  <a14:compatExt spid="_x0000_s210033"/>
                </a:ext>
                <a:ext uri="{FF2B5EF4-FFF2-40B4-BE49-F238E27FC236}">
                  <a16:creationId xmlns:a16="http://schemas.microsoft.com/office/drawing/2014/main" id="{00000000-0008-0000-1600-00007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Measured With Load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17</xdr:row>
          <xdr:rowOff>28575</xdr:rowOff>
        </xdr:from>
        <xdr:to>
          <xdr:col>2</xdr:col>
          <xdr:colOff>676275</xdr:colOff>
          <xdr:row>17</xdr:row>
          <xdr:rowOff>266700</xdr:rowOff>
        </xdr:to>
        <xdr:sp macro="" textlink="">
          <xdr:nvSpPr>
            <xdr:cNvPr id="210034" name="Check Box 114" hidden="1">
              <a:extLst>
                <a:ext uri="{63B3BB69-23CF-44E3-9099-C40C66FF867C}">
                  <a14:compatExt spid="_x0000_s210034"/>
                </a:ext>
                <a:ext uri="{FF2B5EF4-FFF2-40B4-BE49-F238E27FC236}">
                  <a16:creationId xmlns:a16="http://schemas.microsoft.com/office/drawing/2014/main" id="{00000000-0008-0000-1600-00007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Gearbox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17</xdr:row>
          <xdr:rowOff>28575</xdr:rowOff>
        </xdr:from>
        <xdr:to>
          <xdr:col>3</xdr:col>
          <xdr:colOff>809625</xdr:colOff>
          <xdr:row>17</xdr:row>
          <xdr:rowOff>276225</xdr:rowOff>
        </xdr:to>
        <xdr:sp macro="" textlink="">
          <xdr:nvSpPr>
            <xdr:cNvPr id="210035" name="Check Box 115" descr="Gearbox" hidden="1">
              <a:extLst>
                <a:ext uri="{63B3BB69-23CF-44E3-9099-C40C66FF867C}">
                  <a14:compatExt spid="_x0000_s210035"/>
                </a:ext>
                <a:ext uri="{FF2B5EF4-FFF2-40B4-BE49-F238E27FC236}">
                  <a16:creationId xmlns:a16="http://schemas.microsoft.com/office/drawing/2014/main" id="{00000000-0008-0000-1600-000073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17</xdr:row>
          <xdr:rowOff>28575</xdr:rowOff>
        </xdr:from>
        <xdr:to>
          <xdr:col>3</xdr:col>
          <xdr:colOff>295275</xdr:colOff>
          <xdr:row>17</xdr:row>
          <xdr:rowOff>266700</xdr:rowOff>
        </xdr:to>
        <xdr:sp macro="" textlink="">
          <xdr:nvSpPr>
            <xdr:cNvPr id="210036" name="Check Box 116" hidden="1">
              <a:extLst>
                <a:ext uri="{63B3BB69-23CF-44E3-9099-C40C66FF867C}">
                  <a14:compatExt spid="_x0000_s210036"/>
                </a:ext>
                <a:ext uri="{FF2B5EF4-FFF2-40B4-BE49-F238E27FC236}">
                  <a16:creationId xmlns:a16="http://schemas.microsoft.com/office/drawing/2014/main" id="{00000000-0008-0000-1600-000074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Brake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17</xdr:row>
          <xdr:rowOff>257175</xdr:rowOff>
        </xdr:from>
        <xdr:to>
          <xdr:col>7</xdr:col>
          <xdr:colOff>38100</xdr:colOff>
          <xdr:row>19</xdr:row>
          <xdr:rowOff>57150</xdr:rowOff>
        </xdr:to>
        <xdr:sp macro="" textlink="">
          <xdr:nvSpPr>
            <xdr:cNvPr id="210037" name="Check Box 117" hidden="1">
              <a:extLst>
                <a:ext uri="{63B3BB69-23CF-44E3-9099-C40C66FF867C}">
                  <a14:compatExt spid="_x0000_s210037"/>
                </a:ext>
                <a:ext uri="{FF2B5EF4-FFF2-40B4-BE49-F238E27FC236}">
                  <a16:creationId xmlns:a16="http://schemas.microsoft.com/office/drawing/2014/main" id="{00000000-0008-0000-1600-000075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Coupling/Pulley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60960</xdr:colOff>
      <xdr:row>1</xdr:row>
      <xdr:rowOff>135255</xdr:rowOff>
    </xdr:to>
    <xdr:sp macro="[0]!goto_main" textlink="">
      <xdr:nvSpPr>
        <xdr:cNvPr id="111" name="Rectangle 110">
          <a:extLst>
            <a:ext uri="{FF2B5EF4-FFF2-40B4-BE49-F238E27FC236}">
              <a16:creationId xmlns:a16="http://schemas.microsoft.com/office/drawing/2014/main" id="{00000000-0008-0000-1600-00006F000000}"/>
            </a:ext>
          </a:extLst>
        </xdr:cNvPr>
        <xdr:cNvSpPr/>
      </xdr:nvSpPr>
      <xdr:spPr>
        <a:xfrm>
          <a:off x="0" y="0"/>
          <a:ext cx="1051560" cy="33528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MAIN MENU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17</xdr:row>
          <xdr:rowOff>47625</xdr:rowOff>
        </xdr:from>
        <xdr:to>
          <xdr:col>5</xdr:col>
          <xdr:colOff>504825</xdr:colOff>
          <xdr:row>18</xdr:row>
          <xdr:rowOff>0</xdr:rowOff>
        </xdr:to>
        <xdr:sp macro="" textlink="">
          <xdr:nvSpPr>
            <xdr:cNvPr id="210038" name="Check Box 118" descr="Gearbox" hidden="1">
              <a:extLst>
                <a:ext uri="{63B3BB69-23CF-44E3-9099-C40C66FF867C}">
                  <a14:compatExt spid="_x0000_s210038"/>
                </a:ext>
                <a:ext uri="{FF2B5EF4-FFF2-40B4-BE49-F238E27FC236}">
                  <a16:creationId xmlns:a16="http://schemas.microsoft.com/office/drawing/2014/main" id="{00000000-0008-0000-1600-000076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Compressor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866775</xdr:colOff>
          <xdr:row>17</xdr:row>
          <xdr:rowOff>47625</xdr:rowOff>
        </xdr:from>
        <xdr:to>
          <xdr:col>4</xdr:col>
          <xdr:colOff>561975</xdr:colOff>
          <xdr:row>17</xdr:row>
          <xdr:rowOff>257175</xdr:rowOff>
        </xdr:to>
        <xdr:sp macro="" textlink="">
          <xdr:nvSpPr>
            <xdr:cNvPr id="210039" name="Check Box 119" hidden="1">
              <a:extLst>
                <a:ext uri="{63B3BB69-23CF-44E3-9099-C40C66FF867C}">
                  <a14:compatExt spid="_x0000_s210039"/>
                </a:ext>
                <a:ext uri="{FF2B5EF4-FFF2-40B4-BE49-F238E27FC236}">
                  <a16:creationId xmlns:a16="http://schemas.microsoft.com/office/drawing/2014/main" id="{00000000-0008-0000-1600-000077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24</xdr:row>
          <xdr:rowOff>28575</xdr:rowOff>
        </xdr:from>
        <xdr:to>
          <xdr:col>7</xdr:col>
          <xdr:colOff>342900</xdr:colOff>
          <xdr:row>25</xdr:row>
          <xdr:rowOff>47625</xdr:rowOff>
        </xdr:to>
        <xdr:sp macro="" textlink="">
          <xdr:nvSpPr>
            <xdr:cNvPr id="210040" name="Check Box 120" hidden="1">
              <a:extLst>
                <a:ext uri="{63B3BB69-23CF-44E3-9099-C40C66FF867C}">
                  <a14:compatExt spid="_x0000_s210040"/>
                </a:ext>
                <a:ext uri="{FF2B5EF4-FFF2-40B4-BE49-F238E27FC236}">
                  <a16:creationId xmlns:a16="http://schemas.microsoft.com/office/drawing/2014/main" id="{00000000-0008-0000-1600-000078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Dirty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25</xdr:row>
          <xdr:rowOff>142875</xdr:rowOff>
        </xdr:from>
        <xdr:to>
          <xdr:col>6</xdr:col>
          <xdr:colOff>428625</xdr:colOff>
          <xdr:row>26</xdr:row>
          <xdr:rowOff>161925</xdr:rowOff>
        </xdr:to>
        <xdr:sp macro="" textlink="">
          <xdr:nvSpPr>
            <xdr:cNvPr id="210041" name="Check Box 121" hidden="1">
              <a:extLst>
                <a:ext uri="{63B3BB69-23CF-44E3-9099-C40C66FF867C}">
                  <a14:compatExt spid="_x0000_s210041"/>
                </a:ext>
                <a:ext uri="{FF2B5EF4-FFF2-40B4-BE49-F238E27FC236}">
                  <a16:creationId xmlns:a16="http://schemas.microsoft.com/office/drawing/2014/main" id="{00000000-0008-0000-1600-000079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Oily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24</xdr:row>
          <xdr:rowOff>38100</xdr:rowOff>
        </xdr:from>
        <xdr:to>
          <xdr:col>8</xdr:col>
          <xdr:colOff>133350</xdr:colOff>
          <xdr:row>25</xdr:row>
          <xdr:rowOff>57150</xdr:rowOff>
        </xdr:to>
        <xdr:sp macro="" textlink="">
          <xdr:nvSpPr>
            <xdr:cNvPr id="210042" name="Check Box 122" hidden="1">
              <a:extLst>
                <a:ext uri="{63B3BB69-23CF-44E3-9099-C40C66FF867C}">
                  <a14:compatExt spid="_x0000_s210042"/>
                </a:ext>
                <a:ext uri="{FF2B5EF4-FFF2-40B4-BE49-F238E27FC236}">
                  <a16:creationId xmlns:a16="http://schemas.microsoft.com/office/drawing/2014/main" id="{00000000-0008-0000-1600-00007A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Grimy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25</xdr:row>
          <xdr:rowOff>142875</xdr:rowOff>
        </xdr:from>
        <xdr:to>
          <xdr:col>7</xdr:col>
          <xdr:colOff>342900</xdr:colOff>
          <xdr:row>26</xdr:row>
          <xdr:rowOff>161925</xdr:rowOff>
        </xdr:to>
        <xdr:sp macro="" textlink="">
          <xdr:nvSpPr>
            <xdr:cNvPr id="210043" name="Check Box 123" hidden="1">
              <a:extLst>
                <a:ext uri="{63B3BB69-23CF-44E3-9099-C40C66FF867C}">
                  <a14:compatExt spid="_x0000_s210043"/>
                </a:ext>
                <a:ext uri="{FF2B5EF4-FFF2-40B4-BE49-F238E27FC236}">
                  <a16:creationId xmlns:a16="http://schemas.microsoft.com/office/drawing/2014/main" id="{00000000-0008-0000-1600-00007B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Corroded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24</xdr:row>
          <xdr:rowOff>28575</xdr:rowOff>
        </xdr:from>
        <xdr:to>
          <xdr:col>6</xdr:col>
          <xdr:colOff>428625</xdr:colOff>
          <xdr:row>25</xdr:row>
          <xdr:rowOff>47625</xdr:rowOff>
        </xdr:to>
        <xdr:sp macro="" textlink="">
          <xdr:nvSpPr>
            <xdr:cNvPr id="210044" name="Check Box 124" hidden="1">
              <a:extLst>
                <a:ext uri="{63B3BB69-23CF-44E3-9099-C40C66FF867C}">
                  <a14:compatExt spid="_x0000_s210044"/>
                </a:ext>
                <a:ext uri="{FF2B5EF4-FFF2-40B4-BE49-F238E27FC236}">
                  <a16:creationId xmlns:a16="http://schemas.microsoft.com/office/drawing/2014/main" id="{00000000-0008-0000-1600-00007C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25</xdr:row>
          <xdr:rowOff>152400</xdr:rowOff>
        </xdr:from>
        <xdr:to>
          <xdr:col>8</xdr:col>
          <xdr:colOff>104775</xdr:colOff>
          <xdr:row>26</xdr:row>
          <xdr:rowOff>171450</xdr:rowOff>
        </xdr:to>
        <xdr:sp macro="" textlink="">
          <xdr:nvSpPr>
            <xdr:cNvPr id="210045" name="Check Box 125" hidden="1">
              <a:extLst>
                <a:ext uri="{63B3BB69-23CF-44E3-9099-C40C66FF867C}">
                  <a14:compatExt spid="_x0000_s210045"/>
                </a:ext>
                <a:ext uri="{FF2B5EF4-FFF2-40B4-BE49-F238E27FC236}">
                  <a16:creationId xmlns:a16="http://schemas.microsoft.com/office/drawing/2014/main" id="{00000000-0008-0000-1600-00007D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Burned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35</xdr:row>
          <xdr:rowOff>66675</xdr:rowOff>
        </xdr:from>
        <xdr:to>
          <xdr:col>4</xdr:col>
          <xdr:colOff>581025</xdr:colOff>
          <xdr:row>36</xdr:row>
          <xdr:rowOff>95250</xdr:rowOff>
        </xdr:to>
        <xdr:sp macro="" textlink="">
          <xdr:nvSpPr>
            <xdr:cNvPr id="210046" name="Check Box 126" hidden="1">
              <a:extLst>
                <a:ext uri="{63B3BB69-23CF-44E3-9099-C40C66FF867C}">
                  <a14:compatExt spid="_x0000_s210046"/>
                </a:ext>
                <a:ext uri="{FF2B5EF4-FFF2-40B4-BE49-F238E27FC236}">
                  <a16:creationId xmlns:a16="http://schemas.microsoft.com/office/drawing/2014/main" id="{00000000-0008-0000-1600-00007E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Re-insulate Leads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35</xdr:row>
          <xdr:rowOff>66675</xdr:rowOff>
        </xdr:from>
        <xdr:to>
          <xdr:col>3</xdr:col>
          <xdr:colOff>19050</xdr:colOff>
          <xdr:row>36</xdr:row>
          <xdr:rowOff>85725</xdr:rowOff>
        </xdr:to>
        <xdr:sp macro="" textlink="">
          <xdr:nvSpPr>
            <xdr:cNvPr id="210047" name="Check Box 127" hidden="1">
              <a:extLst>
                <a:ext uri="{63B3BB69-23CF-44E3-9099-C40C66FF867C}">
                  <a14:compatExt spid="_x0000_s210047"/>
                </a:ext>
                <a:ext uri="{FF2B5EF4-FFF2-40B4-BE49-F238E27FC236}">
                  <a16:creationId xmlns:a16="http://schemas.microsoft.com/office/drawing/2014/main" id="{00000000-0008-0000-1600-00007F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Add Metal Tags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36</xdr:row>
          <xdr:rowOff>161925</xdr:rowOff>
        </xdr:from>
        <xdr:to>
          <xdr:col>3</xdr:col>
          <xdr:colOff>219075</xdr:colOff>
          <xdr:row>37</xdr:row>
          <xdr:rowOff>180975</xdr:rowOff>
        </xdr:to>
        <xdr:sp macro="" textlink="">
          <xdr:nvSpPr>
            <xdr:cNvPr id="210048" name="Check Box 128" hidden="1">
              <a:extLst>
                <a:ext uri="{63B3BB69-23CF-44E3-9099-C40C66FF867C}">
                  <a14:compatExt spid="_x0000_s210048"/>
                </a:ext>
                <a:ext uri="{FF2B5EF4-FFF2-40B4-BE49-F238E27FC236}">
                  <a16:creationId xmlns:a16="http://schemas.microsoft.com/office/drawing/2014/main" id="{00000000-0008-0000-1600-000080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Re-Apply Color tape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36</xdr:row>
          <xdr:rowOff>161925</xdr:rowOff>
        </xdr:from>
        <xdr:to>
          <xdr:col>4</xdr:col>
          <xdr:colOff>523875</xdr:colOff>
          <xdr:row>37</xdr:row>
          <xdr:rowOff>180975</xdr:rowOff>
        </xdr:to>
        <xdr:sp macro="" textlink="">
          <xdr:nvSpPr>
            <xdr:cNvPr id="210049" name="Check Box 129" hidden="1">
              <a:extLst>
                <a:ext uri="{63B3BB69-23CF-44E3-9099-C40C66FF867C}">
                  <a14:compatExt spid="_x0000_s210049"/>
                </a:ext>
                <a:ext uri="{FF2B5EF4-FFF2-40B4-BE49-F238E27FC236}">
                  <a16:creationId xmlns:a16="http://schemas.microsoft.com/office/drawing/2014/main" id="{00000000-0008-0000-1600-00008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Seal Leads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35</xdr:row>
          <xdr:rowOff>66675</xdr:rowOff>
        </xdr:from>
        <xdr:to>
          <xdr:col>7</xdr:col>
          <xdr:colOff>285750</xdr:colOff>
          <xdr:row>36</xdr:row>
          <xdr:rowOff>76200</xdr:rowOff>
        </xdr:to>
        <xdr:sp macro="" textlink="">
          <xdr:nvSpPr>
            <xdr:cNvPr id="210050" name="Check Box 130" hidden="1">
              <a:extLst>
                <a:ext uri="{63B3BB69-23CF-44E3-9099-C40C66FF867C}">
                  <a14:compatExt spid="_x0000_s210050"/>
                </a:ext>
                <a:ext uri="{FF2B5EF4-FFF2-40B4-BE49-F238E27FC236}">
                  <a16:creationId xmlns:a16="http://schemas.microsoft.com/office/drawing/2014/main" id="{00000000-0008-0000-1600-00008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Splice Lead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36</xdr:row>
          <xdr:rowOff>161925</xdr:rowOff>
        </xdr:from>
        <xdr:to>
          <xdr:col>7</xdr:col>
          <xdr:colOff>304800</xdr:colOff>
          <xdr:row>37</xdr:row>
          <xdr:rowOff>180975</xdr:rowOff>
        </xdr:to>
        <xdr:sp macro="" textlink="">
          <xdr:nvSpPr>
            <xdr:cNvPr id="210051" name="Check Box 131" hidden="1">
              <a:extLst>
                <a:ext uri="{63B3BB69-23CF-44E3-9099-C40C66FF867C}">
                  <a14:compatExt spid="_x0000_s210051"/>
                </a:ext>
                <a:ext uri="{FF2B5EF4-FFF2-40B4-BE49-F238E27FC236}">
                  <a16:creationId xmlns:a16="http://schemas.microsoft.com/office/drawing/2014/main" id="{00000000-0008-0000-1600-000083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Re-lead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36</xdr:row>
          <xdr:rowOff>161925</xdr:rowOff>
        </xdr:from>
        <xdr:to>
          <xdr:col>5</xdr:col>
          <xdr:colOff>581025</xdr:colOff>
          <xdr:row>37</xdr:row>
          <xdr:rowOff>180975</xdr:rowOff>
        </xdr:to>
        <xdr:sp macro="" textlink="">
          <xdr:nvSpPr>
            <xdr:cNvPr id="210052" name="Check Box 132" hidden="1">
              <a:extLst>
                <a:ext uri="{63B3BB69-23CF-44E3-9099-C40C66FF867C}">
                  <a14:compatExt spid="_x0000_s210052"/>
                </a:ext>
                <a:ext uri="{FF2B5EF4-FFF2-40B4-BE49-F238E27FC236}">
                  <a16:creationId xmlns:a16="http://schemas.microsoft.com/office/drawing/2014/main" id="{00000000-0008-0000-1600-000084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Sodder Leads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35</xdr:row>
          <xdr:rowOff>66675</xdr:rowOff>
        </xdr:from>
        <xdr:to>
          <xdr:col>5</xdr:col>
          <xdr:colOff>552450</xdr:colOff>
          <xdr:row>36</xdr:row>
          <xdr:rowOff>95250</xdr:rowOff>
        </xdr:to>
        <xdr:sp macro="" textlink="">
          <xdr:nvSpPr>
            <xdr:cNvPr id="210053" name="Check Box 133" hidden="1">
              <a:extLst>
                <a:ext uri="{63B3BB69-23CF-44E3-9099-C40C66FF867C}">
                  <a14:compatExt spid="_x0000_s210053"/>
                </a:ext>
                <a:ext uri="{FF2B5EF4-FFF2-40B4-BE49-F238E27FC236}">
                  <a16:creationId xmlns:a16="http://schemas.microsoft.com/office/drawing/2014/main" id="{00000000-0008-0000-1600-000085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Re-Lug Leads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31</xdr:row>
          <xdr:rowOff>28575</xdr:rowOff>
        </xdr:from>
        <xdr:to>
          <xdr:col>7</xdr:col>
          <xdr:colOff>381000</xdr:colOff>
          <xdr:row>32</xdr:row>
          <xdr:rowOff>57150</xdr:rowOff>
        </xdr:to>
        <xdr:sp macro="" textlink="">
          <xdr:nvSpPr>
            <xdr:cNvPr id="210054" name="Check Box 134" hidden="1">
              <a:extLst>
                <a:ext uri="{63B3BB69-23CF-44E3-9099-C40C66FF867C}">
                  <a14:compatExt spid="_x0000_s210054"/>
                </a:ext>
                <a:ext uri="{FF2B5EF4-FFF2-40B4-BE49-F238E27FC236}">
                  <a16:creationId xmlns:a16="http://schemas.microsoft.com/office/drawing/2014/main" id="{00000000-0008-0000-1600-000086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Leads Received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38</xdr:row>
          <xdr:rowOff>171450</xdr:rowOff>
        </xdr:from>
        <xdr:to>
          <xdr:col>1</xdr:col>
          <xdr:colOff>571500</xdr:colOff>
          <xdr:row>40</xdr:row>
          <xdr:rowOff>28575</xdr:rowOff>
        </xdr:to>
        <xdr:sp macro="" textlink="">
          <xdr:nvSpPr>
            <xdr:cNvPr id="210055" name="Check Box 135" hidden="1">
              <a:extLst>
                <a:ext uri="{63B3BB69-23CF-44E3-9099-C40C66FF867C}">
                  <a14:compatExt spid="_x0000_s210055"/>
                </a:ext>
                <a:ext uri="{FF2B5EF4-FFF2-40B4-BE49-F238E27FC236}">
                  <a16:creationId xmlns:a16="http://schemas.microsoft.com/office/drawing/2014/main" id="{00000000-0008-0000-1600-000087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38</xdr:row>
          <xdr:rowOff>180975</xdr:rowOff>
        </xdr:from>
        <xdr:to>
          <xdr:col>6</xdr:col>
          <xdr:colOff>123825</xdr:colOff>
          <xdr:row>40</xdr:row>
          <xdr:rowOff>19050</xdr:rowOff>
        </xdr:to>
        <xdr:sp macro="" textlink="">
          <xdr:nvSpPr>
            <xdr:cNvPr id="210056" name="Check Box 136" hidden="1">
              <a:extLst>
                <a:ext uri="{63B3BB69-23CF-44E3-9099-C40C66FF867C}">
                  <a14:compatExt spid="_x0000_s210056"/>
                </a:ext>
                <a:ext uri="{FF2B5EF4-FFF2-40B4-BE49-F238E27FC236}">
                  <a16:creationId xmlns:a16="http://schemas.microsoft.com/office/drawing/2014/main" id="{00000000-0008-0000-1600-000088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47</xdr:row>
          <xdr:rowOff>161925</xdr:rowOff>
        </xdr:from>
        <xdr:to>
          <xdr:col>6</xdr:col>
          <xdr:colOff>276225</xdr:colOff>
          <xdr:row>49</xdr:row>
          <xdr:rowOff>28575</xdr:rowOff>
        </xdr:to>
        <xdr:sp macro="" textlink="">
          <xdr:nvSpPr>
            <xdr:cNvPr id="210057" name="Check Box 137" hidden="1">
              <a:extLst>
                <a:ext uri="{63B3BB69-23CF-44E3-9099-C40C66FF867C}">
                  <a14:compatExt spid="_x0000_s210057"/>
                </a:ext>
                <a:ext uri="{FF2B5EF4-FFF2-40B4-BE49-F238E27FC236}">
                  <a16:creationId xmlns:a16="http://schemas.microsoft.com/office/drawing/2014/main" id="{00000000-0008-0000-1600-000089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24849</xdr:colOff>
          <xdr:row>126</xdr:row>
          <xdr:rowOff>160052</xdr:rowOff>
        </xdr:from>
        <xdr:to>
          <xdr:col>4</xdr:col>
          <xdr:colOff>638174</xdr:colOff>
          <xdr:row>128</xdr:row>
          <xdr:rowOff>15128</xdr:rowOff>
        </xdr:to>
        <xdr:grpSp>
          <xdr:nvGrpSpPr>
            <xdr:cNvPr id="132" name="Group 131">
              <a:extLst>
                <a:ext uri="{FF2B5EF4-FFF2-40B4-BE49-F238E27FC236}">
                  <a16:creationId xmlns:a16="http://schemas.microsoft.com/office/drawing/2014/main" id="{00000000-0008-0000-1600-000084000000}"/>
                </a:ext>
              </a:extLst>
            </xdr:cNvPr>
            <xdr:cNvGrpSpPr/>
          </xdr:nvGrpSpPr>
          <xdr:grpSpPr>
            <a:xfrm>
              <a:off x="1850477" y="24163157"/>
              <a:ext cx="2391324" cy="236076"/>
              <a:chOff x="4591018" y="8234969"/>
              <a:chExt cx="2131407" cy="149369"/>
            </a:xfrm>
          </xdr:grpSpPr>
          <xdr:sp macro="" textlink="">
            <xdr:nvSpPr>
              <xdr:cNvPr id="210058" name="Check Box 138" hidden="1">
                <a:extLst>
                  <a:ext uri="{63B3BB69-23CF-44E3-9099-C40C66FF867C}">
                    <a14:compatExt spid="_x0000_s210058"/>
                  </a:ext>
                  <a:ext uri="{FF2B5EF4-FFF2-40B4-BE49-F238E27FC236}">
                    <a16:creationId xmlns:a16="http://schemas.microsoft.com/office/drawing/2014/main" id="{00000000-0008-0000-1600-00008A340300}"/>
                  </a:ext>
                </a:extLst>
              </xdr:cNvPr>
              <xdr:cNvSpPr/>
            </xdr:nvSpPr>
            <xdr:spPr bwMode="auto">
              <a:xfrm>
                <a:off x="4591018" y="8237610"/>
                <a:ext cx="790575" cy="1428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Electrical</a:t>
                </a:r>
              </a:p>
            </xdr:txBody>
          </xdr:sp>
          <xdr:sp macro="" textlink="">
            <xdr:nvSpPr>
              <xdr:cNvPr id="210059" name="Check Box 139" hidden="1">
                <a:extLst>
                  <a:ext uri="{63B3BB69-23CF-44E3-9099-C40C66FF867C}">
                    <a14:compatExt spid="_x0000_s210059"/>
                  </a:ext>
                  <a:ext uri="{FF2B5EF4-FFF2-40B4-BE49-F238E27FC236}">
                    <a16:creationId xmlns:a16="http://schemas.microsoft.com/office/drawing/2014/main" id="{00000000-0008-0000-1600-00008B340300}"/>
                  </a:ext>
                </a:extLst>
              </xdr:cNvPr>
              <xdr:cNvSpPr/>
            </xdr:nvSpPr>
            <xdr:spPr bwMode="auto">
              <a:xfrm>
                <a:off x="5149106" y="8237610"/>
                <a:ext cx="790578" cy="1428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Bearings</a:t>
                </a:r>
              </a:p>
            </xdr:txBody>
          </xdr:sp>
          <xdr:sp macro="" textlink="">
            <xdr:nvSpPr>
              <xdr:cNvPr id="210060" name="Check Box 140" hidden="1">
                <a:extLst>
                  <a:ext uri="{63B3BB69-23CF-44E3-9099-C40C66FF867C}">
                    <a14:compatExt spid="_x0000_s210060"/>
                  </a:ext>
                  <a:ext uri="{FF2B5EF4-FFF2-40B4-BE49-F238E27FC236}">
                    <a16:creationId xmlns:a16="http://schemas.microsoft.com/office/drawing/2014/main" id="{00000000-0008-0000-1600-00008C340300}"/>
                  </a:ext>
                </a:extLst>
              </xdr:cNvPr>
              <xdr:cNvSpPr/>
            </xdr:nvSpPr>
            <xdr:spPr bwMode="auto">
              <a:xfrm>
                <a:off x="5707165" y="8237610"/>
                <a:ext cx="790578" cy="1428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Rubbing</a:t>
                </a:r>
              </a:p>
            </xdr:txBody>
          </xdr:sp>
          <xdr:sp macro="" textlink="">
            <xdr:nvSpPr>
              <xdr:cNvPr id="210061" name="Check Box 141" hidden="1">
                <a:extLst>
                  <a:ext uri="{63B3BB69-23CF-44E3-9099-C40C66FF867C}">
                    <a14:compatExt spid="_x0000_s210061"/>
                  </a:ext>
                  <a:ext uri="{FF2B5EF4-FFF2-40B4-BE49-F238E27FC236}">
                    <a16:creationId xmlns:a16="http://schemas.microsoft.com/office/drawing/2014/main" id="{00000000-0008-0000-1600-00008D340300}"/>
                  </a:ext>
                </a:extLst>
              </xdr:cNvPr>
              <xdr:cNvSpPr/>
            </xdr:nvSpPr>
            <xdr:spPr bwMode="auto">
              <a:xfrm>
                <a:off x="6265223" y="8234969"/>
                <a:ext cx="457202" cy="14936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Other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192</xdr:row>
          <xdr:rowOff>180975</xdr:rowOff>
        </xdr:from>
        <xdr:to>
          <xdr:col>1</xdr:col>
          <xdr:colOff>200025</xdr:colOff>
          <xdr:row>193</xdr:row>
          <xdr:rowOff>180975</xdr:rowOff>
        </xdr:to>
        <xdr:sp macro="" textlink="">
          <xdr:nvSpPr>
            <xdr:cNvPr id="210069" name="Check Box 149" hidden="1">
              <a:extLst>
                <a:ext uri="{63B3BB69-23CF-44E3-9099-C40C66FF867C}">
                  <a14:compatExt spid="_x0000_s210069"/>
                </a:ext>
                <a:ext uri="{FF2B5EF4-FFF2-40B4-BE49-F238E27FC236}">
                  <a16:creationId xmlns:a16="http://schemas.microsoft.com/office/drawing/2014/main" id="{00000000-0008-0000-1600-000095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317</xdr:row>
          <xdr:rowOff>85724</xdr:rowOff>
        </xdr:from>
        <xdr:to>
          <xdr:col>0</xdr:col>
          <xdr:colOff>866775</xdr:colOff>
          <xdr:row>319</xdr:row>
          <xdr:rowOff>171449</xdr:rowOff>
        </xdr:to>
        <xdr:grpSp>
          <xdr:nvGrpSpPr>
            <xdr:cNvPr id="158" name="Group 157">
              <a:extLst>
                <a:ext uri="{FF2B5EF4-FFF2-40B4-BE49-F238E27FC236}">
                  <a16:creationId xmlns:a16="http://schemas.microsoft.com/office/drawing/2014/main" id="{00000000-0008-0000-1600-00009E000000}"/>
                </a:ext>
              </a:extLst>
            </xdr:cNvPr>
            <xdr:cNvGrpSpPr/>
          </xdr:nvGrpSpPr>
          <xdr:grpSpPr>
            <a:xfrm>
              <a:off x="85725" y="59045475"/>
              <a:ext cx="781050" cy="466727"/>
              <a:chOff x="10848975" y="925182"/>
              <a:chExt cx="1371600" cy="569160"/>
            </a:xfrm>
          </xdr:grpSpPr>
          <xdr:sp macro="" textlink="">
            <xdr:nvSpPr>
              <xdr:cNvPr id="210083" name="Check Box 163" hidden="1">
                <a:extLst>
                  <a:ext uri="{63B3BB69-23CF-44E3-9099-C40C66FF867C}">
                    <a14:compatExt spid="_x0000_s210083"/>
                  </a:ext>
                  <a:ext uri="{FF2B5EF4-FFF2-40B4-BE49-F238E27FC236}">
                    <a16:creationId xmlns:a16="http://schemas.microsoft.com/office/drawing/2014/main" id="{00000000-0008-0000-1600-0000A3340300}"/>
                  </a:ext>
                </a:extLst>
              </xdr:cNvPr>
              <xdr:cNvSpPr/>
            </xdr:nvSpPr>
            <xdr:spPr bwMode="auto">
              <a:xfrm>
                <a:off x="10848975" y="925182"/>
                <a:ext cx="1371600" cy="24764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Rewind Rotor</a:t>
                </a:r>
              </a:p>
            </xdr:txBody>
          </xdr:sp>
          <xdr:sp macro="" textlink="">
            <xdr:nvSpPr>
              <xdr:cNvPr id="210084" name="Check Box 164" hidden="1">
                <a:extLst>
                  <a:ext uri="{63B3BB69-23CF-44E3-9099-C40C66FF867C}">
                    <a14:compatExt spid="_x0000_s210084"/>
                  </a:ext>
                  <a:ext uri="{FF2B5EF4-FFF2-40B4-BE49-F238E27FC236}">
                    <a16:creationId xmlns:a16="http://schemas.microsoft.com/office/drawing/2014/main" id="{00000000-0008-0000-1600-0000A4340300}"/>
                  </a:ext>
                </a:extLst>
              </xdr:cNvPr>
              <xdr:cNvSpPr/>
            </xdr:nvSpPr>
            <xdr:spPr bwMode="auto">
              <a:xfrm>
                <a:off x="10848975" y="1246693"/>
                <a:ext cx="1371600" cy="24764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Rewind Stator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317</xdr:row>
          <xdr:rowOff>85724</xdr:rowOff>
        </xdr:from>
        <xdr:to>
          <xdr:col>0</xdr:col>
          <xdr:colOff>866775</xdr:colOff>
          <xdr:row>319</xdr:row>
          <xdr:rowOff>171449</xdr:rowOff>
        </xdr:to>
        <xdr:grpSp>
          <xdr:nvGrpSpPr>
            <xdr:cNvPr id="194" name="Group 193">
              <a:extLst>
                <a:ext uri="{FF2B5EF4-FFF2-40B4-BE49-F238E27FC236}">
                  <a16:creationId xmlns:a16="http://schemas.microsoft.com/office/drawing/2014/main" id="{00000000-0008-0000-1600-0000C2000000}"/>
                </a:ext>
              </a:extLst>
            </xdr:cNvPr>
            <xdr:cNvGrpSpPr/>
          </xdr:nvGrpSpPr>
          <xdr:grpSpPr>
            <a:xfrm>
              <a:off x="85725" y="59045475"/>
              <a:ext cx="781050" cy="466727"/>
              <a:chOff x="10848975" y="925182"/>
              <a:chExt cx="1371600" cy="569160"/>
            </a:xfrm>
          </xdr:grpSpPr>
          <xdr:sp macro="" textlink="">
            <xdr:nvSpPr>
              <xdr:cNvPr id="210118" name="Check Box 198" hidden="1">
                <a:extLst>
                  <a:ext uri="{63B3BB69-23CF-44E3-9099-C40C66FF867C}">
                    <a14:compatExt spid="_x0000_s210118"/>
                  </a:ext>
                  <a:ext uri="{FF2B5EF4-FFF2-40B4-BE49-F238E27FC236}">
                    <a16:creationId xmlns:a16="http://schemas.microsoft.com/office/drawing/2014/main" id="{00000000-0008-0000-1600-0000C6340300}"/>
                  </a:ext>
                </a:extLst>
              </xdr:cNvPr>
              <xdr:cNvSpPr/>
            </xdr:nvSpPr>
            <xdr:spPr bwMode="auto">
              <a:xfrm>
                <a:off x="10848975" y="925182"/>
                <a:ext cx="1371600" cy="24764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Rewind Rotor</a:t>
                </a:r>
              </a:p>
            </xdr:txBody>
          </xdr:sp>
          <xdr:sp macro="" textlink="">
            <xdr:nvSpPr>
              <xdr:cNvPr id="210119" name="Check Box 199" hidden="1">
                <a:extLst>
                  <a:ext uri="{63B3BB69-23CF-44E3-9099-C40C66FF867C}">
                    <a14:compatExt spid="_x0000_s210119"/>
                  </a:ext>
                  <a:ext uri="{FF2B5EF4-FFF2-40B4-BE49-F238E27FC236}">
                    <a16:creationId xmlns:a16="http://schemas.microsoft.com/office/drawing/2014/main" id="{00000000-0008-0000-1600-0000C7340300}"/>
                  </a:ext>
                </a:extLst>
              </xdr:cNvPr>
              <xdr:cNvSpPr/>
            </xdr:nvSpPr>
            <xdr:spPr bwMode="auto">
              <a:xfrm>
                <a:off x="10848975" y="1246693"/>
                <a:ext cx="1371600" cy="24764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Rewind Stator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125</xdr:row>
          <xdr:rowOff>171450</xdr:rowOff>
        </xdr:from>
        <xdr:to>
          <xdr:col>2</xdr:col>
          <xdr:colOff>152400</xdr:colOff>
          <xdr:row>127</xdr:row>
          <xdr:rowOff>0</xdr:rowOff>
        </xdr:to>
        <xdr:sp macro="" textlink="">
          <xdr:nvSpPr>
            <xdr:cNvPr id="210144" name="Check Box 224" hidden="1">
              <a:extLst>
                <a:ext uri="{63B3BB69-23CF-44E3-9099-C40C66FF867C}">
                  <a14:compatExt spid="_x0000_s210144"/>
                </a:ext>
                <a:ext uri="{FF2B5EF4-FFF2-40B4-BE49-F238E27FC236}">
                  <a16:creationId xmlns:a16="http://schemas.microsoft.com/office/drawing/2014/main" id="{00000000-0008-0000-1600-0000E0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Measured With Load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192</xdr:row>
          <xdr:rowOff>180975</xdr:rowOff>
        </xdr:from>
        <xdr:to>
          <xdr:col>1</xdr:col>
          <xdr:colOff>200025</xdr:colOff>
          <xdr:row>193</xdr:row>
          <xdr:rowOff>180975</xdr:rowOff>
        </xdr:to>
        <xdr:sp macro="" textlink="">
          <xdr:nvSpPr>
            <xdr:cNvPr id="210151" name="Check Box 231" hidden="1">
              <a:extLst>
                <a:ext uri="{63B3BB69-23CF-44E3-9099-C40C66FF867C}">
                  <a14:compatExt spid="_x0000_s210151"/>
                </a:ext>
                <a:ext uri="{FF2B5EF4-FFF2-40B4-BE49-F238E27FC236}">
                  <a16:creationId xmlns:a16="http://schemas.microsoft.com/office/drawing/2014/main" id="{00000000-0008-0000-1600-0000E7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192</xdr:row>
          <xdr:rowOff>180975</xdr:rowOff>
        </xdr:from>
        <xdr:to>
          <xdr:col>1</xdr:col>
          <xdr:colOff>200025</xdr:colOff>
          <xdr:row>193</xdr:row>
          <xdr:rowOff>180975</xdr:rowOff>
        </xdr:to>
        <xdr:sp macro="" textlink="">
          <xdr:nvSpPr>
            <xdr:cNvPr id="210158" name="Check Box 238" hidden="1">
              <a:extLst>
                <a:ext uri="{63B3BB69-23CF-44E3-9099-C40C66FF867C}">
                  <a14:compatExt spid="_x0000_s210158"/>
                </a:ext>
                <a:ext uri="{FF2B5EF4-FFF2-40B4-BE49-F238E27FC236}">
                  <a16:creationId xmlns:a16="http://schemas.microsoft.com/office/drawing/2014/main" id="{00000000-0008-0000-1600-0000EE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278</xdr:row>
          <xdr:rowOff>180975</xdr:rowOff>
        </xdr:from>
        <xdr:to>
          <xdr:col>0</xdr:col>
          <xdr:colOff>895350</xdr:colOff>
          <xdr:row>280</xdr:row>
          <xdr:rowOff>38100</xdr:rowOff>
        </xdr:to>
        <xdr:sp macro="" textlink="">
          <xdr:nvSpPr>
            <xdr:cNvPr id="210166" name="Check Box 246" hidden="1">
              <a:extLst>
                <a:ext uri="{63B3BB69-23CF-44E3-9099-C40C66FF867C}">
                  <a14:compatExt spid="_x0000_s210166"/>
                </a:ext>
                <a:ext uri="{FF2B5EF4-FFF2-40B4-BE49-F238E27FC236}">
                  <a16:creationId xmlns:a16="http://schemas.microsoft.com/office/drawing/2014/main" id="{00000000-0008-0000-1600-0000F6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278</xdr:row>
          <xdr:rowOff>180975</xdr:rowOff>
        </xdr:from>
        <xdr:to>
          <xdr:col>2</xdr:col>
          <xdr:colOff>752475</xdr:colOff>
          <xdr:row>280</xdr:row>
          <xdr:rowOff>47625</xdr:rowOff>
        </xdr:to>
        <xdr:sp macro="" textlink="">
          <xdr:nvSpPr>
            <xdr:cNvPr id="210167" name="Check Box 247" hidden="1">
              <a:extLst>
                <a:ext uri="{63B3BB69-23CF-44E3-9099-C40C66FF867C}">
                  <a14:compatExt spid="_x0000_s210167"/>
                </a:ext>
                <a:ext uri="{FF2B5EF4-FFF2-40B4-BE49-F238E27FC236}">
                  <a16:creationId xmlns:a16="http://schemas.microsoft.com/office/drawing/2014/main" id="{00000000-0008-0000-1600-0000F7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Severely Overgreased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280</xdr:row>
          <xdr:rowOff>9525</xdr:rowOff>
        </xdr:from>
        <xdr:to>
          <xdr:col>1</xdr:col>
          <xdr:colOff>123825</xdr:colOff>
          <xdr:row>281</xdr:row>
          <xdr:rowOff>47625</xdr:rowOff>
        </xdr:to>
        <xdr:sp macro="" textlink="">
          <xdr:nvSpPr>
            <xdr:cNvPr id="210168" name="Check Box 248" hidden="1">
              <a:extLst>
                <a:ext uri="{63B3BB69-23CF-44E3-9099-C40C66FF867C}">
                  <a14:compatExt spid="_x0000_s210168"/>
                </a:ext>
                <a:ext uri="{FF2B5EF4-FFF2-40B4-BE49-F238E27FC236}">
                  <a16:creationId xmlns:a16="http://schemas.microsoft.com/office/drawing/2014/main" id="{00000000-0008-0000-1600-0000F8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Dirty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280</xdr:row>
          <xdr:rowOff>19050</xdr:rowOff>
        </xdr:from>
        <xdr:to>
          <xdr:col>2</xdr:col>
          <xdr:colOff>419100</xdr:colOff>
          <xdr:row>281</xdr:row>
          <xdr:rowOff>57150</xdr:rowOff>
        </xdr:to>
        <xdr:sp macro="" textlink="">
          <xdr:nvSpPr>
            <xdr:cNvPr id="210169" name="Check Box 249" hidden="1">
              <a:extLst>
                <a:ext uri="{63B3BB69-23CF-44E3-9099-C40C66FF867C}">
                  <a14:compatExt spid="_x0000_s210169"/>
                </a:ext>
                <a:ext uri="{FF2B5EF4-FFF2-40B4-BE49-F238E27FC236}">
                  <a16:creationId xmlns:a16="http://schemas.microsoft.com/office/drawing/2014/main" id="{00000000-0008-0000-1600-0000F9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Debris Inside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281</xdr:row>
          <xdr:rowOff>28575</xdr:rowOff>
        </xdr:from>
        <xdr:to>
          <xdr:col>1</xdr:col>
          <xdr:colOff>133350</xdr:colOff>
          <xdr:row>282</xdr:row>
          <xdr:rowOff>66675</xdr:rowOff>
        </xdr:to>
        <xdr:sp macro="" textlink="">
          <xdr:nvSpPr>
            <xdr:cNvPr id="210170" name="Check Box 250" hidden="1">
              <a:extLst>
                <a:ext uri="{63B3BB69-23CF-44E3-9099-C40C66FF867C}">
                  <a14:compatExt spid="_x0000_s210170"/>
                </a:ext>
                <a:ext uri="{FF2B5EF4-FFF2-40B4-BE49-F238E27FC236}">
                  <a16:creationId xmlns:a16="http://schemas.microsoft.com/office/drawing/2014/main" id="{00000000-0008-0000-1600-0000FA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Submerged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281</xdr:row>
          <xdr:rowOff>38100</xdr:rowOff>
        </xdr:from>
        <xdr:to>
          <xdr:col>2</xdr:col>
          <xdr:colOff>723900</xdr:colOff>
          <xdr:row>282</xdr:row>
          <xdr:rowOff>76200</xdr:rowOff>
        </xdr:to>
        <xdr:sp macro="" textlink="">
          <xdr:nvSpPr>
            <xdr:cNvPr id="210171" name="Check Box 251" hidden="1">
              <a:extLst>
                <a:ext uri="{63B3BB69-23CF-44E3-9099-C40C66FF867C}">
                  <a14:compatExt spid="_x0000_s210171"/>
                </a:ext>
                <a:ext uri="{FF2B5EF4-FFF2-40B4-BE49-F238E27FC236}">
                  <a16:creationId xmlns:a16="http://schemas.microsoft.com/office/drawing/2014/main" id="{00000000-0008-0000-1600-0000FB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Moisture/Corrosion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283</xdr:row>
          <xdr:rowOff>19050</xdr:rowOff>
        </xdr:from>
        <xdr:to>
          <xdr:col>2</xdr:col>
          <xdr:colOff>800100</xdr:colOff>
          <xdr:row>284</xdr:row>
          <xdr:rowOff>104775</xdr:rowOff>
        </xdr:to>
        <xdr:sp macro="" textlink="">
          <xdr:nvSpPr>
            <xdr:cNvPr id="210172" name="Check Box 252" hidden="1">
              <a:extLst>
                <a:ext uri="{63B3BB69-23CF-44E3-9099-C40C66FF867C}">
                  <a14:compatExt spid="_x0000_s210172"/>
                </a:ext>
                <a:ext uri="{FF2B5EF4-FFF2-40B4-BE49-F238E27FC236}">
                  <a16:creationId xmlns:a16="http://schemas.microsoft.com/office/drawing/2014/main" id="{00000000-0008-0000-1600-0000FC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Did heaters functionally operate? (If equipped)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306</xdr:row>
          <xdr:rowOff>19050</xdr:rowOff>
        </xdr:from>
        <xdr:to>
          <xdr:col>3</xdr:col>
          <xdr:colOff>514350</xdr:colOff>
          <xdr:row>315</xdr:row>
          <xdr:rowOff>85725</xdr:rowOff>
        </xdr:to>
        <xdr:sp macro="" textlink="">
          <xdr:nvSpPr>
            <xdr:cNvPr id="210173" name="TextBox1" hidden="1">
              <a:extLst>
                <a:ext uri="{63B3BB69-23CF-44E3-9099-C40C66FF867C}">
                  <a14:compatExt spid="_x0000_s210173"/>
                </a:ext>
                <a:ext uri="{FF2B5EF4-FFF2-40B4-BE49-F238E27FC236}">
                  <a16:creationId xmlns:a16="http://schemas.microsoft.com/office/drawing/2014/main" id="{00000000-0008-0000-1600-0000FD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306</xdr:row>
          <xdr:rowOff>9525</xdr:rowOff>
        </xdr:from>
        <xdr:to>
          <xdr:col>8</xdr:col>
          <xdr:colOff>371475</xdr:colOff>
          <xdr:row>315</xdr:row>
          <xdr:rowOff>57150</xdr:rowOff>
        </xdr:to>
        <xdr:sp macro="" textlink="">
          <xdr:nvSpPr>
            <xdr:cNvPr id="210174" name="TextBox2" hidden="1">
              <a:extLst>
                <a:ext uri="{63B3BB69-23CF-44E3-9099-C40C66FF867C}">
                  <a14:compatExt spid="_x0000_s210174"/>
                </a:ext>
                <a:ext uri="{FF2B5EF4-FFF2-40B4-BE49-F238E27FC236}">
                  <a16:creationId xmlns:a16="http://schemas.microsoft.com/office/drawing/2014/main" id="{00000000-0008-0000-1600-0000FE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422</xdr:row>
          <xdr:rowOff>209550</xdr:rowOff>
        </xdr:from>
        <xdr:to>
          <xdr:col>1</xdr:col>
          <xdr:colOff>571500</xdr:colOff>
          <xdr:row>424</xdr:row>
          <xdr:rowOff>28575</xdr:rowOff>
        </xdr:to>
        <xdr:sp macro="" textlink="">
          <xdr:nvSpPr>
            <xdr:cNvPr id="210175" name="Check Box 255" hidden="1">
              <a:extLst>
                <a:ext uri="{63B3BB69-23CF-44E3-9099-C40C66FF867C}">
                  <a14:compatExt spid="_x0000_s210175"/>
                </a:ext>
                <a:ext uri="{FF2B5EF4-FFF2-40B4-BE49-F238E27FC236}">
                  <a16:creationId xmlns:a16="http://schemas.microsoft.com/office/drawing/2014/main" id="{00000000-0008-0000-1600-0000FF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422</xdr:row>
          <xdr:rowOff>219075</xdr:rowOff>
        </xdr:from>
        <xdr:to>
          <xdr:col>6</xdr:col>
          <xdr:colOff>123825</xdr:colOff>
          <xdr:row>424</xdr:row>
          <xdr:rowOff>19050</xdr:rowOff>
        </xdr:to>
        <xdr:sp macro="" textlink="">
          <xdr:nvSpPr>
            <xdr:cNvPr id="210176" name="Check Box 256" hidden="1">
              <a:extLst>
                <a:ext uri="{63B3BB69-23CF-44E3-9099-C40C66FF867C}">
                  <a14:compatExt spid="_x0000_s210176"/>
                </a:ext>
                <a:ext uri="{FF2B5EF4-FFF2-40B4-BE49-F238E27FC236}">
                  <a16:creationId xmlns:a16="http://schemas.microsoft.com/office/drawing/2014/main" id="{00000000-0008-0000-1600-0000003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431</xdr:row>
          <xdr:rowOff>200025</xdr:rowOff>
        </xdr:from>
        <xdr:to>
          <xdr:col>6</xdr:col>
          <xdr:colOff>276225</xdr:colOff>
          <xdr:row>433</xdr:row>
          <xdr:rowOff>9525</xdr:rowOff>
        </xdr:to>
        <xdr:sp macro="" textlink="">
          <xdr:nvSpPr>
            <xdr:cNvPr id="210177" name="Check Box 257" hidden="1">
              <a:extLst>
                <a:ext uri="{63B3BB69-23CF-44E3-9099-C40C66FF867C}">
                  <a14:compatExt spid="_x0000_s210177"/>
                </a:ext>
                <a:ext uri="{FF2B5EF4-FFF2-40B4-BE49-F238E27FC236}">
                  <a16:creationId xmlns:a16="http://schemas.microsoft.com/office/drawing/2014/main" id="{00000000-0008-0000-1600-0000013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633</xdr:row>
          <xdr:rowOff>28575</xdr:rowOff>
        </xdr:from>
        <xdr:to>
          <xdr:col>1</xdr:col>
          <xdr:colOff>381000</xdr:colOff>
          <xdr:row>634</xdr:row>
          <xdr:rowOff>57150</xdr:rowOff>
        </xdr:to>
        <xdr:sp macro="" textlink="">
          <xdr:nvSpPr>
            <xdr:cNvPr id="210178" name="Check Box 258" hidden="1">
              <a:extLst>
                <a:ext uri="{63B3BB69-23CF-44E3-9099-C40C66FF867C}">
                  <a14:compatExt spid="_x0000_s210178"/>
                </a:ext>
                <a:ext uri="{FF2B5EF4-FFF2-40B4-BE49-F238E27FC236}">
                  <a16:creationId xmlns:a16="http://schemas.microsoft.com/office/drawing/2014/main" id="{00000000-0008-0000-1600-0000023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Washers and Screws (Add)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633</xdr:row>
          <xdr:rowOff>28575</xdr:rowOff>
        </xdr:from>
        <xdr:to>
          <xdr:col>3</xdr:col>
          <xdr:colOff>95250</xdr:colOff>
          <xdr:row>634</xdr:row>
          <xdr:rowOff>57150</xdr:rowOff>
        </xdr:to>
        <xdr:sp macro="" textlink="">
          <xdr:nvSpPr>
            <xdr:cNvPr id="210179" name="Check Box 259" hidden="1">
              <a:extLst>
                <a:ext uri="{63B3BB69-23CF-44E3-9099-C40C66FF867C}">
                  <a14:compatExt spid="_x0000_s210179"/>
                </a:ext>
                <a:ext uri="{FF2B5EF4-FFF2-40B4-BE49-F238E27FC236}">
                  <a16:creationId xmlns:a16="http://schemas.microsoft.com/office/drawing/2014/main" id="{00000000-0008-0000-1600-0000033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Dynaweight (Add)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634</xdr:row>
          <xdr:rowOff>104775</xdr:rowOff>
        </xdr:from>
        <xdr:to>
          <xdr:col>1</xdr:col>
          <xdr:colOff>314325</xdr:colOff>
          <xdr:row>635</xdr:row>
          <xdr:rowOff>133350</xdr:rowOff>
        </xdr:to>
        <xdr:sp macro="" textlink="">
          <xdr:nvSpPr>
            <xdr:cNvPr id="210180" name="Check Box 260" hidden="1">
              <a:extLst>
                <a:ext uri="{63B3BB69-23CF-44E3-9099-C40C66FF867C}">
                  <a14:compatExt spid="_x0000_s210180"/>
                </a:ext>
                <a:ext uri="{FF2B5EF4-FFF2-40B4-BE49-F238E27FC236}">
                  <a16:creationId xmlns:a16="http://schemas.microsoft.com/office/drawing/2014/main" id="{00000000-0008-0000-1600-0000043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Clip Casting (Remove 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634</xdr:row>
          <xdr:rowOff>104775</xdr:rowOff>
        </xdr:from>
        <xdr:to>
          <xdr:col>3</xdr:col>
          <xdr:colOff>114300</xdr:colOff>
          <xdr:row>635</xdr:row>
          <xdr:rowOff>133350</xdr:rowOff>
        </xdr:to>
        <xdr:sp macro="" textlink="">
          <xdr:nvSpPr>
            <xdr:cNvPr id="210181" name="Check Box 261" hidden="1">
              <a:extLst>
                <a:ext uri="{63B3BB69-23CF-44E3-9099-C40C66FF867C}">
                  <a14:compatExt spid="_x0000_s210181"/>
                </a:ext>
                <a:ext uri="{FF2B5EF4-FFF2-40B4-BE49-F238E27FC236}">
                  <a16:creationId xmlns:a16="http://schemas.microsoft.com/office/drawing/2014/main" id="{00000000-0008-0000-1600-0000053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Grind (Remove)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633</xdr:row>
          <xdr:rowOff>28575</xdr:rowOff>
        </xdr:from>
        <xdr:to>
          <xdr:col>5</xdr:col>
          <xdr:colOff>552450</xdr:colOff>
          <xdr:row>634</xdr:row>
          <xdr:rowOff>57150</xdr:rowOff>
        </xdr:to>
        <xdr:sp macro="" textlink="">
          <xdr:nvSpPr>
            <xdr:cNvPr id="210182" name="Check Box 262" hidden="1">
              <a:extLst>
                <a:ext uri="{63B3BB69-23CF-44E3-9099-C40C66FF867C}">
                  <a14:compatExt spid="_x0000_s210182"/>
                </a:ext>
                <a:ext uri="{FF2B5EF4-FFF2-40B4-BE49-F238E27FC236}">
                  <a16:creationId xmlns:a16="http://schemas.microsoft.com/office/drawing/2014/main" id="{00000000-0008-0000-1600-0000063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Washers and Screws (Add)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633</xdr:row>
          <xdr:rowOff>28575</xdr:rowOff>
        </xdr:from>
        <xdr:to>
          <xdr:col>8</xdr:col>
          <xdr:colOff>0</xdr:colOff>
          <xdr:row>634</xdr:row>
          <xdr:rowOff>57150</xdr:rowOff>
        </xdr:to>
        <xdr:sp macro="" textlink="">
          <xdr:nvSpPr>
            <xdr:cNvPr id="210183" name="Check Box 263" hidden="1">
              <a:extLst>
                <a:ext uri="{63B3BB69-23CF-44E3-9099-C40C66FF867C}">
                  <a14:compatExt spid="_x0000_s210183"/>
                </a:ext>
                <a:ext uri="{FF2B5EF4-FFF2-40B4-BE49-F238E27FC236}">
                  <a16:creationId xmlns:a16="http://schemas.microsoft.com/office/drawing/2014/main" id="{00000000-0008-0000-1600-0000073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Dynaweight (Add)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634</xdr:row>
          <xdr:rowOff>104775</xdr:rowOff>
        </xdr:from>
        <xdr:to>
          <xdr:col>5</xdr:col>
          <xdr:colOff>485775</xdr:colOff>
          <xdr:row>635</xdr:row>
          <xdr:rowOff>133350</xdr:rowOff>
        </xdr:to>
        <xdr:sp macro="" textlink="">
          <xdr:nvSpPr>
            <xdr:cNvPr id="210184" name="Check Box 264" hidden="1">
              <a:extLst>
                <a:ext uri="{63B3BB69-23CF-44E3-9099-C40C66FF867C}">
                  <a14:compatExt spid="_x0000_s210184"/>
                </a:ext>
                <a:ext uri="{FF2B5EF4-FFF2-40B4-BE49-F238E27FC236}">
                  <a16:creationId xmlns:a16="http://schemas.microsoft.com/office/drawing/2014/main" id="{00000000-0008-0000-1600-0000083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Clip Casting (Remove 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634</xdr:row>
          <xdr:rowOff>104775</xdr:rowOff>
        </xdr:from>
        <xdr:to>
          <xdr:col>8</xdr:col>
          <xdr:colOff>19050</xdr:colOff>
          <xdr:row>635</xdr:row>
          <xdr:rowOff>133350</xdr:rowOff>
        </xdr:to>
        <xdr:sp macro="" textlink="">
          <xdr:nvSpPr>
            <xdr:cNvPr id="210185" name="Check Box 265" hidden="1">
              <a:extLst>
                <a:ext uri="{63B3BB69-23CF-44E3-9099-C40C66FF867C}">
                  <a14:compatExt spid="_x0000_s210185"/>
                </a:ext>
                <a:ext uri="{FF2B5EF4-FFF2-40B4-BE49-F238E27FC236}">
                  <a16:creationId xmlns:a16="http://schemas.microsoft.com/office/drawing/2014/main" id="{00000000-0008-0000-1600-0000093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Grind (Remove)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302</xdr:row>
          <xdr:rowOff>142875</xdr:rowOff>
        </xdr:from>
        <xdr:to>
          <xdr:col>5</xdr:col>
          <xdr:colOff>457200</xdr:colOff>
          <xdr:row>303</xdr:row>
          <xdr:rowOff>161925</xdr:rowOff>
        </xdr:to>
        <xdr:sp macro="" textlink="">
          <xdr:nvSpPr>
            <xdr:cNvPr id="210186" name="Check Box 266" hidden="1">
              <a:extLst>
                <a:ext uri="{63B3BB69-23CF-44E3-9099-C40C66FF867C}">
                  <a14:compatExt spid="_x0000_s210186"/>
                </a:ext>
                <a:ext uri="{FF2B5EF4-FFF2-40B4-BE49-F238E27FC236}">
                  <a16:creationId xmlns:a16="http://schemas.microsoft.com/office/drawing/2014/main" id="{00000000-0008-0000-1600-00000A3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Repair Keyway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c336b6e018f8d64/Shared%20Files/VEMLIS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ryReportExcel"/>
      <sheetName val="VEMLIST"/>
    </sheetNames>
    <sheetDataSet>
      <sheetData sheetId="0">
        <row r="1">
          <cell r="A1" t="str">
            <v>MotorIndex</v>
          </cell>
          <cell r="B1" t="str">
            <v>strMotorID</v>
          </cell>
          <cell r="C1" t="str">
            <v>CustomerIndex</v>
          </cell>
          <cell r="D1" t="str">
            <v>CustomerID</v>
          </cell>
          <cell r="E1" t="str">
            <v>AppLoc</v>
          </cell>
          <cell r="F1" t="str">
            <v>Make</v>
          </cell>
          <cell r="G1" t="str">
            <v>Model</v>
          </cell>
          <cell r="H1" t="str">
            <v>SerialNumber</v>
          </cell>
          <cell r="I1" t="str">
            <v>Frame</v>
          </cell>
          <cell r="J1" t="str">
            <v>Style</v>
          </cell>
          <cell r="K1" t="str">
            <v>HP</v>
          </cell>
          <cell r="L1" t="str">
            <v>RPM</v>
          </cell>
          <cell r="M1" t="str">
            <v>Type</v>
          </cell>
          <cell r="N1" t="str">
            <v>Weight</v>
          </cell>
          <cell r="O1" t="str">
            <v>Termblock</v>
          </cell>
          <cell r="P1" t="str">
            <v>Enclosure</v>
          </cell>
          <cell r="Q1" t="str">
            <v>Sheave</v>
          </cell>
          <cell r="R1" t="str">
            <v>Duty</v>
          </cell>
          <cell r="S1" t="str">
            <v>Eyebolt</v>
          </cell>
          <cell r="T1" t="str">
            <v>Coupling</v>
          </cell>
          <cell r="U1" t="str">
            <v>Temp</v>
          </cell>
          <cell r="V1" t="str">
            <v>Ph</v>
          </cell>
          <cell r="W1" t="str">
            <v>Hz</v>
          </cell>
          <cell r="X1" t="str">
            <v>Volts</v>
          </cell>
          <cell r="Y1" t="str">
            <v>Amps</v>
          </cell>
          <cell r="Z1" t="str">
            <v>Shaft_Seal</v>
          </cell>
          <cell r="AA1" t="str">
            <v>Config</v>
          </cell>
          <cell r="AB1" t="str">
            <v>Item.</v>
          </cell>
          <cell r="AC1" t="str">
            <v>PrevContractor99</v>
          </cell>
          <cell r="AD1" t="str">
            <v>PrevContractorID99</v>
          </cell>
          <cell r="AE1" t="str">
            <v>PrevContractorDate99</v>
          </cell>
          <cell r="AF1" t="str">
            <v>UL</v>
          </cell>
          <cell r="AG1" t="str">
            <v>PartsOrdered</v>
          </cell>
          <cell r="AH1" t="str">
            <v>Accessories</v>
          </cell>
          <cell r="AI1" t="str">
            <v>DEBearing</v>
          </cell>
          <cell r="AJ1" t="str">
            <v>ODEBearing</v>
          </cell>
          <cell r="AK1" t="str">
            <v>Brushes</v>
          </cell>
          <cell r="AL1" t="str">
            <v>ElectricalType</v>
          </cell>
          <cell r="AM1" t="str">
            <v>BearingType</v>
          </cell>
          <cell r="AN1" t="str">
            <v>NumPoles</v>
          </cell>
          <cell r="AO1" t="str">
            <v>NEMADesign</v>
          </cell>
          <cell r="AP1" t="str">
            <v>NEMACode</v>
          </cell>
          <cell r="AQ1" t="str">
            <v>InsulationClass</v>
          </cell>
          <cell r="AR1" t="str">
            <v>PowerFactor</v>
          </cell>
          <cell r="AS1" t="str">
            <v>ServFactor</v>
          </cell>
          <cell r="AT1" t="str">
            <v>NomEffic</v>
          </cell>
          <cell r="AU1" t="str">
            <v>Spec</v>
          </cell>
          <cell r="AV1" t="str">
            <v>InsulatedEndbell</v>
          </cell>
          <cell r="AW1" t="str">
            <v>LocationInsulated</v>
          </cell>
          <cell r="AX1" t="str">
            <v>Poles</v>
          </cell>
          <cell r="AY1" t="str">
            <v>PumpMake</v>
          </cell>
          <cell r="AZ1" t="str">
            <v>PumpModel</v>
          </cell>
          <cell r="BA1" t="str">
            <v>PumpSerial</v>
          </cell>
          <cell r="BB1" t="str">
            <v>PumpImpellorDia</v>
          </cell>
          <cell r="BC1" t="str">
            <v>PumpHead</v>
          </cell>
          <cell r="BD1" t="str">
            <v>PumpSize</v>
          </cell>
          <cell r="BE1" t="str">
            <v>PumpSpeed</v>
          </cell>
          <cell r="BF1" t="str">
            <v>PumpEyebolt</v>
          </cell>
          <cell r="BG1" t="str">
            <v>PumpHandleChain</v>
          </cell>
          <cell r="BH1" t="str">
            <v>PumpBaseDisconnet</v>
          </cell>
          <cell r="BI1" t="str">
            <v>PumpCordCap</v>
          </cell>
          <cell r="BJ1" t="str">
            <v>PumpVoltute</v>
          </cell>
          <cell r="BK1" t="str">
            <v>PumpGPM</v>
          </cell>
          <cell r="BL1" t="str">
            <v>PumpPSI</v>
          </cell>
          <cell r="BM1" t="str">
            <v>PumpCatalog</v>
          </cell>
          <cell r="BN1" t="str">
            <v>PumpType</v>
          </cell>
          <cell r="BO1" t="str">
            <v>PumpTemp</v>
          </cell>
          <cell r="BP1" t="str">
            <v>PumpFluid</v>
          </cell>
          <cell r="BQ1" t="str">
            <v>PumpSpecGrav</v>
          </cell>
          <cell r="BR1" t="str">
            <v>PumpVisc</v>
          </cell>
          <cell r="BS1" t="str">
            <v>PumpPh</v>
          </cell>
          <cell r="BT1" t="str">
            <v>PumpMaterial</v>
          </cell>
          <cell r="BU1" t="str">
            <v>PumpMechSeal</v>
          </cell>
          <cell r="BV1" t="str">
            <v>GearMake</v>
          </cell>
          <cell r="BW1" t="str">
            <v>GearModel</v>
          </cell>
          <cell r="BX1" t="str">
            <v>GearSerial</v>
          </cell>
          <cell r="BY1" t="str">
            <v>GearRatio</v>
          </cell>
          <cell r="BZ1" t="str">
            <v>GearInputRPM</v>
          </cell>
          <cell r="CA1" t="str">
            <v>GearBoxSize</v>
          </cell>
          <cell r="CB1" t="str">
            <v>GearTorque</v>
          </cell>
          <cell r="CC1" t="str">
            <v>GearMaxRPM</v>
          </cell>
          <cell r="CD1" t="str">
            <v>GearType</v>
          </cell>
          <cell r="CE1" t="str">
            <v>GearMaxHP</v>
          </cell>
          <cell r="CF1" t="str">
            <v>GearRating</v>
          </cell>
          <cell r="CG1" t="str">
            <v>GearConfig</v>
          </cell>
          <cell r="CH1" t="str">
            <v>GearEyeBolt</v>
          </cell>
          <cell r="CI1" t="str">
            <v>GearBase</v>
          </cell>
          <cell r="CJ1" t="str">
            <v>BrakeMake</v>
          </cell>
          <cell r="CK1" t="str">
            <v>BrakeModel</v>
          </cell>
          <cell r="CL1" t="str">
            <v>BrakeSerial</v>
          </cell>
          <cell r="CM1" t="str">
            <v>Brakeftlbs</v>
          </cell>
          <cell r="CN1" t="str">
            <v>BrakeVoltage</v>
          </cell>
          <cell r="CO1" t="str">
            <v>BrakeAmps</v>
          </cell>
          <cell r="CP1" t="str">
            <v>BrakeSize</v>
          </cell>
          <cell r="CQ1" t="str">
            <v>BrakeHz</v>
          </cell>
          <cell r="CR1" t="str">
            <v>BrakeType</v>
          </cell>
          <cell r="CS1" t="str">
            <v>TachMake</v>
          </cell>
          <cell r="CT1" t="str">
            <v>TachModel</v>
          </cell>
          <cell r="CU1" t="str">
            <v>TachSerial</v>
          </cell>
          <cell r="CV1" t="str">
            <v>TachType</v>
          </cell>
          <cell r="CW1" t="str">
            <v>TachRPM</v>
          </cell>
          <cell r="CX1" t="str">
            <v>TachV1000RPM</v>
          </cell>
          <cell r="CY1" t="str">
            <v>TachCoupling</v>
          </cell>
          <cell r="CZ1" t="str">
            <v>TachFlange</v>
          </cell>
          <cell r="DA1" t="str">
            <v>ClutchMake</v>
          </cell>
          <cell r="DB1" t="str">
            <v>ClutchModel</v>
          </cell>
          <cell r="DC1" t="str">
            <v>ClutchSerial</v>
          </cell>
          <cell r="DD1" t="str">
            <v>ClutchVoltage</v>
          </cell>
          <cell r="DE1" t="str">
            <v>ClutchAmps</v>
          </cell>
          <cell r="DF1" t="str">
            <v>ClutchConf</v>
          </cell>
          <cell r="DG1" t="str">
            <v>ClutchTach</v>
          </cell>
          <cell r="DH1" t="str">
            <v>ClutchEyeBolt</v>
          </cell>
          <cell r="DI1" t="str">
            <v>ClutchType</v>
          </cell>
          <cell r="DJ1" t="str">
            <v>CompressType</v>
          </cell>
          <cell r="DK1" t="str">
            <v>CompressMake</v>
          </cell>
          <cell r="DL1" t="str">
            <v>CompressModel</v>
          </cell>
          <cell r="DM1" t="str">
            <v>CompressSerial</v>
          </cell>
          <cell r="DN1" t="str">
            <v>CompressHP</v>
          </cell>
          <cell r="DO1" t="str">
            <v>CompressVolts</v>
          </cell>
          <cell r="DP1" t="str">
            <v>CompressPSI</v>
          </cell>
          <cell r="DQ1" t="str">
            <v>CompressCFM</v>
          </cell>
          <cell r="DR1" t="str">
            <v>CompressTech</v>
          </cell>
          <cell r="DS1" t="str">
            <v>BlowerType</v>
          </cell>
          <cell r="DT1" t="str">
            <v>BlowerMake</v>
          </cell>
          <cell r="DU1" t="str">
            <v>BlowerModel</v>
          </cell>
          <cell r="DV1" t="str">
            <v>BlowerSerial</v>
          </cell>
          <cell r="DW1" t="str">
            <v>BlowerHP</v>
          </cell>
          <cell r="DX1" t="str">
            <v>BlowerVolts</v>
          </cell>
          <cell r="DY1" t="str">
            <v>BlowerSize</v>
          </cell>
          <cell r="DZ1" t="str">
            <v>ElectACDC</v>
          </cell>
          <cell r="EA1" t="str">
            <v>ElectMake</v>
          </cell>
          <cell r="EB1" t="str">
            <v>ElectModel</v>
          </cell>
          <cell r="EC1" t="str">
            <v>ElectPart</v>
          </cell>
          <cell r="ED1" t="str">
            <v>ElectSerial</v>
          </cell>
          <cell r="EE1" t="str">
            <v>ElectCatalog</v>
          </cell>
          <cell r="EF1" t="str">
            <v>ElectHP</v>
          </cell>
          <cell r="EG1" t="str">
            <v>ElectVoltsIn</v>
          </cell>
          <cell r="EH1" t="str">
            <v>ElectVoltsOut</v>
          </cell>
          <cell r="EI1" t="str">
            <v>ElectAmpsIn</v>
          </cell>
          <cell r="EJ1" t="str">
            <v>ElectAmpsOut</v>
          </cell>
          <cell r="EK1" t="str">
            <v>ElectEnclosure</v>
          </cell>
          <cell r="EL1" t="str">
            <v>ElectPhases</v>
          </cell>
          <cell r="EM1" t="str">
            <v>ElectType</v>
          </cell>
          <cell r="EN1" t="str">
            <v>ElectWeight</v>
          </cell>
          <cell r="EO1" t="str">
            <v>ElectBoard</v>
          </cell>
          <cell r="EP1" t="str">
            <v>SecVolts</v>
          </cell>
          <cell r="EQ1" t="str">
            <v>SecAmps</v>
          </cell>
          <cell r="ER1" t="str">
            <v>FieldVolts</v>
          </cell>
          <cell r="ES1" t="str">
            <v>FieldAmps</v>
          </cell>
          <cell r="ET1" t="str">
            <v>FieldResist</v>
          </cell>
          <cell r="EU1" t="str">
            <v>TempRise</v>
          </cell>
          <cell r="EV1" t="str">
            <v>Stock.</v>
          </cell>
          <cell r="EW1" t="str">
            <v>Catalog.</v>
          </cell>
          <cell r="EX1" t="str">
            <v>ID.</v>
          </cell>
          <cell r="EY1" t="str">
            <v>Style.</v>
          </cell>
          <cell r="EZ1" t="str">
            <v>SpecialPaint</v>
          </cell>
          <cell r="FA1" t="str">
            <v>GenMake</v>
          </cell>
          <cell r="FB1" t="str">
            <v>GenKW</v>
          </cell>
          <cell r="FC1" t="str">
            <v>GenRPM</v>
          </cell>
          <cell r="FD1" t="str">
            <v>GenVoltage</v>
          </cell>
          <cell r="FE1" t="str">
            <v>GenPhase</v>
          </cell>
          <cell r="FF1" t="str">
            <v>GenFrequency</v>
          </cell>
          <cell r="FG1" t="str">
            <v>GenModel</v>
          </cell>
          <cell r="FH1" t="str">
            <v>GenSerial</v>
          </cell>
          <cell r="FI1" t="str">
            <v>GenSpec</v>
          </cell>
          <cell r="FJ1" t="str">
            <v>GenEngMake</v>
          </cell>
          <cell r="FK1" t="str">
            <v>GenEngDispl</v>
          </cell>
          <cell r="FL1" t="str">
            <v>GenEngModel</v>
          </cell>
          <cell r="FM1" t="str">
            <v>GenEngSerial</v>
          </cell>
          <cell r="FN1" t="str">
            <v>GenFuelType</v>
          </cell>
          <cell r="FO1" t="str">
            <v>GenInOut</v>
          </cell>
          <cell r="FP1" t="str">
            <v>GenOilFilter</v>
          </cell>
          <cell r="FQ1" t="str">
            <v>GenOilCapacity</v>
          </cell>
          <cell r="FR1" t="str">
            <v>GenFuelFilter</v>
          </cell>
          <cell r="FS1" t="str">
            <v>GenFuelPrefilter</v>
          </cell>
          <cell r="FT1" t="str">
            <v>GenAirFilter</v>
          </cell>
          <cell r="FU1" t="str">
            <v>GenWaterSep</v>
          </cell>
          <cell r="FV1" t="str">
            <v>GenCoolFilter</v>
          </cell>
          <cell r="FW1" t="str">
            <v>GenCoolCapacity</v>
          </cell>
          <cell r="FX1" t="str">
            <v>GenBlockHeater</v>
          </cell>
          <cell r="FY1" t="str">
            <v>GenPoints</v>
          </cell>
          <cell r="FZ1" t="str">
            <v>GenPlugs</v>
          </cell>
          <cell r="GA1" t="str">
            <v>GenPlugWires</v>
          </cell>
          <cell r="GB1" t="str">
            <v>GenCondenser</v>
          </cell>
          <cell r="GC1" t="str">
            <v>GenBattery</v>
          </cell>
          <cell r="GD1" t="str">
            <v>GenTransMake</v>
          </cell>
          <cell r="GE1" t="str">
            <v>GenTransModel</v>
          </cell>
          <cell r="GF1" t="str">
            <v>GenTransSerial</v>
          </cell>
          <cell r="GG1" t="str">
            <v>GenTransVoltage</v>
          </cell>
          <cell r="GH1" t="str">
            <v>GenTransAmps</v>
          </cell>
          <cell r="GI1" t="str">
            <v>GenTransPhase</v>
          </cell>
          <cell r="GJ1" t="str">
            <v>GenTransFrequency</v>
          </cell>
          <cell r="GK1" t="str">
            <v>strCustom1</v>
          </cell>
          <cell r="GL1" t="str">
            <v>strCustom2</v>
          </cell>
          <cell r="GM1" t="str">
            <v>strCustom3</v>
          </cell>
          <cell r="GN1" t="str">
            <v>strCustom4</v>
          </cell>
          <cell r="GO1" t="str">
            <v>strCustom5</v>
          </cell>
          <cell r="GP1" t="str">
            <v>strLabel1</v>
          </cell>
          <cell r="GQ1" t="str">
            <v>strLabel2</v>
          </cell>
          <cell r="GR1" t="str">
            <v>strLabel3</v>
          </cell>
          <cell r="GS1" t="str">
            <v>strLabel4</v>
          </cell>
          <cell r="GT1" t="str">
            <v>strLabel5</v>
          </cell>
          <cell r="GU1" t="str">
            <v>upsize_ts</v>
          </cell>
          <cell r="GV1" t="str">
            <v>GenAmps</v>
          </cell>
          <cell r="GW1" t="str">
            <v>GenACDC</v>
          </cell>
          <cell r="GX1" t="str">
            <v>GenCoolType</v>
          </cell>
          <cell r="GY1" t="str">
            <v>GenBattCharge</v>
          </cell>
          <cell r="GZ1" t="str">
            <v>ULGroup</v>
          </cell>
          <cell r="HA1" t="str">
            <v>ULClass</v>
          </cell>
          <cell r="HB1" t="str">
            <v>dblPurchaseID</v>
          </cell>
          <cell r="HC1" t="str">
            <v>dblOrderID</v>
          </cell>
          <cell r="HD1" t="str">
            <v>strDepartment</v>
          </cell>
          <cell r="HE1" t="str">
            <v>GearPart</v>
          </cell>
          <cell r="HF1" t="str">
            <v>memNotes</v>
          </cell>
          <cell r="HG1" t="str">
            <v>BlowerAmps</v>
          </cell>
          <cell r="HH1" t="str">
            <v>BlowerPhase</v>
          </cell>
          <cell r="HI1" t="str">
            <v>BlowerHz</v>
          </cell>
          <cell r="HJ1" t="str">
            <v>BlowerEnclosure</v>
          </cell>
          <cell r="HK1" t="str">
            <v>BlowerColor</v>
          </cell>
          <cell r="HL1" t="str">
            <v>BlowerConfiguration</v>
          </cell>
          <cell r="HM1" t="str">
            <v>BlowerTermBox</v>
          </cell>
          <cell r="HN1" t="str">
            <v>ElectHz</v>
          </cell>
          <cell r="HO1" t="str">
            <v>RPM2</v>
          </cell>
          <cell r="HP1" t="str">
            <v>curSqFt</v>
          </cell>
          <cell r="HQ1" t="str">
            <v>strMotorIDHeader</v>
          </cell>
          <cell r="HR1" t="str">
            <v>curCuFt</v>
          </cell>
          <cell r="HS1" t="str">
            <v>curWeight</v>
          </cell>
          <cell r="HT1" t="str">
            <v>ysnEMActive</v>
          </cell>
          <cell r="HU1" t="str">
            <v>strCompanyName</v>
          </cell>
        </row>
        <row r="2">
          <cell r="A2">
            <v>5807</v>
          </cell>
          <cell r="B2" t="str">
            <v>VEM1700</v>
          </cell>
          <cell r="D2" t="str">
            <v>P66</v>
          </cell>
          <cell r="AG2" t="str">
            <v>HP</v>
          </cell>
          <cell r="AV2" t="b">
            <v>0</v>
          </cell>
          <cell r="HD2" t="str">
            <v>Repair Shop</v>
          </cell>
          <cell r="HT2" t="b">
            <v>0</v>
          </cell>
          <cell r="HU2" t="str">
            <v>PHILLIPS 66</v>
          </cell>
        </row>
        <row r="3">
          <cell r="A3">
            <v>5806</v>
          </cell>
          <cell r="B3" t="str">
            <v>VEM1699</v>
          </cell>
          <cell r="D3" t="str">
            <v>VALLEJOSAN</v>
          </cell>
          <cell r="AG3" t="str">
            <v>HP</v>
          </cell>
          <cell r="AV3" t="b">
            <v>0</v>
          </cell>
          <cell r="HD3" t="str">
            <v>Repair Shop</v>
          </cell>
          <cell r="HT3" t="b">
            <v>0</v>
          </cell>
          <cell r="HU3" t="str">
            <v>VALLEJO FLOOD &amp; WASTEWATER DISTRICT</v>
          </cell>
        </row>
        <row r="4">
          <cell r="A4">
            <v>5805</v>
          </cell>
          <cell r="B4" t="str">
            <v>VEM1698</v>
          </cell>
          <cell r="D4" t="str">
            <v>TESORO</v>
          </cell>
          <cell r="AG4" t="str">
            <v>HP</v>
          </cell>
          <cell r="AV4" t="b">
            <v>0</v>
          </cell>
          <cell r="HD4" t="str">
            <v>Repair Shop</v>
          </cell>
          <cell r="HT4" t="b">
            <v>0</v>
          </cell>
          <cell r="HU4" t="str">
            <v>TESORO REFINING &amp; MARKETING</v>
          </cell>
        </row>
        <row r="5">
          <cell r="A5">
            <v>5804</v>
          </cell>
          <cell r="B5" t="str">
            <v>VEM1697</v>
          </cell>
          <cell r="D5" t="str">
            <v>SACWASTEPLANT</v>
          </cell>
          <cell r="F5" t="str">
            <v>Reliance</v>
          </cell>
          <cell r="I5" t="str">
            <v>X250TY</v>
          </cell>
          <cell r="K5" t="str">
            <v>7.5</v>
          </cell>
          <cell r="L5" t="str">
            <v>1200</v>
          </cell>
          <cell r="P5" t="str">
            <v>TENV</v>
          </cell>
          <cell r="R5" t="str">
            <v>Continuous</v>
          </cell>
          <cell r="X5" t="str">
            <v>460</v>
          </cell>
          <cell r="Y5" t="str">
            <v>10.1</v>
          </cell>
          <cell r="AG5" t="str">
            <v>HP</v>
          </cell>
          <cell r="AV5" t="b">
            <v>0</v>
          </cell>
          <cell r="BB5" t="str">
            <v>11 INCH</v>
          </cell>
          <cell r="BC5" t="str">
            <v>50 FT</v>
          </cell>
          <cell r="BD5" t="str">
            <v>3X11</v>
          </cell>
          <cell r="BE5" t="str">
            <v>200</v>
          </cell>
          <cell r="EX5" t="str">
            <v>6513175</v>
          </cell>
          <cell r="HD5" t="str">
            <v>Repair Shop</v>
          </cell>
          <cell r="HT5" t="b">
            <v>0</v>
          </cell>
          <cell r="HU5" t="str">
            <v>SACRAMENTO REGIONAL WASTE WATER TREATMENT PLANT</v>
          </cell>
        </row>
        <row r="6">
          <cell r="A6">
            <v>5803</v>
          </cell>
          <cell r="B6" t="str">
            <v>VEM1696</v>
          </cell>
          <cell r="D6" t="str">
            <v>VALERO</v>
          </cell>
          <cell r="F6" t="str">
            <v>Marathom</v>
          </cell>
          <cell r="G6" t="str">
            <v>8D 405TTFS6554BP W</v>
          </cell>
          <cell r="I6" t="str">
            <v>405T</v>
          </cell>
          <cell r="K6" t="str">
            <v>100</v>
          </cell>
          <cell r="L6" t="str">
            <v>1775</v>
          </cell>
          <cell r="M6" t="str">
            <v>TFS</v>
          </cell>
          <cell r="N6" t="str">
            <v>1335</v>
          </cell>
          <cell r="P6" t="str">
            <v>TEFC</v>
          </cell>
          <cell r="R6" t="str">
            <v>Continuous</v>
          </cell>
          <cell r="V6" t="str">
            <v>3</v>
          </cell>
          <cell r="W6" t="str">
            <v>60</v>
          </cell>
          <cell r="X6" t="str">
            <v>460</v>
          </cell>
          <cell r="Y6" t="str">
            <v>113.0</v>
          </cell>
          <cell r="AA6" t="str">
            <v>F1</v>
          </cell>
          <cell r="AG6" t="str">
            <v>HP</v>
          </cell>
          <cell r="AI6" t="str">
            <v>6316</v>
          </cell>
          <cell r="AJ6" t="str">
            <v>6313</v>
          </cell>
          <cell r="AO6" t="str">
            <v>B</v>
          </cell>
          <cell r="AQ6" t="str">
            <v>F</v>
          </cell>
          <cell r="AR6" t="str">
            <v>87.0</v>
          </cell>
          <cell r="AT6" t="str">
            <v>95.4</v>
          </cell>
          <cell r="AV6" t="b">
            <v>0</v>
          </cell>
          <cell r="HD6" t="str">
            <v>Repair Shop</v>
          </cell>
          <cell r="HT6" t="b">
            <v>0</v>
          </cell>
          <cell r="HU6" t="str">
            <v>VALERO REFINING CO. BENICIA</v>
          </cell>
        </row>
        <row r="7">
          <cell r="A7">
            <v>5802</v>
          </cell>
          <cell r="B7" t="str">
            <v>VEM1695</v>
          </cell>
          <cell r="D7" t="str">
            <v>VALERO</v>
          </cell>
          <cell r="F7" t="str">
            <v>Reliance</v>
          </cell>
          <cell r="I7" t="str">
            <v>P48</v>
          </cell>
          <cell r="K7" t="str">
            <v>1/6</v>
          </cell>
          <cell r="L7" t="str">
            <v>1725</v>
          </cell>
          <cell r="P7" t="str">
            <v>TENV</v>
          </cell>
          <cell r="R7" t="str">
            <v>Intermittant</v>
          </cell>
          <cell r="U7" t="str">
            <v>40</v>
          </cell>
          <cell r="V7" t="str">
            <v>1</v>
          </cell>
          <cell r="W7" t="str">
            <v>60</v>
          </cell>
          <cell r="X7" t="str">
            <v>115</v>
          </cell>
          <cell r="Y7" t="str">
            <v>4.4</v>
          </cell>
          <cell r="AA7" t="str">
            <v>Other</v>
          </cell>
          <cell r="AG7" t="str">
            <v>HP</v>
          </cell>
          <cell r="AP7" t="str">
            <v>M</v>
          </cell>
          <cell r="AQ7" t="str">
            <v>A</v>
          </cell>
          <cell r="AS7" t="str">
            <v>1.0</v>
          </cell>
          <cell r="AV7" t="b">
            <v>0</v>
          </cell>
          <cell r="BY7" t="str">
            <v>30</v>
          </cell>
          <cell r="CC7" t="str">
            <v>48</v>
          </cell>
          <cell r="CE7" t="str">
            <v>1/6</v>
          </cell>
          <cell r="CM7" t="str">
            <v>1.5</v>
          </cell>
          <cell r="CN7" t="str">
            <v>115</v>
          </cell>
          <cell r="CO7" t="str">
            <v>.42</v>
          </cell>
          <cell r="CP7" t="str">
            <v>555</v>
          </cell>
          <cell r="CQ7" t="str">
            <v>60</v>
          </cell>
          <cell r="EX7" t="str">
            <v>722784-ND</v>
          </cell>
          <cell r="HD7" t="str">
            <v>Repair Shop</v>
          </cell>
          <cell r="HT7" t="b">
            <v>0</v>
          </cell>
          <cell r="HU7" t="str">
            <v>VALERO REFINING CO. BENICIA</v>
          </cell>
        </row>
        <row r="8">
          <cell r="A8">
            <v>5801</v>
          </cell>
          <cell r="B8" t="str">
            <v>VEM1694</v>
          </cell>
          <cell r="D8" t="str">
            <v>P66</v>
          </cell>
          <cell r="F8" t="str">
            <v>GE</v>
          </cell>
          <cell r="G8" t="str">
            <v>5KS405SS118D8</v>
          </cell>
          <cell r="I8" t="str">
            <v>405TS</v>
          </cell>
          <cell r="K8" t="str">
            <v>100</v>
          </cell>
          <cell r="L8" t="str">
            <v>3570</v>
          </cell>
          <cell r="M8" t="str">
            <v>KS</v>
          </cell>
          <cell r="N8" t="str">
            <v>1470</v>
          </cell>
          <cell r="P8" t="str">
            <v>TEFC</v>
          </cell>
          <cell r="R8" t="str">
            <v>Continuous</v>
          </cell>
          <cell r="U8" t="str">
            <v>40</v>
          </cell>
          <cell r="V8" t="str">
            <v>3</v>
          </cell>
          <cell r="W8" t="str">
            <v>60</v>
          </cell>
          <cell r="X8" t="str">
            <v>460</v>
          </cell>
          <cell r="Y8" t="str">
            <v>109</v>
          </cell>
          <cell r="AA8" t="str">
            <v>F1</v>
          </cell>
          <cell r="AG8" t="str">
            <v>HP</v>
          </cell>
          <cell r="AI8" t="str">
            <v>6213</v>
          </cell>
          <cell r="AJ8" t="str">
            <v>6213</v>
          </cell>
          <cell r="AO8" t="str">
            <v>B</v>
          </cell>
          <cell r="AP8" t="str">
            <v>G</v>
          </cell>
          <cell r="AQ8" t="str">
            <v>F</v>
          </cell>
          <cell r="AR8" t="str">
            <v>91.5</v>
          </cell>
          <cell r="AS8" t="str">
            <v>1.15</v>
          </cell>
          <cell r="AT8" t="str">
            <v>93.6</v>
          </cell>
          <cell r="AV8" t="b">
            <v>0</v>
          </cell>
          <cell r="EW8" t="str">
            <v>E9510</v>
          </cell>
          <cell r="HD8" t="str">
            <v>Repair Shop</v>
          </cell>
          <cell r="HT8" t="b">
            <v>0</v>
          </cell>
          <cell r="HU8" t="str">
            <v>PHILLIPS 66</v>
          </cell>
        </row>
        <row r="9">
          <cell r="A9">
            <v>5800</v>
          </cell>
          <cell r="B9" t="str">
            <v>VEM1693</v>
          </cell>
          <cell r="D9" t="str">
            <v>P66</v>
          </cell>
          <cell r="F9" t="str">
            <v>GE</v>
          </cell>
          <cell r="H9" t="str">
            <v>GCFT210A10</v>
          </cell>
          <cell r="I9" t="str">
            <v>215T</v>
          </cell>
          <cell r="K9" t="str">
            <v>10</v>
          </cell>
          <cell r="L9" t="str">
            <v>3525</v>
          </cell>
          <cell r="M9" t="str">
            <v>KS</v>
          </cell>
          <cell r="N9" t="str">
            <v>220</v>
          </cell>
          <cell r="P9" t="str">
            <v>TEFC</v>
          </cell>
          <cell r="R9" t="str">
            <v>Continuous</v>
          </cell>
          <cell r="U9" t="str">
            <v>40</v>
          </cell>
          <cell r="V9" t="str">
            <v>3</v>
          </cell>
          <cell r="W9" t="str">
            <v>60</v>
          </cell>
          <cell r="X9" t="str">
            <v>460</v>
          </cell>
          <cell r="Y9" t="str">
            <v>11.3</v>
          </cell>
          <cell r="AA9" t="str">
            <v>F1</v>
          </cell>
          <cell r="AG9" t="str">
            <v>HP</v>
          </cell>
          <cell r="AI9" t="str">
            <v>6208</v>
          </cell>
          <cell r="AJ9" t="str">
            <v>6208</v>
          </cell>
          <cell r="AO9" t="str">
            <v>B</v>
          </cell>
          <cell r="AP9" t="str">
            <v>H</v>
          </cell>
          <cell r="AQ9" t="str">
            <v>H</v>
          </cell>
          <cell r="AR9" t="str">
            <v>91.0</v>
          </cell>
          <cell r="AS9" t="str">
            <v>1.15</v>
          </cell>
          <cell r="AT9" t="str">
            <v>91</v>
          </cell>
          <cell r="AV9" t="b">
            <v>0</v>
          </cell>
          <cell r="EW9" t="str">
            <v>M9430</v>
          </cell>
          <cell r="HD9" t="str">
            <v>Repair Shop</v>
          </cell>
          <cell r="HT9" t="b">
            <v>0</v>
          </cell>
          <cell r="HU9" t="str">
            <v>PHILLIPS 66</v>
          </cell>
        </row>
        <row r="10">
          <cell r="A10">
            <v>5799</v>
          </cell>
          <cell r="B10" t="str">
            <v>VEM1692</v>
          </cell>
          <cell r="D10" t="str">
            <v>P66</v>
          </cell>
          <cell r="F10" t="str">
            <v>Reliance</v>
          </cell>
          <cell r="I10" t="str">
            <v>364TS</v>
          </cell>
          <cell r="K10" t="str">
            <v>60</v>
          </cell>
          <cell r="L10" t="str">
            <v>3565</v>
          </cell>
          <cell r="N10" t="str">
            <v>825</v>
          </cell>
          <cell r="R10" t="str">
            <v>Continuous</v>
          </cell>
          <cell r="U10" t="str">
            <v>40364TS</v>
          </cell>
          <cell r="V10" t="str">
            <v>3</v>
          </cell>
          <cell r="W10" t="str">
            <v>60</v>
          </cell>
          <cell r="X10" t="str">
            <v>460</v>
          </cell>
          <cell r="Y10" t="str">
            <v>66.3</v>
          </cell>
          <cell r="AA10" t="str">
            <v>F1</v>
          </cell>
          <cell r="AG10" t="str">
            <v>HP</v>
          </cell>
          <cell r="AO10" t="str">
            <v>B</v>
          </cell>
          <cell r="AP10" t="str">
            <v>G</v>
          </cell>
          <cell r="AQ10" t="str">
            <v>F</v>
          </cell>
          <cell r="AS10" t="str">
            <v>1.00</v>
          </cell>
          <cell r="AV10" t="b">
            <v>0</v>
          </cell>
          <cell r="EX10" t="str">
            <v>02MAF98780 G 002 XW</v>
          </cell>
          <cell r="HD10" t="str">
            <v>Repair Shop</v>
          </cell>
          <cell r="HT10" t="b">
            <v>0</v>
          </cell>
          <cell r="HU10" t="str">
            <v>PHILLIPS 66</v>
          </cell>
        </row>
        <row r="11">
          <cell r="A11">
            <v>5798</v>
          </cell>
          <cell r="B11" t="str">
            <v>VEM1691</v>
          </cell>
          <cell r="D11" t="str">
            <v>VALLEJOSAN</v>
          </cell>
          <cell r="F11" t="str">
            <v>WEG</v>
          </cell>
          <cell r="G11" t="str">
            <v>01536ET3E215TF</v>
          </cell>
          <cell r="I11" t="str">
            <v>213/5T</v>
          </cell>
          <cell r="K11" t="str">
            <v>15</v>
          </cell>
          <cell r="L11" t="str">
            <v>3510</v>
          </cell>
          <cell r="P11" t="str">
            <v>TEFC</v>
          </cell>
          <cell r="R11" t="str">
            <v>Continuous</v>
          </cell>
          <cell r="U11" t="str">
            <v>40</v>
          </cell>
          <cell r="V11" t="str">
            <v>3</v>
          </cell>
          <cell r="W11" t="str">
            <v>60</v>
          </cell>
          <cell r="X11" t="str">
            <v>208-230/460</v>
          </cell>
          <cell r="Y11" t="str">
            <v>34/17</v>
          </cell>
          <cell r="AA11" t="str">
            <v>F2</v>
          </cell>
          <cell r="AG11" t="str">
            <v>HP</v>
          </cell>
          <cell r="AI11" t="str">
            <v>6308</v>
          </cell>
          <cell r="AJ11" t="str">
            <v>6207</v>
          </cell>
          <cell r="AP11" t="str">
            <v>H</v>
          </cell>
          <cell r="AQ11" t="str">
            <v>F</v>
          </cell>
          <cell r="AS11" t="str">
            <v>1.25</v>
          </cell>
          <cell r="AT11" t="str">
            <v>91.0</v>
          </cell>
          <cell r="AV11" t="b">
            <v>0</v>
          </cell>
          <cell r="HD11" t="str">
            <v>Repair Shop</v>
          </cell>
          <cell r="HT11" t="b">
            <v>0</v>
          </cell>
          <cell r="HU11" t="str">
            <v>VALLEJO FLOOD &amp; WASTEWATER DISTRICT</v>
          </cell>
        </row>
        <row r="12">
          <cell r="A12">
            <v>5797</v>
          </cell>
          <cell r="B12" t="str">
            <v>VEM1690</v>
          </cell>
          <cell r="D12" t="str">
            <v>EURO</v>
          </cell>
          <cell r="F12" t="str">
            <v>Bauer</v>
          </cell>
          <cell r="H12" t="str">
            <v>1816686</v>
          </cell>
          <cell r="K12" t="str">
            <v>5.5</v>
          </cell>
          <cell r="L12" t="str">
            <v>1710</v>
          </cell>
          <cell r="M12" t="str">
            <v>BK70X-12U/D11LA4-S/E075A9</v>
          </cell>
          <cell r="P12" t="str">
            <v>TEFC</v>
          </cell>
          <cell r="R12" t="str">
            <v>Continuous</v>
          </cell>
          <cell r="V12" t="str">
            <v>3</v>
          </cell>
          <cell r="W12" t="str">
            <v>60</v>
          </cell>
          <cell r="X12" t="str">
            <v>230</v>
          </cell>
          <cell r="Y12" t="str">
            <v>20.5</v>
          </cell>
          <cell r="AG12" t="str">
            <v>KW</v>
          </cell>
          <cell r="AQ12" t="str">
            <v>F</v>
          </cell>
          <cell r="AV12" t="b">
            <v>0</v>
          </cell>
          <cell r="CM12" t="str">
            <v>65Nm</v>
          </cell>
          <cell r="CN12" t="str">
            <v>110</v>
          </cell>
          <cell r="CO12" t="str">
            <v>2.6</v>
          </cell>
          <cell r="CQ12" t="str">
            <v>60</v>
          </cell>
          <cell r="HD12" t="str">
            <v>Repair Shop</v>
          </cell>
          <cell r="HT12" t="b">
            <v>0</v>
          </cell>
          <cell r="HU12" t="str">
            <v>EURO-MACHINES, INC.</v>
          </cell>
        </row>
        <row r="13">
          <cell r="A13">
            <v>5796</v>
          </cell>
          <cell r="B13" t="str">
            <v>VEM1689</v>
          </cell>
          <cell r="D13" t="str">
            <v>TESORO</v>
          </cell>
          <cell r="AG13" t="str">
            <v>HP</v>
          </cell>
          <cell r="AV13" t="b">
            <v>0</v>
          </cell>
          <cell r="HD13" t="str">
            <v>Repair Shop</v>
          </cell>
          <cell r="HT13" t="b">
            <v>0</v>
          </cell>
          <cell r="HU13" t="str">
            <v>TESORO REFINING &amp; MARKETING</v>
          </cell>
        </row>
        <row r="14">
          <cell r="A14">
            <v>5795</v>
          </cell>
          <cell r="B14" t="str">
            <v>VEM1688</v>
          </cell>
          <cell r="D14" t="str">
            <v>TIMET</v>
          </cell>
          <cell r="F14" t="str">
            <v>Leeson</v>
          </cell>
          <cell r="G14" t="str">
            <v>N 215T34DK2</v>
          </cell>
          <cell r="H14" t="str">
            <v>0017</v>
          </cell>
          <cell r="I14" t="str">
            <v>215JM</v>
          </cell>
          <cell r="K14" t="str">
            <v>15</v>
          </cell>
          <cell r="L14" t="str">
            <v>3450</v>
          </cell>
          <cell r="P14" t="str">
            <v>ODP</v>
          </cell>
          <cell r="R14" t="str">
            <v>Continuous</v>
          </cell>
          <cell r="U14" t="str">
            <v>40</v>
          </cell>
          <cell r="V14" t="str">
            <v>3</v>
          </cell>
          <cell r="W14" t="str">
            <v>60</v>
          </cell>
          <cell r="X14" t="str">
            <v>208-230/460</v>
          </cell>
          <cell r="Y14" t="str">
            <v>41-36/18</v>
          </cell>
          <cell r="AA14" t="str">
            <v>F1</v>
          </cell>
          <cell r="AG14" t="str">
            <v>HP</v>
          </cell>
          <cell r="AO14" t="str">
            <v>B</v>
          </cell>
          <cell r="AP14" t="str">
            <v>H</v>
          </cell>
          <cell r="AR14" t="str">
            <v>89.9</v>
          </cell>
          <cell r="AS14" t="str">
            <v>1.15</v>
          </cell>
          <cell r="AV14" t="b">
            <v>0</v>
          </cell>
          <cell r="HD14" t="str">
            <v>Repair Shop</v>
          </cell>
          <cell r="HT14" t="b">
            <v>0</v>
          </cell>
          <cell r="HU14" t="str">
            <v>TIMET - TITANIUM METALS</v>
          </cell>
        </row>
        <row r="15">
          <cell r="A15">
            <v>5794</v>
          </cell>
          <cell r="B15" t="str">
            <v>VEM1687</v>
          </cell>
          <cell r="D15" t="str">
            <v>CONHAGEN</v>
          </cell>
          <cell r="F15" t="str">
            <v>Siemens</v>
          </cell>
          <cell r="H15" t="str">
            <v>E08T0782TE 1</v>
          </cell>
          <cell r="I15" t="str">
            <v>326T</v>
          </cell>
          <cell r="K15" t="str">
            <v>30</v>
          </cell>
          <cell r="L15" t="str">
            <v>1180</v>
          </cell>
          <cell r="M15" t="str">
            <v>RGZZESD</v>
          </cell>
          <cell r="P15" t="str">
            <v>EXP</v>
          </cell>
          <cell r="R15" t="str">
            <v>Continuous</v>
          </cell>
          <cell r="U15" t="str">
            <v>40</v>
          </cell>
          <cell r="V15" t="str">
            <v>3</v>
          </cell>
          <cell r="W15" t="str">
            <v>60</v>
          </cell>
          <cell r="X15" t="str">
            <v>460</v>
          </cell>
          <cell r="Y15" t="str">
            <v>39.0</v>
          </cell>
          <cell r="AA15" t="str">
            <v>F1</v>
          </cell>
          <cell r="AG15" t="str">
            <v>HP</v>
          </cell>
          <cell r="AO15" t="str">
            <v>B</v>
          </cell>
          <cell r="AP15" t="str">
            <v>G</v>
          </cell>
          <cell r="AQ15" t="str">
            <v>F</v>
          </cell>
          <cell r="AS15" t="str">
            <v>1.0</v>
          </cell>
          <cell r="AT15" t="str">
            <v>92.4</v>
          </cell>
          <cell r="AV15" t="b">
            <v>0</v>
          </cell>
          <cell r="HD15" t="str">
            <v>Repair Shop</v>
          </cell>
          <cell r="HT15" t="b">
            <v>0</v>
          </cell>
          <cell r="HU15" t="str">
            <v>ALFRED CONHAGEN CO. OF CA</v>
          </cell>
        </row>
        <row r="16">
          <cell r="A16">
            <v>5793</v>
          </cell>
          <cell r="B16" t="str">
            <v>VEM1686</v>
          </cell>
          <cell r="D16" t="str">
            <v>BARRY</v>
          </cell>
          <cell r="F16" t="str">
            <v>ABB</v>
          </cell>
          <cell r="G16" t="str">
            <v>M3BP 315LKA 8IMB3/IM1001</v>
          </cell>
          <cell r="H16" t="str">
            <v>3GF13144313</v>
          </cell>
          <cell r="I16" t="str">
            <v>351LKA</v>
          </cell>
          <cell r="K16" t="str">
            <v>132</v>
          </cell>
          <cell r="L16" t="str">
            <v>892</v>
          </cell>
          <cell r="N16" t="str">
            <v>3146</v>
          </cell>
          <cell r="P16" t="str">
            <v>TEFC</v>
          </cell>
          <cell r="R16" t="str">
            <v>Continuous</v>
          </cell>
          <cell r="V16" t="str">
            <v>3</v>
          </cell>
          <cell r="W16" t="str">
            <v>60</v>
          </cell>
          <cell r="X16" t="str">
            <v>480</v>
          </cell>
          <cell r="Y16" t="str">
            <v>206</v>
          </cell>
          <cell r="AA16" t="str">
            <v>F1</v>
          </cell>
          <cell r="AG16" t="str">
            <v>KW</v>
          </cell>
          <cell r="AI16" t="str">
            <v>6319</v>
          </cell>
          <cell r="AJ16" t="str">
            <v>6316</v>
          </cell>
          <cell r="AQ16" t="str">
            <v>F</v>
          </cell>
          <cell r="AV16" t="b">
            <v>0</v>
          </cell>
          <cell r="DT16" t="str">
            <v>ABB</v>
          </cell>
          <cell r="DU16" t="str">
            <v>M3BP090 SLD 4</v>
          </cell>
          <cell r="DV16" t="str">
            <v>3GRE1241339P8866009</v>
          </cell>
          <cell r="DW16" t="str">
            <v>3.3</v>
          </cell>
          <cell r="DX16" t="str">
            <v>480</v>
          </cell>
          <cell r="HD16" t="str">
            <v>Repair Shop</v>
          </cell>
          <cell r="HT16" t="b">
            <v>0</v>
          </cell>
          <cell r="HU16" t="str">
            <v>BARRY CALLEBAUT</v>
          </cell>
        </row>
        <row r="17">
          <cell r="A17">
            <v>5792</v>
          </cell>
          <cell r="B17" t="str">
            <v>VEM1685</v>
          </cell>
          <cell r="D17" t="str">
            <v>EDF RENEWABLES</v>
          </cell>
          <cell r="AG17" t="str">
            <v>HP</v>
          </cell>
          <cell r="AV17" t="b">
            <v>0</v>
          </cell>
          <cell r="HD17" t="str">
            <v>Repair Shop</v>
          </cell>
          <cell r="HT17" t="b">
            <v>0</v>
          </cell>
          <cell r="HU17" t="str">
            <v>EDF RENEWABLES</v>
          </cell>
        </row>
        <row r="18">
          <cell r="A18">
            <v>5791</v>
          </cell>
          <cell r="B18" t="str">
            <v>VEM1684</v>
          </cell>
          <cell r="D18" t="str">
            <v>VALLEJOSAN</v>
          </cell>
          <cell r="AG18" t="str">
            <v>HP</v>
          </cell>
          <cell r="AV18" t="b">
            <v>0</v>
          </cell>
          <cell r="HD18" t="str">
            <v>Repair Shop</v>
          </cell>
          <cell r="HT18" t="b">
            <v>0</v>
          </cell>
          <cell r="HU18" t="str">
            <v>VALLEJO FLOOD &amp; WASTEWATER DISTRICT</v>
          </cell>
        </row>
        <row r="19">
          <cell r="A19">
            <v>5790</v>
          </cell>
          <cell r="B19" t="str">
            <v>VEM1683</v>
          </cell>
          <cell r="D19" t="str">
            <v>VALLEJOSAN</v>
          </cell>
          <cell r="AG19" t="str">
            <v>HP</v>
          </cell>
          <cell r="AV19" t="b">
            <v>0</v>
          </cell>
          <cell r="HD19" t="str">
            <v>Repair Shop</v>
          </cell>
          <cell r="HT19" t="b">
            <v>0</v>
          </cell>
          <cell r="HU19" t="str">
            <v>VALLEJO FLOOD &amp; WASTEWATER DISTRICT</v>
          </cell>
        </row>
        <row r="20">
          <cell r="A20">
            <v>5789</v>
          </cell>
          <cell r="B20" t="str">
            <v>VEM1682</v>
          </cell>
          <cell r="D20" t="str">
            <v>SACWATER</v>
          </cell>
          <cell r="F20" t="str">
            <v>GE</v>
          </cell>
          <cell r="G20" t="str">
            <v>5K6277XH1B</v>
          </cell>
          <cell r="H20" t="str">
            <v>FWJ608108</v>
          </cell>
          <cell r="I20" t="str">
            <v>B444TP16</v>
          </cell>
          <cell r="K20" t="str">
            <v>150</v>
          </cell>
          <cell r="L20" t="str">
            <v>1770</v>
          </cell>
          <cell r="M20" t="str">
            <v>K</v>
          </cell>
          <cell r="P20" t="str">
            <v>ODP</v>
          </cell>
          <cell r="R20" t="str">
            <v>Continuous</v>
          </cell>
          <cell r="U20" t="str">
            <v>60</v>
          </cell>
          <cell r="W20" t="str">
            <v>3</v>
          </cell>
          <cell r="X20" t="str">
            <v>460</v>
          </cell>
          <cell r="Y20" t="str">
            <v>173</v>
          </cell>
          <cell r="AA20" t="str">
            <v>Vertical</v>
          </cell>
          <cell r="AG20" t="str">
            <v>HP</v>
          </cell>
          <cell r="AO20" t="str">
            <v>B</v>
          </cell>
          <cell r="AP20" t="str">
            <v>G</v>
          </cell>
          <cell r="AQ20" t="str">
            <v>F</v>
          </cell>
          <cell r="AS20" t="str">
            <v>1.15</v>
          </cell>
          <cell r="AV20" t="b">
            <v>0</v>
          </cell>
          <cell r="HD20" t="str">
            <v>Repair Shop</v>
          </cell>
          <cell r="HT20" t="b">
            <v>0</v>
          </cell>
          <cell r="HU20" t="str">
            <v>Sacramento Department of Water Resources</v>
          </cell>
        </row>
        <row r="21">
          <cell r="A21">
            <v>5787</v>
          </cell>
          <cell r="B21" t="str">
            <v>VEM1680</v>
          </cell>
          <cell r="D21" t="str">
            <v>C&amp;H</v>
          </cell>
          <cell r="F21" t="str">
            <v>Westinghouse</v>
          </cell>
          <cell r="G21" t="str">
            <v>TBFC</v>
          </cell>
          <cell r="H21" t="str">
            <v>7511</v>
          </cell>
          <cell r="I21" t="str">
            <v>256T</v>
          </cell>
          <cell r="K21" t="str">
            <v>15</v>
          </cell>
          <cell r="L21" t="str">
            <v>1755</v>
          </cell>
          <cell r="P21" t="str">
            <v>TBFC</v>
          </cell>
          <cell r="U21" t="str">
            <v>40</v>
          </cell>
          <cell r="V21" t="str">
            <v>3</v>
          </cell>
          <cell r="W21" t="str">
            <v>60</v>
          </cell>
          <cell r="X21" t="str">
            <v>460</v>
          </cell>
          <cell r="Y21" t="str">
            <v>19</v>
          </cell>
          <cell r="AG21" t="str">
            <v>HP</v>
          </cell>
          <cell r="AV21" t="b">
            <v>0</v>
          </cell>
          <cell r="HD21" t="str">
            <v>Repair Shop</v>
          </cell>
          <cell r="HT21" t="b">
            <v>0</v>
          </cell>
          <cell r="HU21" t="str">
            <v>C &amp; H SUGAR CO.</v>
          </cell>
        </row>
        <row r="22">
          <cell r="A22">
            <v>5786</v>
          </cell>
          <cell r="B22" t="str">
            <v>VEM1679</v>
          </cell>
          <cell r="D22" t="str">
            <v>EDF RENEWABLES</v>
          </cell>
          <cell r="F22" t="str">
            <v>LUST</v>
          </cell>
          <cell r="G22" t="str">
            <v>FGVH 112LL-4-D-F-D-C</v>
          </cell>
          <cell r="H22" t="str">
            <v>000462813</v>
          </cell>
          <cell r="K22" t="str">
            <v>4,4/9,6</v>
          </cell>
          <cell r="L22" t="str">
            <v>1400/920</v>
          </cell>
          <cell r="N22" t="str">
            <v>80</v>
          </cell>
          <cell r="P22" t="str">
            <v>Forced Vent</v>
          </cell>
          <cell r="R22" t="str">
            <v>Continuous</v>
          </cell>
          <cell r="U22" t="str">
            <v>50</v>
          </cell>
          <cell r="W22" t="str">
            <v>50/60</v>
          </cell>
          <cell r="AA22" t="str">
            <v>Vertical</v>
          </cell>
          <cell r="AD22" t="str">
            <v>-1</v>
          </cell>
          <cell r="AG22" t="str">
            <v>KW</v>
          </cell>
          <cell r="AV22" t="b">
            <v>0</v>
          </cell>
          <cell r="EP22" t="str">
            <v>288</v>
          </cell>
          <cell r="EQ22" t="str">
            <v>18/56</v>
          </cell>
          <cell r="ER22" t="str">
            <v>288</v>
          </cell>
          <cell r="ES22" t="str">
            <v>,76</v>
          </cell>
          <cell r="GK22" t="str">
            <v>BRAKE - 288VDC, ,17A, 50W, 100NM</v>
          </cell>
          <cell r="GL22" t="str">
            <v>BLOWER - 230VAC, ,61A, 140W, 2100RPM</v>
          </cell>
          <cell r="HD22" t="str">
            <v>Repair Shop</v>
          </cell>
          <cell r="HT22" t="b">
            <v>0</v>
          </cell>
          <cell r="HU22" t="str">
            <v>EDF RENEWABLES</v>
          </cell>
        </row>
        <row r="23">
          <cell r="A23">
            <v>5785</v>
          </cell>
          <cell r="B23" t="str">
            <v>VEM1678</v>
          </cell>
          <cell r="D23" t="str">
            <v>EDF RENEWABLES</v>
          </cell>
          <cell r="F23" t="str">
            <v>LUST</v>
          </cell>
          <cell r="G23" t="str">
            <v>FGVH 112LL-4-D-F-D-C</v>
          </cell>
          <cell r="H23" t="str">
            <v>000464775</v>
          </cell>
          <cell r="K23" t="str">
            <v>4,4/9,6</v>
          </cell>
          <cell r="L23" t="str">
            <v>1400/920</v>
          </cell>
          <cell r="N23" t="str">
            <v>80</v>
          </cell>
          <cell r="P23" t="str">
            <v>Forced Vent</v>
          </cell>
          <cell r="R23" t="str">
            <v>Continuous</v>
          </cell>
          <cell r="U23" t="str">
            <v>50</v>
          </cell>
          <cell r="W23" t="str">
            <v>50/60</v>
          </cell>
          <cell r="AA23" t="str">
            <v>Vertical</v>
          </cell>
          <cell r="AD23" t="str">
            <v>-1</v>
          </cell>
          <cell r="AG23" t="str">
            <v>KW</v>
          </cell>
          <cell r="AV23" t="b">
            <v>0</v>
          </cell>
          <cell r="EP23" t="str">
            <v>288</v>
          </cell>
          <cell r="EQ23" t="str">
            <v>18/56</v>
          </cell>
          <cell r="ER23" t="str">
            <v>288</v>
          </cell>
          <cell r="ES23" t="str">
            <v>,76</v>
          </cell>
          <cell r="GK23" t="str">
            <v>BRAKE - 288VDC, ,17A, 50W, 100NM</v>
          </cell>
          <cell r="GL23" t="str">
            <v>BLOWER - 230VAC, ,61A, 140W, 2100RPM</v>
          </cell>
          <cell r="HD23" t="str">
            <v>Repair Shop</v>
          </cell>
          <cell r="HT23" t="b">
            <v>0</v>
          </cell>
          <cell r="HU23" t="str">
            <v>EDF RENEWABLES</v>
          </cell>
        </row>
        <row r="24">
          <cell r="A24">
            <v>5784</v>
          </cell>
          <cell r="B24" t="str">
            <v>VEM1677</v>
          </cell>
          <cell r="D24" t="str">
            <v>EDF RENEWABLES</v>
          </cell>
          <cell r="F24" t="str">
            <v>MOOG</v>
          </cell>
          <cell r="G24" t="str">
            <v>FGVH 112LL-4-D-F-D-C</v>
          </cell>
          <cell r="H24" t="str">
            <v>525891</v>
          </cell>
          <cell r="K24" t="str">
            <v>4,4/9,6</v>
          </cell>
          <cell r="L24" t="str">
            <v>1400/920</v>
          </cell>
          <cell r="N24" t="str">
            <v>80</v>
          </cell>
          <cell r="P24" t="str">
            <v>Forced Vent</v>
          </cell>
          <cell r="R24" t="str">
            <v>Continuous</v>
          </cell>
          <cell r="U24" t="str">
            <v>50</v>
          </cell>
          <cell r="W24" t="str">
            <v>50/60</v>
          </cell>
          <cell r="AA24" t="str">
            <v>Vertical</v>
          </cell>
          <cell r="AD24" t="str">
            <v>-1</v>
          </cell>
          <cell r="AG24" t="str">
            <v>HP</v>
          </cell>
          <cell r="AV24" t="b">
            <v>0</v>
          </cell>
          <cell r="EP24" t="str">
            <v>288</v>
          </cell>
          <cell r="EQ24" t="str">
            <v>18/56</v>
          </cell>
          <cell r="ER24" t="str">
            <v>288</v>
          </cell>
          <cell r="ES24" t="str">
            <v>,76</v>
          </cell>
          <cell r="GK24" t="str">
            <v>BRAKE - 288VDC, ,17A, 50W, 100NM</v>
          </cell>
          <cell r="GL24" t="str">
            <v>BLOWER - 230VAC, ,61A, 140W, 2100RPM</v>
          </cell>
          <cell r="HD24" t="str">
            <v>Repair Shop</v>
          </cell>
          <cell r="HT24" t="b">
            <v>0</v>
          </cell>
          <cell r="HU24" t="str">
            <v>EDF RENEWABLES</v>
          </cell>
        </row>
        <row r="25">
          <cell r="A25">
            <v>5783</v>
          </cell>
          <cell r="B25" t="str">
            <v>VEM1676</v>
          </cell>
          <cell r="D25" t="str">
            <v>EDF RENEWABLES</v>
          </cell>
          <cell r="F25" t="str">
            <v>LUST</v>
          </cell>
          <cell r="G25" t="str">
            <v>FGVH 112LL-4-D-F-D-C</v>
          </cell>
          <cell r="H25" t="str">
            <v>000463833</v>
          </cell>
          <cell r="K25" t="str">
            <v>4,4/9,6</v>
          </cell>
          <cell r="L25" t="str">
            <v>1400/920</v>
          </cell>
          <cell r="N25" t="str">
            <v>80</v>
          </cell>
          <cell r="P25" t="str">
            <v>Forced Vent</v>
          </cell>
          <cell r="R25" t="str">
            <v>Continuous</v>
          </cell>
          <cell r="U25" t="str">
            <v>50</v>
          </cell>
          <cell r="W25" t="str">
            <v>50/60</v>
          </cell>
          <cell r="AA25" t="str">
            <v>Vertical</v>
          </cell>
          <cell r="AD25" t="str">
            <v>-1</v>
          </cell>
          <cell r="AG25" t="str">
            <v>KW</v>
          </cell>
          <cell r="AV25" t="b">
            <v>0</v>
          </cell>
          <cell r="EP25" t="str">
            <v>288</v>
          </cell>
          <cell r="EQ25" t="str">
            <v>18/56</v>
          </cell>
          <cell r="ER25" t="str">
            <v>288</v>
          </cell>
          <cell r="ES25" t="str">
            <v>,76</v>
          </cell>
          <cell r="GK25" t="str">
            <v>BRAKE - 288VDC, ,17A, 50W, 100NM</v>
          </cell>
          <cell r="GL25" t="str">
            <v>BLOWER - 230VAC, ,61A, 140W, 2100RPM</v>
          </cell>
          <cell r="HD25" t="str">
            <v>Repair Shop</v>
          </cell>
          <cell r="HT25" t="b">
            <v>0</v>
          </cell>
          <cell r="HU25" t="str">
            <v>EDF RENEWABLES</v>
          </cell>
        </row>
        <row r="26">
          <cell r="A26">
            <v>5782</v>
          </cell>
          <cell r="B26" t="str">
            <v>VEM1675</v>
          </cell>
          <cell r="D26" t="str">
            <v>VALLEJOSAN</v>
          </cell>
          <cell r="AG26" t="str">
            <v>HP</v>
          </cell>
          <cell r="AV26" t="b">
            <v>0</v>
          </cell>
          <cell r="HD26" t="str">
            <v>Repair Shop</v>
          </cell>
          <cell r="HT26" t="b">
            <v>0</v>
          </cell>
          <cell r="HU26" t="str">
            <v>VALLEJO FLOOD &amp; WASTEWATER DISTRICT</v>
          </cell>
        </row>
        <row r="27">
          <cell r="A27">
            <v>5781</v>
          </cell>
          <cell r="B27" t="str">
            <v>VEM1674</v>
          </cell>
          <cell r="D27" t="str">
            <v>SYAR</v>
          </cell>
          <cell r="AG27" t="str">
            <v>HP</v>
          </cell>
          <cell r="AV27" t="b">
            <v>0</v>
          </cell>
          <cell r="HD27" t="str">
            <v>Repair Shop</v>
          </cell>
          <cell r="HT27" t="b">
            <v>0</v>
          </cell>
          <cell r="HU27" t="str">
            <v>SYAR INDUSTRIES</v>
          </cell>
        </row>
        <row r="28">
          <cell r="A28">
            <v>5780</v>
          </cell>
          <cell r="B28" t="str">
            <v>VEM1673</v>
          </cell>
          <cell r="D28" t="str">
            <v>C&amp;H</v>
          </cell>
          <cell r="F28" t="str">
            <v>GE</v>
          </cell>
          <cell r="G28" t="str">
            <v>5K1445FH1</v>
          </cell>
          <cell r="H28" t="str">
            <v>TH6925459</v>
          </cell>
          <cell r="I28" t="str">
            <v>445</v>
          </cell>
          <cell r="K28" t="str">
            <v>50</v>
          </cell>
          <cell r="L28" t="str">
            <v>1175</v>
          </cell>
          <cell r="M28" t="str">
            <v>K</v>
          </cell>
          <cell r="P28" t="str">
            <v>TEFC</v>
          </cell>
          <cell r="R28" t="str">
            <v>Continuous</v>
          </cell>
          <cell r="U28" t="str">
            <v>55</v>
          </cell>
          <cell r="V28" t="str">
            <v>3</v>
          </cell>
          <cell r="W28" t="str">
            <v>60</v>
          </cell>
          <cell r="X28" t="str">
            <v>220/44</v>
          </cell>
          <cell r="Y28" t="str">
            <v>123/61.5</v>
          </cell>
          <cell r="AA28" t="str">
            <v>F2</v>
          </cell>
          <cell r="AG28" t="str">
            <v>HP</v>
          </cell>
          <cell r="AV28" t="b">
            <v>0</v>
          </cell>
          <cell r="HD28" t="str">
            <v>Repair Shop</v>
          </cell>
          <cell r="HT28" t="b">
            <v>0</v>
          </cell>
          <cell r="HU28" t="str">
            <v>C &amp; H SUGAR CO.</v>
          </cell>
        </row>
        <row r="29">
          <cell r="A29">
            <v>5779</v>
          </cell>
          <cell r="B29" t="str">
            <v>FE1050</v>
          </cell>
          <cell r="D29" t="str">
            <v>ARB</v>
          </cell>
          <cell r="AG29" t="str">
            <v>HP</v>
          </cell>
          <cell r="AV29" t="b">
            <v>0</v>
          </cell>
          <cell r="HD29" t="str">
            <v>Field Service</v>
          </cell>
          <cell r="HT29" t="b">
            <v>0</v>
          </cell>
          <cell r="HU29" t="str">
            <v>ARB, INC.</v>
          </cell>
        </row>
        <row r="30">
          <cell r="A30">
            <v>5778</v>
          </cell>
          <cell r="B30" t="str">
            <v>VEM1672</v>
          </cell>
          <cell r="D30" t="str">
            <v>VALLEJOWATER</v>
          </cell>
          <cell r="F30" t="str">
            <v>FLYGT</v>
          </cell>
          <cell r="H30" t="str">
            <v>3127.095-1470024</v>
          </cell>
          <cell r="K30" t="str">
            <v>10</v>
          </cell>
          <cell r="L30" t="str">
            <v>1720</v>
          </cell>
          <cell r="U30" t="str">
            <v>40</v>
          </cell>
          <cell r="V30" t="str">
            <v>3</v>
          </cell>
          <cell r="W30" t="str">
            <v>60</v>
          </cell>
          <cell r="X30" t="str">
            <v>460</v>
          </cell>
          <cell r="AG30" t="str">
            <v>HP</v>
          </cell>
          <cell r="AR30" t="str">
            <v>0.85</v>
          </cell>
          <cell r="AV30" t="b">
            <v>0</v>
          </cell>
          <cell r="HD30" t="str">
            <v>Repair Shop</v>
          </cell>
          <cell r="HT30" t="b">
            <v>0</v>
          </cell>
          <cell r="HU30" t="str">
            <v>CITY OF VALLEJO WATER TREATMENT</v>
          </cell>
        </row>
        <row r="31">
          <cell r="A31">
            <v>5777</v>
          </cell>
          <cell r="B31" t="str">
            <v>VEM1671</v>
          </cell>
          <cell r="D31" t="str">
            <v>SHELL</v>
          </cell>
          <cell r="F31" t="str">
            <v>Reliance</v>
          </cell>
          <cell r="I31" t="str">
            <v>HJ145TC</v>
          </cell>
          <cell r="K31" t="str">
            <v>2</v>
          </cell>
          <cell r="L31" t="str">
            <v>1725</v>
          </cell>
          <cell r="M31" t="str">
            <v>P</v>
          </cell>
          <cell r="R31" t="str">
            <v>Continuous</v>
          </cell>
          <cell r="U31" t="str">
            <v>40</v>
          </cell>
          <cell r="V31" t="str">
            <v>3</v>
          </cell>
          <cell r="W31" t="str">
            <v>60</v>
          </cell>
          <cell r="X31" t="str">
            <v>230/460</v>
          </cell>
          <cell r="Y31" t="str">
            <v>5.4/2.7</v>
          </cell>
          <cell r="AD31" t="str">
            <v>-1</v>
          </cell>
          <cell r="AG31" t="str">
            <v>HP</v>
          </cell>
          <cell r="AO31" t="str">
            <v>B</v>
          </cell>
          <cell r="AQ31" t="str">
            <v>F</v>
          </cell>
          <cell r="AS31" t="str">
            <v>1.15</v>
          </cell>
          <cell r="AV31" t="b">
            <v>0</v>
          </cell>
          <cell r="EX31" t="str">
            <v>X00X2844M-YS</v>
          </cell>
          <cell r="HD31" t="str">
            <v>Repair Shop</v>
          </cell>
          <cell r="HT31" t="b">
            <v>0</v>
          </cell>
          <cell r="HU31" t="str">
            <v>SHELL OIL / BREWSTER PROCUREMENT GP</v>
          </cell>
        </row>
        <row r="32">
          <cell r="A32">
            <v>5776</v>
          </cell>
          <cell r="B32" t="str">
            <v>VEM0260</v>
          </cell>
          <cell r="D32" t="str">
            <v>FAIRFIELDNORTH</v>
          </cell>
          <cell r="F32" t="str">
            <v>US Motors</v>
          </cell>
          <cell r="H32" t="str">
            <v>609615/T01R3640123R-2</v>
          </cell>
          <cell r="I32" t="str">
            <v>5808P</v>
          </cell>
          <cell r="K32" t="str">
            <v>400</v>
          </cell>
          <cell r="L32" t="str">
            <v>1200</v>
          </cell>
          <cell r="M32" t="str">
            <v>HV-4</v>
          </cell>
          <cell r="V32" t="str">
            <v>3</v>
          </cell>
          <cell r="W32" t="str">
            <v>60</v>
          </cell>
          <cell r="X32" t="str">
            <v>4160</v>
          </cell>
          <cell r="Y32" t="str">
            <v>51</v>
          </cell>
          <cell r="AA32" t="str">
            <v>Vertical</v>
          </cell>
          <cell r="AG32" t="str">
            <v>HP</v>
          </cell>
          <cell r="AI32" t="str">
            <v>6220</v>
          </cell>
          <cell r="AJ32" t="str">
            <v>7228X2</v>
          </cell>
          <cell r="AS32" t="str">
            <v>1.15</v>
          </cell>
          <cell r="AV32" t="b">
            <v>0</v>
          </cell>
          <cell r="AX32" t="str">
            <v>6</v>
          </cell>
          <cell r="HT32" t="b">
            <v>0</v>
          </cell>
          <cell r="HU32" t="str">
            <v>CITY OF FAIRFIELD NORTH BAY REGIONAL</v>
          </cell>
        </row>
        <row r="33">
          <cell r="A33">
            <v>5775</v>
          </cell>
          <cell r="B33" t="str">
            <v>VEM1670</v>
          </cell>
          <cell r="D33" t="str">
            <v>TESORO</v>
          </cell>
          <cell r="F33" t="str">
            <v>LAFERT</v>
          </cell>
          <cell r="AD33" t="str">
            <v>0</v>
          </cell>
          <cell r="AV33" t="b">
            <v>0</v>
          </cell>
          <cell r="HD33" t="str">
            <v>Repair Shop</v>
          </cell>
          <cell r="HT33" t="b">
            <v>0</v>
          </cell>
          <cell r="HU33" t="str">
            <v>TESORO REFINING &amp; MARKETING</v>
          </cell>
        </row>
        <row r="34">
          <cell r="A34">
            <v>5774</v>
          </cell>
          <cell r="B34" t="str">
            <v>VEM1669</v>
          </cell>
          <cell r="D34" t="str">
            <v>TESORO</v>
          </cell>
          <cell r="AD34" t="str">
            <v>0</v>
          </cell>
          <cell r="AG34" t="str">
            <v>HP</v>
          </cell>
          <cell r="AV34" t="b">
            <v>0</v>
          </cell>
          <cell r="HD34" t="str">
            <v>Repair Shop</v>
          </cell>
          <cell r="HT34" t="b">
            <v>0</v>
          </cell>
          <cell r="HU34" t="str">
            <v>TESORO REFINING &amp; MARKETING</v>
          </cell>
        </row>
        <row r="35">
          <cell r="A35">
            <v>5773</v>
          </cell>
          <cell r="B35" t="str">
            <v>VEM1668</v>
          </cell>
          <cell r="D35" t="str">
            <v>TESORO</v>
          </cell>
          <cell r="AD35" t="str">
            <v>0</v>
          </cell>
          <cell r="AG35" t="str">
            <v>HP</v>
          </cell>
          <cell r="AV35" t="b">
            <v>0</v>
          </cell>
          <cell r="HD35" t="str">
            <v>Repair Shop</v>
          </cell>
          <cell r="HT35" t="b">
            <v>0</v>
          </cell>
          <cell r="HU35" t="str">
            <v>TESORO REFINING &amp; MARKETING</v>
          </cell>
        </row>
        <row r="36">
          <cell r="A36">
            <v>5772</v>
          </cell>
          <cell r="B36" t="str">
            <v>VEM1667</v>
          </cell>
          <cell r="D36" t="str">
            <v>TESORO</v>
          </cell>
          <cell r="AD36" t="str">
            <v>0</v>
          </cell>
          <cell r="AG36" t="str">
            <v>HP</v>
          </cell>
          <cell r="AV36" t="b">
            <v>0</v>
          </cell>
          <cell r="HD36" t="str">
            <v>Repair Shop</v>
          </cell>
          <cell r="HT36" t="b">
            <v>0</v>
          </cell>
          <cell r="HU36" t="str">
            <v>TESORO REFINING &amp; MARKETING</v>
          </cell>
        </row>
        <row r="37">
          <cell r="A37">
            <v>5771</v>
          </cell>
          <cell r="B37" t="str">
            <v>VEM1666</v>
          </cell>
          <cell r="D37" t="str">
            <v>TESORO</v>
          </cell>
          <cell r="AD37" t="str">
            <v>-1</v>
          </cell>
          <cell r="AG37" t="str">
            <v>HP</v>
          </cell>
          <cell r="AV37" t="b">
            <v>0</v>
          </cell>
          <cell r="HD37" t="str">
            <v>Repair Shop</v>
          </cell>
          <cell r="HT37" t="b">
            <v>0</v>
          </cell>
          <cell r="HU37" t="str">
            <v>TESORO REFINING &amp; MARKETING</v>
          </cell>
        </row>
        <row r="38">
          <cell r="A38">
            <v>5770</v>
          </cell>
          <cell r="B38" t="str">
            <v>VEM1665</v>
          </cell>
          <cell r="D38" t="str">
            <v>TESORO</v>
          </cell>
          <cell r="AD38" t="str">
            <v>0</v>
          </cell>
          <cell r="AG38" t="str">
            <v>HP</v>
          </cell>
          <cell r="AV38" t="b">
            <v>0</v>
          </cell>
          <cell r="HD38" t="str">
            <v>Repair Shop</v>
          </cell>
          <cell r="HT38" t="b">
            <v>0</v>
          </cell>
          <cell r="HU38" t="str">
            <v>TESORO REFINING &amp; MARKETING</v>
          </cell>
        </row>
        <row r="39">
          <cell r="A39">
            <v>5769</v>
          </cell>
          <cell r="B39" t="str">
            <v>VEM1664</v>
          </cell>
          <cell r="D39" t="str">
            <v>VALERO</v>
          </cell>
          <cell r="F39" t="str">
            <v>Dayton</v>
          </cell>
          <cell r="G39" t="str">
            <v>9K967</v>
          </cell>
          <cell r="I39" t="str">
            <v>48Y</v>
          </cell>
          <cell r="K39" t="str">
            <v>1/6</v>
          </cell>
          <cell r="L39" t="str">
            <v>1625</v>
          </cell>
          <cell r="P39" t="str">
            <v>TEAO</v>
          </cell>
          <cell r="U39" t="str">
            <v>40</v>
          </cell>
          <cell r="V39" t="str">
            <v>1</v>
          </cell>
          <cell r="W39" t="str">
            <v>60</v>
          </cell>
          <cell r="X39" t="str">
            <v>115</v>
          </cell>
          <cell r="Y39" t="str">
            <v>2.5</v>
          </cell>
          <cell r="AG39" t="str">
            <v>HP</v>
          </cell>
          <cell r="AQ39" t="str">
            <v>B</v>
          </cell>
          <cell r="AV39" t="b">
            <v>0</v>
          </cell>
          <cell r="GK39" t="str">
            <v>MTR REF: K55HXJDM-9029</v>
          </cell>
          <cell r="HD39" t="str">
            <v>Repair Shop</v>
          </cell>
          <cell r="HT39" t="b">
            <v>0</v>
          </cell>
          <cell r="HU39" t="str">
            <v>VALERO REFINING CO. BENICIA</v>
          </cell>
        </row>
        <row r="40">
          <cell r="A40">
            <v>5768</v>
          </cell>
          <cell r="B40" t="str">
            <v>VEM1663</v>
          </cell>
          <cell r="D40" t="str">
            <v>CONHAGEN</v>
          </cell>
          <cell r="AG40" t="str">
            <v>HP</v>
          </cell>
          <cell r="AV40" t="b">
            <v>0</v>
          </cell>
          <cell r="HD40" t="str">
            <v>Repair Shop</v>
          </cell>
          <cell r="HT40" t="b">
            <v>0</v>
          </cell>
          <cell r="HU40" t="str">
            <v>ALFRED CONHAGEN CO. OF CA</v>
          </cell>
        </row>
        <row r="41">
          <cell r="A41">
            <v>5767</v>
          </cell>
          <cell r="B41" t="str">
            <v>VEM1662</v>
          </cell>
          <cell r="D41" t="str">
            <v>P66</v>
          </cell>
          <cell r="F41" t="str">
            <v>Emerson</v>
          </cell>
          <cell r="G41" t="str">
            <v>BJ35</v>
          </cell>
          <cell r="I41" t="str">
            <v>286T</v>
          </cell>
          <cell r="K41" t="str">
            <v>30</v>
          </cell>
          <cell r="L41" t="str">
            <v>1775</v>
          </cell>
          <cell r="M41" t="str">
            <v>CE</v>
          </cell>
          <cell r="N41" t="str">
            <v>410</v>
          </cell>
          <cell r="P41" t="str">
            <v>TEFC</v>
          </cell>
          <cell r="R41" t="str">
            <v>Continuous</v>
          </cell>
          <cell r="U41" t="str">
            <v>40</v>
          </cell>
          <cell r="V41" t="str">
            <v>3</v>
          </cell>
          <cell r="W41" t="str">
            <v>60</v>
          </cell>
          <cell r="X41" t="str">
            <v>460</v>
          </cell>
          <cell r="Y41" t="str">
            <v>35.00</v>
          </cell>
          <cell r="AA41" t="str">
            <v>F1</v>
          </cell>
          <cell r="AG41" t="str">
            <v>HP</v>
          </cell>
          <cell r="AI41" t="str">
            <v>50BC03J3</v>
          </cell>
          <cell r="AJ41" t="str">
            <v>50BC03J3</v>
          </cell>
          <cell r="AO41" t="str">
            <v>B</v>
          </cell>
          <cell r="AP41" t="str">
            <v>G</v>
          </cell>
          <cell r="AQ41" t="str">
            <v>F</v>
          </cell>
          <cell r="AR41" t="str">
            <v>85.3</v>
          </cell>
          <cell r="AS41" t="str">
            <v>1.15</v>
          </cell>
          <cell r="AT41" t="str">
            <v>94.1</v>
          </cell>
          <cell r="AV41" t="b">
            <v>0</v>
          </cell>
          <cell r="EW41" t="str">
            <v>8P30P2C</v>
          </cell>
          <cell r="EX41" t="str">
            <v>R 03 7412371-0014 M 0001</v>
          </cell>
          <cell r="HD41" t="str">
            <v>Repair Shop</v>
          </cell>
          <cell r="HT41" t="b">
            <v>0</v>
          </cell>
          <cell r="HU41" t="str">
            <v>PHILLIPS 66</v>
          </cell>
        </row>
        <row r="42">
          <cell r="A42">
            <v>5766</v>
          </cell>
          <cell r="B42" t="str">
            <v>VEM0212</v>
          </cell>
          <cell r="D42" t="str">
            <v>FAIRFIELDNORTH</v>
          </cell>
          <cell r="F42" t="str">
            <v>US Motors</v>
          </cell>
          <cell r="H42" t="str">
            <v>609615/T01R3640123R-2</v>
          </cell>
          <cell r="I42" t="str">
            <v>5808P</v>
          </cell>
          <cell r="K42" t="str">
            <v>400</v>
          </cell>
          <cell r="L42" t="str">
            <v>1200</v>
          </cell>
          <cell r="M42" t="str">
            <v>HV-4</v>
          </cell>
          <cell r="V42" t="str">
            <v>3</v>
          </cell>
          <cell r="W42" t="str">
            <v>60</v>
          </cell>
          <cell r="X42" t="str">
            <v>4160</v>
          </cell>
          <cell r="Y42" t="str">
            <v>51</v>
          </cell>
          <cell r="AA42" t="str">
            <v>Vertical</v>
          </cell>
          <cell r="AG42" t="str">
            <v>HP</v>
          </cell>
          <cell r="AI42" t="str">
            <v>6220</v>
          </cell>
          <cell r="AJ42" t="str">
            <v>7228X2</v>
          </cell>
          <cell r="AS42" t="str">
            <v>1.15</v>
          </cell>
          <cell r="AV42" t="b">
            <v>0</v>
          </cell>
          <cell r="AX42" t="str">
            <v>6</v>
          </cell>
          <cell r="HT42" t="b">
            <v>0</v>
          </cell>
          <cell r="HU42" t="str">
            <v>CITY OF FAIRFIELD NORTH BAY REGIONAL</v>
          </cell>
        </row>
        <row r="43">
          <cell r="A43">
            <v>5765</v>
          </cell>
          <cell r="B43" t="str">
            <v>VEM1661</v>
          </cell>
          <cell r="D43" t="str">
            <v>FAIRFIELDNORTH</v>
          </cell>
          <cell r="F43" t="str">
            <v>US Motors</v>
          </cell>
          <cell r="H43" t="str">
            <v>609615/T01R3640123R-2</v>
          </cell>
          <cell r="I43" t="str">
            <v>5808P</v>
          </cell>
          <cell r="K43" t="str">
            <v>400</v>
          </cell>
          <cell r="L43" t="str">
            <v>1200</v>
          </cell>
          <cell r="M43" t="str">
            <v>HV-4</v>
          </cell>
          <cell r="V43" t="str">
            <v>3</v>
          </cell>
          <cell r="W43" t="str">
            <v>60</v>
          </cell>
          <cell r="X43" t="str">
            <v>4160</v>
          </cell>
          <cell r="Y43" t="str">
            <v>51</v>
          </cell>
          <cell r="AA43" t="str">
            <v>Vertical</v>
          </cell>
          <cell r="AG43" t="str">
            <v>HP</v>
          </cell>
          <cell r="AI43" t="str">
            <v>6220</v>
          </cell>
          <cell r="AJ43" t="str">
            <v>7228X2</v>
          </cell>
          <cell r="AS43" t="str">
            <v>1.15</v>
          </cell>
          <cell r="AV43" t="b">
            <v>0</v>
          </cell>
          <cell r="AX43" t="str">
            <v>6</v>
          </cell>
          <cell r="HD43" t="str">
            <v>Repair Shop</v>
          </cell>
          <cell r="HT43" t="b">
            <v>0</v>
          </cell>
          <cell r="HU43" t="str">
            <v>CITY OF FAIRFIELD NORTH BAY REGIONAL</v>
          </cell>
        </row>
        <row r="44">
          <cell r="A44">
            <v>5764</v>
          </cell>
          <cell r="B44" t="str">
            <v>VEM1660</v>
          </cell>
          <cell r="D44" t="str">
            <v>G2 ENERGY</v>
          </cell>
          <cell r="AG44" t="str">
            <v>HP</v>
          </cell>
          <cell r="AV44" t="b">
            <v>0</v>
          </cell>
          <cell r="FB44" t="str">
            <v>1600</v>
          </cell>
          <cell r="FD44" t="str">
            <v>4160</v>
          </cell>
          <cell r="FE44" t="str">
            <v>3</v>
          </cell>
          <cell r="FF44" t="str">
            <v>60</v>
          </cell>
          <cell r="GV44" t="str">
            <v>278</v>
          </cell>
          <cell r="HD44" t="str">
            <v>Repair Shop</v>
          </cell>
          <cell r="HT44" t="b">
            <v>0</v>
          </cell>
          <cell r="HU44" t="str">
            <v>G2ENERGY</v>
          </cell>
        </row>
        <row r="45">
          <cell r="A45">
            <v>5763</v>
          </cell>
          <cell r="B45" t="str">
            <v>VEM1659</v>
          </cell>
          <cell r="D45" t="str">
            <v>UNICO</v>
          </cell>
          <cell r="F45" t="str">
            <v>Reliance</v>
          </cell>
          <cell r="I45" t="str">
            <v>405TS</v>
          </cell>
          <cell r="K45" t="str">
            <v>75</v>
          </cell>
          <cell r="L45" t="str">
            <v>1180</v>
          </cell>
          <cell r="M45" t="str">
            <v>P</v>
          </cell>
          <cell r="P45" t="str">
            <v>ODP</v>
          </cell>
          <cell r="R45" t="str">
            <v>Continuous</v>
          </cell>
          <cell r="U45" t="str">
            <v>40</v>
          </cell>
          <cell r="V45" t="str">
            <v>3</v>
          </cell>
          <cell r="W45" t="str">
            <v>60</v>
          </cell>
          <cell r="X45" t="str">
            <v>230/460</v>
          </cell>
          <cell r="Y45" t="str">
            <v>184/92</v>
          </cell>
          <cell r="AA45" t="str">
            <v>F1</v>
          </cell>
          <cell r="AG45" t="str">
            <v>HP</v>
          </cell>
          <cell r="AI45" t="str">
            <v>60BC02XPP3M</v>
          </cell>
          <cell r="AJ45" t="str">
            <v>60BC02XPP3M</v>
          </cell>
          <cell r="AO45" t="str">
            <v>B</v>
          </cell>
          <cell r="AP45" t="str">
            <v>F</v>
          </cell>
          <cell r="AQ45" t="str">
            <v>F</v>
          </cell>
          <cell r="AS45" t="str">
            <v>1. ?</v>
          </cell>
          <cell r="AV45" t="b">
            <v>0</v>
          </cell>
          <cell r="EX45" t="str">
            <v>1MA452464-G2-MW</v>
          </cell>
          <cell r="HD45" t="str">
            <v>Repair Shop</v>
          </cell>
          <cell r="HT45" t="b">
            <v>0</v>
          </cell>
          <cell r="HU45" t="str">
            <v>UNICO MECHANICAL CORP.</v>
          </cell>
        </row>
        <row r="46">
          <cell r="A46">
            <v>5762</v>
          </cell>
          <cell r="B46" t="str">
            <v>VEM1658</v>
          </cell>
          <cell r="D46" t="str">
            <v>CONHAGEN</v>
          </cell>
          <cell r="F46" t="str">
            <v>Reliance</v>
          </cell>
          <cell r="G46" t="str">
            <v>P2161154B</v>
          </cell>
          <cell r="I46" t="str">
            <v>00213TC</v>
          </cell>
          <cell r="K46" t="str">
            <v>7.5</v>
          </cell>
          <cell r="L46" t="str">
            <v>3520</v>
          </cell>
          <cell r="M46" t="str">
            <v>P</v>
          </cell>
          <cell r="N46" t="str">
            <v>188</v>
          </cell>
          <cell r="P46" t="str">
            <v>TEFC</v>
          </cell>
          <cell r="R46" t="str">
            <v>Continuous</v>
          </cell>
          <cell r="U46" t="str">
            <v>40</v>
          </cell>
          <cell r="V46" t="str">
            <v>3</v>
          </cell>
          <cell r="W46" t="str">
            <v>60</v>
          </cell>
          <cell r="X46" t="str">
            <v>460</v>
          </cell>
          <cell r="Y46" t="str">
            <v>8.60</v>
          </cell>
          <cell r="AA46" t="str">
            <v>Vertical</v>
          </cell>
          <cell r="AG46" t="str">
            <v>HP</v>
          </cell>
          <cell r="AI46" t="str">
            <v>6207</v>
          </cell>
          <cell r="AJ46" t="str">
            <v>6206</v>
          </cell>
          <cell r="AO46" t="str">
            <v>B</v>
          </cell>
          <cell r="AP46" t="str">
            <v>H</v>
          </cell>
          <cell r="AQ46" t="str">
            <v>F</v>
          </cell>
          <cell r="AR46" t="str">
            <v>90.1</v>
          </cell>
          <cell r="AS46" t="str">
            <v>1.15</v>
          </cell>
          <cell r="AT46" t="str">
            <v>90.2</v>
          </cell>
          <cell r="AV46" t="b">
            <v>0</v>
          </cell>
          <cell r="EX46" t="str">
            <v>P2161154-10 E KJ</v>
          </cell>
          <cell r="HD46" t="str">
            <v>Repair Shop</v>
          </cell>
          <cell r="HT46" t="b">
            <v>0</v>
          </cell>
          <cell r="HU46" t="str">
            <v>ALFRED CONHAGEN CO. OF CA</v>
          </cell>
        </row>
        <row r="47">
          <cell r="A47">
            <v>5761</v>
          </cell>
          <cell r="B47" t="str">
            <v>VEM1657</v>
          </cell>
          <cell r="D47" t="str">
            <v>INTEGRATED</v>
          </cell>
          <cell r="F47" t="str">
            <v>RELAINCE</v>
          </cell>
          <cell r="I47" t="str">
            <v>286LP</v>
          </cell>
          <cell r="K47" t="str">
            <v>30</v>
          </cell>
          <cell r="L47" t="str">
            <v>1765</v>
          </cell>
          <cell r="M47" t="str">
            <v>P</v>
          </cell>
          <cell r="N47" t="str">
            <v>498</v>
          </cell>
          <cell r="P47" t="str">
            <v>TEFC</v>
          </cell>
          <cell r="R47" t="str">
            <v>Continuous</v>
          </cell>
          <cell r="U47" t="str">
            <v>40</v>
          </cell>
          <cell r="V47" t="str">
            <v>3</v>
          </cell>
          <cell r="W47" t="str">
            <v>60</v>
          </cell>
          <cell r="X47" t="str">
            <v>230/460</v>
          </cell>
          <cell r="Y47" t="str">
            <v>72.2/36.1</v>
          </cell>
          <cell r="AA47" t="str">
            <v>Vertical</v>
          </cell>
          <cell r="AG47" t="str">
            <v>HP</v>
          </cell>
          <cell r="AI47" t="str">
            <v>60BC02JP30X</v>
          </cell>
          <cell r="AJ47" t="str">
            <v>45BT03JR00X</v>
          </cell>
          <cell r="AO47" t="str">
            <v>B</v>
          </cell>
          <cell r="AP47" t="str">
            <v>G</v>
          </cell>
          <cell r="AQ47" t="str">
            <v>F</v>
          </cell>
          <cell r="AR47" t="str">
            <v>83.1</v>
          </cell>
          <cell r="AS47" t="str">
            <v>1.15</v>
          </cell>
          <cell r="AT47" t="str">
            <v>93.6</v>
          </cell>
          <cell r="AV47" t="b">
            <v>0</v>
          </cell>
          <cell r="EX47" t="str">
            <v>06MAN98338</v>
          </cell>
          <cell r="HD47" t="str">
            <v>Repair Shop</v>
          </cell>
          <cell r="HT47" t="b">
            <v>0</v>
          </cell>
          <cell r="HU47" t="str">
            <v>INTEGRATED TURBO MACHINERY, INC.</v>
          </cell>
        </row>
        <row r="48">
          <cell r="A48">
            <v>5760</v>
          </cell>
          <cell r="B48" t="str">
            <v>VEM1656</v>
          </cell>
          <cell r="D48" t="str">
            <v>TESORO</v>
          </cell>
          <cell r="F48" t="str">
            <v>Siemens</v>
          </cell>
          <cell r="H48" t="str">
            <v>3003533802-10</v>
          </cell>
          <cell r="I48" t="str">
            <v>509Z</v>
          </cell>
          <cell r="K48" t="str">
            <v>350</v>
          </cell>
          <cell r="L48" t="str">
            <v>1785</v>
          </cell>
          <cell r="M48" t="str">
            <v>NCZ</v>
          </cell>
          <cell r="P48" t="str">
            <v>TEFC</v>
          </cell>
          <cell r="R48" t="str">
            <v>Continuous</v>
          </cell>
          <cell r="U48" t="str">
            <v>40</v>
          </cell>
          <cell r="V48" t="str">
            <v>3</v>
          </cell>
          <cell r="W48" t="str">
            <v>60</v>
          </cell>
          <cell r="X48" t="str">
            <v>2300/4000</v>
          </cell>
          <cell r="Y48" t="str">
            <v>85.2/49.2</v>
          </cell>
          <cell r="AA48" t="str">
            <v>F1</v>
          </cell>
          <cell r="AG48" t="str">
            <v>HP</v>
          </cell>
          <cell r="AI48" t="str">
            <v>52-354-034-501</v>
          </cell>
          <cell r="AJ48" t="str">
            <v>52-354-035-501</v>
          </cell>
          <cell r="AO48" t="str">
            <v>B</v>
          </cell>
          <cell r="AP48" t="str">
            <v>F</v>
          </cell>
          <cell r="AQ48" t="str">
            <v>F-VP1</v>
          </cell>
          <cell r="AS48" t="str">
            <v>1.00</v>
          </cell>
          <cell r="AV48" t="b">
            <v>0</v>
          </cell>
          <cell r="HD48" t="str">
            <v>Repair Shop</v>
          </cell>
          <cell r="HT48" t="b">
            <v>0</v>
          </cell>
          <cell r="HU48" t="str">
            <v>TESORO REFINING &amp; MARKETING</v>
          </cell>
        </row>
        <row r="49">
          <cell r="A49">
            <v>5759</v>
          </cell>
          <cell r="B49" t="str">
            <v>VEM1655</v>
          </cell>
          <cell r="D49" t="str">
            <v>BARRY</v>
          </cell>
          <cell r="F49" t="str">
            <v>SPECK PUMPEN</v>
          </cell>
          <cell r="G49" t="str">
            <v>T-401/110.0058</v>
          </cell>
          <cell r="K49" t="str">
            <v>0.5</v>
          </cell>
          <cell r="L49" t="str">
            <v>3400min-1</v>
          </cell>
          <cell r="W49" t="str">
            <v>60</v>
          </cell>
          <cell r="X49" t="str">
            <v>460-480</v>
          </cell>
          <cell r="Y49" t="str">
            <v>1.4</v>
          </cell>
          <cell r="AG49" t="str">
            <v>KW</v>
          </cell>
          <cell r="AV49" t="b">
            <v>0</v>
          </cell>
          <cell r="GK49" t="str">
            <v>AUFTR-NR: 201366</v>
          </cell>
          <cell r="GL49" t="str">
            <v>PNR: 1000386189</v>
          </cell>
          <cell r="HD49" t="str">
            <v>Repair Shop</v>
          </cell>
          <cell r="HT49" t="b">
            <v>0</v>
          </cell>
          <cell r="HU49" t="str">
            <v>BARRY CALLEBAUT</v>
          </cell>
        </row>
        <row r="50">
          <cell r="A50">
            <v>5758</v>
          </cell>
          <cell r="B50" t="str">
            <v>VEM1654</v>
          </cell>
          <cell r="D50" t="str">
            <v>NATIONALBLENDIN</v>
          </cell>
          <cell r="F50" t="str">
            <v>IRONMAN</v>
          </cell>
          <cell r="G50" t="str">
            <v>GR-HM---H1--</v>
          </cell>
          <cell r="AD50" t="str">
            <v>0</v>
          </cell>
          <cell r="AV50" t="b">
            <v>0</v>
          </cell>
          <cell r="BY50" t="str">
            <v>15</v>
          </cell>
          <cell r="BZ50" t="str">
            <v>1750</v>
          </cell>
          <cell r="CB50" t="str">
            <v>8941</v>
          </cell>
          <cell r="CF50" t="str">
            <v>18.11</v>
          </cell>
          <cell r="EW50" t="str">
            <v>GR8520564.55</v>
          </cell>
          <cell r="HD50" t="str">
            <v>Repair Shop</v>
          </cell>
          <cell r="HE50" t="str">
            <v>CAT# GR8520564.55</v>
          </cell>
          <cell r="HT50" t="b">
            <v>0</v>
          </cell>
          <cell r="HU50" t="str">
            <v>NATIONAL BLENDING COMPANY</v>
          </cell>
        </row>
        <row r="51">
          <cell r="A51">
            <v>5757</v>
          </cell>
          <cell r="B51" t="str">
            <v>VEM1653</v>
          </cell>
          <cell r="D51" t="str">
            <v>STOCKTONMUNI</v>
          </cell>
          <cell r="F51" t="str">
            <v>Marathon</v>
          </cell>
          <cell r="G51" t="str">
            <v>VM 284TTDR8081AN W</v>
          </cell>
          <cell r="I51" t="str">
            <v>284TCVZ</v>
          </cell>
          <cell r="K51" t="str">
            <v>15</v>
          </cell>
          <cell r="L51" t="str">
            <v>1170</v>
          </cell>
          <cell r="M51" t="str">
            <v>TDR</v>
          </cell>
          <cell r="P51" t="str">
            <v>DP</v>
          </cell>
          <cell r="R51" t="str">
            <v>Continuous</v>
          </cell>
          <cell r="U51" t="str">
            <v>40</v>
          </cell>
          <cell r="V51" t="str">
            <v>3</v>
          </cell>
          <cell r="W51" t="str">
            <v>60</v>
          </cell>
          <cell r="X51" t="str">
            <v>230/460</v>
          </cell>
          <cell r="Y51" t="str">
            <v>13.3/16.5</v>
          </cell>
          <cell r="AA51" t="str">
            <v>Vertical</v>
          </cell>
          <cell r="AG51" t="str">
            <v>HP</v>
          </cell>
          <cell r="AI51" t="str">
            <v>312</v>
          </cell>
          <cell r="AJ51" t="str">
            <v>210</v>
          </cell>
          <cell r="AO51" t="str">
            <v>B</v>
          </cell>
          <cell r="AP51" t="str">
            <v>F</v>
          </cell>
          <cell r="AQ51" t="str">
            <v>F</v>
          </cell>
          <cell r="AR51" t="str">
            <v>80.0</v>
          </cell>
          <cell r="AS51" t="str">
            <v>1.15</v>
          </cell>
          <cell r="AT51" t="str">
            <v>87.5</v>
          </cell>
          <cell r="AV51" t="b">
            <v>0</v>
          </cell>
          <cell r="GK51" t="str">
            <v>P/N 0040091716</v>
          </cell>
          <cell r="HD51" t="str">
            <v>Repair Shop</v>
          </cell>
          <cell r="HT51" t="b">
            <v>0</v>
          </cell>
          <cell r="HU51" t="str">
            <v>CITY OF STOCKTON MUNICIPAL UTILITIES</v>
          </cell>
        </row>
        <row r="52">
          <cell r="A52">
            <v>5756</v>
          </cell>
          <cell r="B52" t="str">
            <v>VEM1652</v>
          </cell>
          <cell r="D52" t="str">
            <v>RECOLOGY</v>
          </cell>
          <cell r="F52" t="str">
            <v>SEW-EURODRIVE</v>
          </cell>
          <cell r="H52" t="str">
            <v>SO:860081999.13.13.001</v>
          </cell>
          <cell r="K52" t="str">
            <v>5.00</v>
          </cell>
          <cell r="L52" t="str">
            <v>1750/209</v>
          </cell>
          <cell r="M52" t="str">
            <v>KA67/TDRE100LC4/DH</v>
          </cell>
          <cell r="P52" t="str">
            <v>TEFC</v>
          </cell>
          <cell r="R52" t="str">
            <v>Continuous</v>
          </cell>
          <cell r="U52" t="str">
            <v>40</v>
          </cell>
          <cell r="W52" t="str">
            <v>60</v>
          </cell>
          <cell r="X52" t="str">
            <v>230/460</v>
          </cell>
          <cell r="Y52" t="str">
            <v>12.9/6.5</v>
          </cell>
          <cell r="AA52" t="str">
            <v>F1</v>
          </cell>
          <cell r="AG52" t="str">
            <v>HP</v>
          </cell>
          <cell r="AQ52" t="str">
            <v>F</v>
          </cell>
          <cell r="AS52" t="str">
            <v>1.15</v>
          </cell>
          <cell r="AT52" t="str">
            <v>87.5</v>
          </cell>
          <cell r="AV52" t="b">
            <v>0</v>
          </cell>
          <cell r="HD52" t="str">
            <v>Repair Shop</v>
          </cell>
          <cell r="HT52" t="b">
            <v>0</v>
          </cell>
          <cell r="HU52" t="str">
            <v>RECOLOGY VALLEJO</v>
          </cell>
        </row>
        <row r="53">
          <cell r="A53">
            <v>5754</v>
          </cell>
          <cell r="B53" t="str">
            <v>VEM1650</v>
          </cell>
          <cell r="D53" t="str">
            <v>SHELL</v>
          </cell>
          <cell r="F53" t="str">
            <v>Reliance</v>
          </cell>
          <cell r="I53" t="str">
            <v>21GLPZ</v>
          </cell>
          <cell r="K53" t="str">
            <v>7.5</v>
          </cell>
          <cell r="L53" t="str">
            <v>352</v>
          </cell>
          <cell r="M53" t="str">
            <v>P</v>
          </cell>
          <cell r="P53" t="str">
            <v>TEFC</v>
          </cell>
          <cell r="R53" t="str">
            <v>Continuous</v>
          </cell>
          <cell r="U53" t="str">
            <v>40</v>
          </cell>
          <cell r="V53" t="str">
            <v>3</v>
          </cell>
          <cell r="W53" t="str">
            <v>60</v>
          </cell>
          <cell r="X53" t="str">
            <v>460</v>
          </cell>
          <cell r="Y53" t="str">
            <v>8.8</v>
          </cell>
          <cell r="AA53" t="str">
            <v>Vertical</v>
          </cell>
          <cell r="AD53" t="str">
            <v>0</v>
          </cell>
          <cell r="AG53" t="str">
            <v>HP</v>
          </cell>
          <cell r="AI53" t="str">
            <v>55BC02J30X26</v>
          </cell>
          <cell r="AJ53" t="str">
            <v>30BT03YR00X28</v>
          </cell>
          <cell r="AO53" t="str">
            <v>B</v>
          </cell>
          <cell r="AP53" t="str">
            <v>H</v>
          </cell>
          <cell r="AQ53" t="str">
            <v>F</v>
          </cell>
          <cell r="AS53" t="str">
            <v>1.15</v>
          </cell>
          <cell r="AV53" t="b">
            <v>0</v>
          </cell>
          <cell r="EX53" t="str">
            <v>1YWB52676A1 RQ</v>
          </cell>
          <cell r="HD53" t="str">
            <v>Repair Shop</v>
          </cell>
          <cell r="HT53" t="b">
            <v>0</v>
          </cell>
          <cell r="HU53" t="str">
            <v>SHELL OIL / BREWSTER PROCUREMENT GP</v>
          </cell>
        </row>
        <row r="54">
          <cell r="A54">
            <v>5753</v>
          </cell>
          <cell r="B54" t="str">
            <v>VEM1649</v>
          </cell>
          <cell r="D54" t="str">
            <v>TESORO</v>
          </cell>
          <cell r="F54" t="str">
            <v>Toshiba</v>
          </cell>
          <cell r="G54" t="str">
            <v>A1503FLG3JFR</v>
          </cell>
          <cell r="H54" t="str">
            <v>020802629</v>
          </cell>
          <cell r="I54" t="str">
            <v>5010USS</v>
          </cell>
          <cell r="K54" t="str">
            <v>150</v>
          </cell>
          <cell r="L54" t="str">
            <v>3590</v>
          </cell>
          <cell r="M54" t="str">
            <v>TIKK</v>
          </cell>
          <cell r="P54" t="str">
            <v>TEFC</v>
          </cell>
          <cell r="R54" t="str">
            <v>Continuous</v>
          </cell>
          <cell r="U54" t="str">
            <v>40</v>
          </cell>
          <cell r="V54" t="str">
            <v>3</v>
          </cell>
          <cell r="W54" t="str">
            <v>60</v>
          </cell>
          <cell r="X54" t="str">
            <v>2300/4160</v>
          </cell>
          <cell r="Y54" t="str">
            <v>35/19</v>
          </cell>
          <cell r="AA54" t="str">
            <v>F1</v>
          </cell>
          <cell r="AG54" t="str">
            <v>HP</v>
          </cell>
          <cell r="AI54" t="str">
            <v>6313C3</v>
          </cell>
          <cell r="AJ54" t="str">
            <v>6313C3</v>
          </cell>
          <cell r="AO54" t="str">
            <v>A</v>
          </cell>
          <cell r="AP54" t="str">
            <v>L/M</v>
          </cell>
          <cell r="AQ54" t="str">
            <v>F</v>
          </cell>
          <cell r="AS54" t="str">
            <v>1.15</v>
          </cell>
          <cell r="AV54" t="b">
            <v>0</v>
          </cell>
          <cell r="AX54" t="str">
            <v>2</v>
          </cell>
          <cell r="HD54" t="str">
            <v>Repair Shop</v>
          </cell>
          <cell r="HT54" t="b">
            <v>0</v>
          </cell>
          <cell r="HU54" t="str">
            <v>TESORO REFINING &amp; MARKETING</v>
          </cell>
        </row>
        <row r="55">
          <cell r="A55">
            <v>5752</v>
          </cell>
          <cell r="B55" t="str">
            <v>VEM1648</v>
          </cell>
          <cell r="D55" t="str">
            <v>CONHAGEN</v>
          </cell>
          <cell r="AG55" t="str">
            <v>HP</v>
          </cell>
          <cell r="AV55" t="b">
            <v>0</v>
          </cell>
          <cell r="HD55" t="str">
            <v>Repair Shop</v>
          </cell>
          <cell r="HT55" t="b">
            <v>0</v>
          </cell>
          <cell r="HU55" t="str">
            <v>ALFRED CONHAGEN CO. OF CA</v>
          </cell>
        </row>
        <row r="56">
          <cell r="A56">
            <v>5749</v>
          </cell>
          <cell r="B56" t="str">
            <v>VEM1646</v>
          </cell>
          <cell r="D56" t="str">
            <v>VALERO</v>
          </cell>
          <cell r="F56" t="str">
            <v>ALLIS CHALMERS</v>
          </cell>
          <cell r="G56" t="str">
            <v>125</v>
          </cell>
          <cell r="H56" t="str">
            <v>41-352-374</v>
          </cell>
          <cell r="I56" t="str">
            <v>405T</v>
          </cell>
          <cell r="K56" t="str">
            <v>100</v>
          </cell>
          <cell r="L56" t="str">
            <v>1800</v>
          </cell>
          <cell r="P56" t="str">
            <v>TEFC</v>
          </cell>
          <cell r="W56" t="str">
            <v>60</v>
          </cell>
          <cell r="X56" t="str">
            <v>460</v>
          </cell>
          <cell r="Y56" t="str">
            <v>113.5</v>
          </cell>
          <cell r="AG56" t="str">
            <v>HP</v>
          </cell>
          <cell r="AV56" t="b">
            <v>0</v>
          </cell>
          <cell r="AX56" t="str">
            <v>4</v>
          </cell>
          <cell r="HD56" t="str">
            <v>Repair Shop</v>
          </cell>
          <cell r="HT56" t="b">
            <v>0</v>
          </cell>
          <cell r="HU56" t="str">
            <v>VALERO REFINING CO. BENICIA</v>
          </cell>
        </row>
        <row r="57">
          <cell r="A57">
            <v>5748</v>
          </cell>
          <cell r="B57" t="str">
            <v>VEM1645</v>
          </cell>
          <cell r="D57" t="str">
            <v>P66CARBON</v>
          </cell>
          <cell r="F57" t="str">
            <v>Baldor</v>
          </cell>
          <cell r="H57" t="str">
            <v>C1101190483</v>
          </cell>
          <cell r="I57" t="str">
            <v>324TCZ</v>
          </cell>
          <cell r="K57" t="str">
            <v>40</v>
          </cell>
          <cell r="L57" t="str">
            <v>1775</v>
          </cell>
          <cell r="P57" t="str">
            <v>TEFC</v>
          </cell>
          <cell r="R57" t="str">
            <v>Continuous</v>
          </cell>
          <cell r="U57" t="str">
            <v>40</v>
          </cell>
          <cell r="V57" t="str">
            <v>3</v>
          </cell>
          <cell r="W57" t="str">
            <v>60</v>
          </cell>
          <cell r="X57" t="str">
            <v>230/460</v>
          </cell>
          <cell r="Y57" t="str">
            <v>96/48</v>
          </cell>
          <cell r="AA57" t="str">
            <v>F1</v>
          </cell>
          <cell r="AG57" t="str">
            <v>HP</v>
          </cell>
          <cell r="AI57" t="str">
            <v>6312</v>
          </cell>
          <cell r="AJ57" t="str">
            <v>6311</v>
          </cell>
          <cell r="AQ57" t="str">
            <v>F</v>
          </cell>
          <cell r="AR57" t="str">
            <v>82</v>
          </cell>
          <cell r="AS57" t="str">
            <v>1.15</v>
          </cell>
          <cell r="AT57" t="str">
            <v>94.1</v>
          </cell>
          <cell r="AU57" t="str">
            <v>12H013Y276</v>
          </cell>
          <cell r="AV57" t="b">
            <v>0</v>
          </cell>
          <cell r="AY57" t="str">
            <v>VAUGHAN</v>
          </cell>
          <cell r="AZ57" t="str">
            <v>V6U</v>
          </cell>
          <cell r="BA57" t="str">
            <v>32798-1192</v>
          </cell>
          <cell r="BB57" t="str">
            <v>9.75</v>
          </cell>
          <cell r="BC57" t="str">
            <v>55</v>
          </cell>
          <cell r="BE57" t="str">
            <v>1300</v>
          </cell>
          <cell r="HD57" t="str">
            <v>Repair Shop</v>
          </cell>
          <cell r="HT57" t="b">
            <v>0</v>
          </cell>
          <cell r="HU57" t="str">
            <v>PHILLIPS 66 CARBON PLANT</v>
          </cell>
        </row>
        <row r="58">
          <cell r="A58">
            <v>5747</v>
          </cell>
          <cell r="B58" t="str">
            <v>VEM1644</v>
          </cell>
          <cell r="D58" t="str">
            <v>R.F. MACDONALD</v>
          </cell>
          <cell r="F58" t="str">
            <v>Reliance</v>
          </cell>
          <cell r="I58" t="str">
            <v>X 365LP</v>
          </cell>
          <cell r="K58" t="str">
            <v>75</v>
          </cell>
          <cell r="L58" t="str">
            <v>1780</v>
          </cell>
          <cell r="M58" t="str">
            <v>P</v>
          </cell>
          <cell r="N58" t="str">
            <v>1066</v>
          </cell>
          <cell r="P58" t="str">
            <v>TEFC</v>
          </cell>
          <cell r="R58" t="str">
            <v>Continuous</v>
          </cell>
          <cell r="U58" t="str">
            <v>40</v>
          </cell>
          <cell r="V58" t="str">
            <v>3</v>
          </cell>
          <cell r="W58" t="str">
            <v>60</v>
          </cell>
          <cell r="X58" t="str">
            <v>460</v>
          </cell>
          <cell r="Y58" t="str">
            <v>87.0</v>
          </cell>
          <cell r="AA58" t="str">
            <v>Vertical</v>
          </cell>
          <cell r="AG58" t="str">
            <v>HP</v>
          </cell>
          <cell r="AI58" t="str">
            <v>60BC03JP30X</v>
          </cell>
          <cell r="AJ58" t="str">
            <v>50BT03JRR00X</v>
          </cell>
          <cell r="AO58" t="str">
            <v>B</v>
          </cell>
          <cell r="AP58" t="str">
            <v>G</v>
          </cell>
          <cell r="AQ58" t="str">
            <v>F</v>
          </cell>
          <cell r="AR58" t="str">
            <v>85.5</v>
          </cell>
          <cell r="AS58" t="str">
            <v>1.15</v>
          </cell>
          <cell r="AT58" t="str">
            <v>94.1</v>
          </cell>
          <cell r="AV58" t="b">
            <v>0</v>
          </cell>
          <cell r="EX58" t="str">
            <v>6352691   G001 DF</v>
          </cell>
          <cell r="HD58" t="str">
            <v>Repair Shop</v>
          </cell>
          <cell r="HT58" t="b">
            <v>0</v>
          </cell>
          <cell r="HU58" t="str">
            <v>R.F. MACDONALD CO</v>
          </cell>
        </row>
        <row r="59">
          <cell r="A59">
            <v>5746</v>
          </cell>
          <cell r="B59" t="str">
            <v>VEM1643</v>
          </cell>
          <cell r="D59" t="str">
            <v>BENICAFAB</v>
          </cell>
          <cell r="F59" t="str">
            <v>Westinghouse</v>
          </cell>
          <cell r="H59" t="str">
            <v>12-13N3397</v>
          </cell>
          <cell r="I59" t="str">
            <v>404</v>
          </cell>
          <cell r="K59" t="str">
            <v>30</v>
          </cell>
          <cell r="L59" t="str">
            <v>1760</v>
          </cell>
          <cell r="P59" t="str">
            <v>ODP</v>
          </cell>
          <cell r="V59" t="str">
            <v>3</v>
          </cell>
          <cell r="W59" t="str">
            <v>60</v>
          </cell>
          <cell r="X59" t="str">
            <v>220-440</v>
          </cell>
          <cell r="Y59" t="str">
            <v>76-38</v>
          </cell>
          <cell r="AA59" t="str">
            <v>F1</v>
          </cell>
          <cell r="AG59" t="str">
            <v>HP</v>
          </cell>
          <cell r="AV59" t="b">
            <v>0</v>
          </cell>
          <cell r="EY59" t="str">
            <v>13N3397</v>
          </cell>
          <cell r="HD59" t="str">
            <v>Repair Shop</v>
          </cell>
          <cell r="HT59" t="b">
            <v>0</v>
          </cell>
          <cell r="HU59" t="str">
            <v>BENICIA FAB &amp; MACHINE INC.</v>
          </cell>
        </row>
        <row r="60">
          <cell r="A60">
            <v>5745</v>
          </cell>
          <cell r="B60" t="str">
            <v>VEM1642</v>
          </cell>
          <cell r="D60" t="str">
            <v>FRFLD-SUISUN</v>
          </cell>
          <cell r="AG60" t="str">
            <v>HP</v>
          </cell>
          <cell r="AV60" t="b">
            <v>0</v>
          </cell>
          <cell r="HD60" t="str">
            <v>Repair Shop</v>
          </cell>
          <cell r="HT60" t="b">
            <v>0</v>
          </cell>
          <cell r="HU60" t="str">
            <v>FAIRFIELD-SUISUN SEWER DISTRICT</v>
          </cell>
        </row>
        <row r="61">
          <cell r="A61">
            <v>5744</v>
          </cell>
          <cell r="B61" t="str">
            <v>VEM1641</v>
          </cell>
          <cell r="D61" t="str">
            <v>VALERO</v>
          </cell>
          <cell r="AG61" t="str">
            <v>HP</v>
          </cell>
          <cell r="AV61" t="b">
            <v>0</v>
          </cell>
          <cell r="HD61" t="str">
            <v>Repair Shop</v>
          </cell>
          <cell r="HT61" t="b">
            <v>0</v>
          </cell>
          <cell r="HU61" t="str">
            <v>VALERO REFINING CO. BENICIA</v>
          </cell>
        </row>
        <row r="62">
          <cell r="A62">
            <v>5743</v>
          </cell>
          <cell r="B62" t="str">
            <v>VEM1640</v>
          </cell>
          <cell r="D62" t="str">
            <v>C&amp;H</v>
          </cell>
          <cell r="AG62" t="str">
            <v>HP</v>
          </cell>
          <cell r="AV62" t="b">
            <v>0</v>
          </cell>
          <cell r="HD62" t="str">
            <v>Repair Shop</v>
          </cell>
          <cell r="HT62" t="b">
            <v>0</v>
          </cell>
          <cell r="HU62" t="str">
            <v>C &amp; H SUGAR CO.</v>
          </cell>
        </row>
        <row r="63">
          <cell r="A63">
            <v>5739</v>
          </cell>
          <cell r="B63" t="str">
            <v>VEM1637</v>
          </cell>
          <cell r="D63" t="str">
            <v>C&amp;H</v>
          </cell>
          <cell r="AG63" t="str">
            <v>HP</v>
          </cell>
          <cell r="AV63" t="b">
            <v>0</v>
          </cell>
          <cell r="HD63" t="str">
            <v>Repair Shop</v>
          </cell>
          <cell r="HT63" t="b">
            <v>0</v>
          </cell>
          <cell r="HU63" t="str">
            <v>C &amp; H SUGAR CO.</v>
          </cell>
        </row>
        <row r="64">
          <cell r="A64">
            <v>5738</v>
          </cell>
          <cell r="B64" t="str">
            <v>VEM1636</v>
          </cell>
          <cell r="D64" t="str">
            <v>INTEGRATED</v>
          </cell>
          <cell r="F64" t="str">
            <v>Baldor</v>
          </cell>
          <cell r="H64" t="str">
            <v>W1707314625</v>
          </cell>
          <cell r="I64" t="str">
            <v>56CZ</v>
          </cell>
          <cell r="K64" t="str">
            <v>3</v>
          </cell>
          <cell r="L64" t="str">
            <v>3450//2850</v>
          </cell>
          <cell r="P64" t="str">
            <v>TEFC</v>
          </cell>
          <cell r="R64" t="str">
            <v>Continuous</v>
          </cell>
          <cell r="U64" t="str">
            <v>40</v>
          </cell>
          <cell r="V64" t="str">
            <v>3</v>
          </cell>
          <cell r="W64" t="str">
            <v>60//50</v>
          </cell>
          <cell r="X64" t="str">
            <v>230/460//190/380</v>
          </cell>
          <cell r="Y64" t="str">
            <v>7/3.5//8.6/4.3</v>
          </cell>
          <cell r="AA64" t="str">
            <v>F1</v>
          </cell>
          <cell r="AG64" t="str">
            <v>HP</v>
          </cell>
          <cell r="AI64" t="str">
            <v>6205</v>
          </cell>
          <cell r="AJ64" t="str">
            <v>6203</v>
          </cell>
          <cell r="AO64" t="str">
            <v>B</v>
          </cell>
          <cell r="AP64" t="str">
            <v>M</v>
          </cell>
          <cell r="AQ64" t="str">
            <v>F</v>
          </cell>
          <cell r="AR64" t="str">
            <v>92</v>
          </cell>
          <cell r="AS64" t="str">
            <v>1.15</v>
          </cell>
          <cell r="AT64" t="str">
            <v>87.5</v>
          </cell>
          <cell r="AU64" t="str">
            <v>35E964Q130G2</v>
          </cell>
          <cell r="AV64" t="b">
            <v>0</v>
          </cell>
          <cell r="HD64" t="str">
            <v>Repair Shop</v>
          </cell>
          <cell r="HT64" t="b">
            <v>0</v>
          </cell>
          <cell r="HU64" t="str">
            <v>INTEGRATED TURBO MACHINERY, INC.</v>
          </cell>
        </row>
        <row r="65">
          <cell r="A65">
            <v>5737</v>
          </cell>
          <cell r="B65" t="str">
            <v>VEM1635</v>
          </cell>
          <cell r="D65" t="str">
            <v>COUNTYQUAR</v>
          </cell>
          <cell r="AG65" t="str">
            <v>HP</v>
          </cell>
          <cell r="AV65" t="b">
            <v>0</v>
          </cell>
          <cell r="HD65" t="str">
            <v>Repair Shop</v>
          </cell>
          <cell r="HT65" t="b">
            <v>0</v>
          </cell>
          <cell r="HU65" t="str">
            <v>COUNTY QUARRY</v>
          </cell>
        </row>
        <row r="66">
          <cell r="A66">
            <v>5736</v>
          </cell>
          <cell r="B66" t="str">
            <v>VEM1634</v>
          </cell>
          <cell r="D66" t="str">
            <v>EURO</v>
          </cell>
          <cell r="F66" t="str">
            <v>BEBERHARD BAUER</v>
          </cell>
          <cell r="G66" t="str">
            <v>D-7300 ESSLINGEN</v>
          </cell>
          <cell r="K66" t="str">
            <v>0.4/1.6</v>
          </cell>
          <cell r="L66" t="str">
            <v>840/3420</v>
          </cell>
          <cell r="M66" t="str">
            <v>CFG1G11-124/DP1A82-283</v>
          </cell>
          <cell r="W66" t="str">
            <v>60</v>
          </cell>
          <cell r="X66" t="str">
            <v>230/460</v>
          </cell>
          <cell r="Y66" t="str">
            <v>6.9/28</v>
          </cell>
          <cell r="AG66" t="str">
            <v>KW</v>
          </cell>
          <cell r="AV66" t="b">
            <v>0</v>
          </cell>
          <cell r="GK66" t="str">
            <v>MOTOR #1594932-1</v>
          </cell>
          <cell r="HD66" t="str">
            <v>Repair Shop</v>
          </cell>
          <cell r="HT66" t="b">
            <v>0</v>
          </cell>
          <cell r="HU66" t="str">
            <v>EURO-MACHINES, INC.</v>
          </cell>
        </row>
        <row r="67">
          <cell r="A67">
            <v>5735</v>
          </cell>
          <cell r="B67" t="str">
            <v>VEM1633</v>
          </cell>
          <cell r="D67" t="str">
            <v>CITYOFNAPA</v>
          </cell>
          <cell r="F67" t="str">
            <v>Baldor</v>
          </cell>
          <cell r="H67" t="str">
            <v>2/79</v>
          </cell>
          <cell r="I67" t="str">
            <v>286JP</v>
          </cell>
          <cell r="K67" t="str">
            <v>40</v>
          </cell>
          <cell r="L67" t="str">
            <v>3525</v>
          </cell>
          <cell r="V67" t="str">
            <v>3</v>
          </cell>
          <cell r="W67" t="str">
            <v>60</v>
          </cell>
          <cell r="X67" t="str">
            <v>230/460</v>
          </cell>
          <cell r="Y67" t="str">
            <v>92/46</v>
          </cell>
          <cell r="AG67" t="str">
            <v>HP</v>
          </cell>
          <cell r="AO67" t="str">
            <v>B</v>
          </cell>
          <cell r="AP67" t="str">
            <v>F</v>
          </cell>
          <cell r="AR67" t="str">
            <v>88</v>
          </cell>
          <cell r="AS67" t="str">
            <v>1.15</v>
          </cell>
          <cell r="AU67" t="str">
            <v>40E22W11</v>
          </cell>
          <cell r="AV67" t="b">
            <v>0</v>
          </cell>
          <cell r="HD67" t="str">
            <v>Repair Shop</v>
          </cell>
          <cell r="HT67" t="b">
            <v>0</v>
          </cell>
          <cell r="HU67" t="str">
            <v>CITY OF NAPA, PUBLIC WORKS DEPT</v>
          </cell>
        </row>
        <row r="68">
          <cell r="A68">
            <v>5734</v>
          </cell>
          <cell r="B68" t="str">
            <v>VEM1632</v>
          </cell>
          <cell r="D68" t="str">
            <v>P66</v>
          </cell>
          <cell r="F68" t="str">
            <v>Reliance</v>
          </cell>
          <cell r="H68" t="str">
            <v>PT553467-001</v>
          </cell>
          <cell r="I68" t="str">
            <v>284T</v>
          </cell>
          <cell r="K68" t="str">
            <v>25</v>
          </cell>
          <cell r="L68" t="str">
            <v>1770</v>
          </cell>
          <cell r="M68" t="str">
            <v>P</v>
          </cell>
          <cell r="N68" t="str">
            <v>467</v>
          </cell>
          <cell r="P68" t="str">
            <v>TEFC</v>
          </cell>
          <cell r="R68" t="str">
            <v>Continuous</v>
          </cell>
          <cell r="U68" t="str">
            <v>40</v>
          </cell>
          <cell r="V68" t="str">
            <v>3</v>
          </cell>
          <cell r="W68" t="str">
            <v>6-60</v>
          </cell>
          <cell r="X68" t="str">
            <v>460</v>
          </cell>
          <cell r="Y68" t="str">
            <v>29.7</v>
          </cell>
          <cell r="AA68" t="str">
            <v>F1</v>
          </cell>
          <cell r="AD68" t="str">
            <v>0</v>
          </cell>
          <cell r="AG68" t="str">
            <v>HP</v>
          </cell>
          <cell r="AI68" t="str">
            <v>50BC03J30X</v>
          </cell>
          <cell r="AJ68" t="str">
            <v>50BC03J30X</v>
          </cell>
          <cell r="AO68" t="str">
            <v>B</v>
          </cell>
          <cell r="AP68" t="str">
            <v>G</v>
          </cell>
          <cell r="AQ68" t="str">
            <v>F</v>
          </cell>
          <cell r="AS68" t="str">
            <v>1.00</v>
          </cell>
          <cell r="AV68" t="b">
            <v>0</v>
          </cell>
          <cell r="HD68" t="str">
            <v>Repair Shop</v>
          </cell>
          <cell r="HT68" t="b">
            <v>0</v>
          </cell>
          <cell r="HU68" t="str">
            <v>PHILLIPS 66</v>
          </cell>
        </row>
        <row r="69">
          <cell r="A69">
            <v>5733</v>
          </cell>
          <cell r="B69" t="str">
            <v>VEM1631</v>
          </cell>
          <cell r="D69" t="str">
            <v>P66</v>
          </cell>
          <cell r="F69" t="str">
            <v>GE</v>
          </cell>
          <cell r="G69" t="str">
            <v>5KS284XAA208A</v>
          </cell>
          <cell r="H69" t="str">
            <v>JGFT249S007</v>
          </cell>
          <cell r="I69" t="str">
            <v>284T</v>
          </cell>
          <cell r="K69" t="str">
            <v>25</v>
          </cell>
          <cell r="L69" t="str">
            <v>1775</v>
          </cell>
          <cell r="M69" t="str">
            <v>KS</v>
          </cell>
          <cell r="N69" t="str">
            <v>460</v>
          </cell>
          <cell r="P69" t="str">
            <v>TEFC</v>
          </cell>
          <cell r="R69" t="str">
            <v>Continuous</v>
          </cell>
          <cell r="U69" t="str">
            <v>40</v>
          </cell>
          <cell r="V69" t="str">
            <v>3</v>
          </cell>
          <cell r="W69" t="str">
            <v>60</v>
          </cell>
          <cell r="X69" t="str">
            <v>460</v>
          </cell>
          <cell r="Y69" t="str">
            <v>29.1</v>
          </cell>
          <cell r="AA69" t="str">
            <v>F1</v>
          </cell>
          <cell r="AG69" t="str">
            <v>HP</v>
          </cell>
          <cell r="AI69" t="str">
            <v>6310ZC3</v>
          </cell>
          <cell r="AJ69" t="str">
            <v>6310ZC3</v>
          </cell>
          <cell r="AO69" t="str">
            <v>B</v>
          </cell>
          <cell r="AP69" t="str">
            <v>G</v>
          </cell>
          <cell r="AQ69" t="str">
            <v>H</v>
          </cell>
          <cell r="AR69" t="str">
            <v>86.0</v>
          </cell>
          <cell r="AS69" t="str">
            <v>1.15</v>
          </cell>
          <cell r="AT69" t="str">
            <v>93.6</v>
          </cell>
          <cell r="AV69" t="b">
            <v>0</v>
          </cell>
          <cell r="EW69" t="str">
            <v>M9448</v>
          </cell>
          <cell r="HD69" t="str">
            <v>Repair Shop</v>
          </cell>
          <cell r="HT69" t="b">
            <v>0</v>
          </cell>
          <cell r="HU69" t="str">
            <v>PHILLIPS 66</v>
          </cell>
        </row>
        <row r="70">
          <cell r="A70">
            <v>5732</v>
          </cell>
          <cell r="B70" t="str">
            <v>VEM1630</v>
          </cell>
          <cell r="D70" t="str">
            <v>INTEGRATED</v>
          </cell>
          <cell r="F70" t="str">
            <v>Reliance</v>
          </cell>
          <cell r="I70" t="str">
            <v>L182T</v>
          </cell>
          <cell r="K70" t="str">
            <v>3</v>
          </cell>
          <cell r="L70" t="str">
            <v>1800</v>
          </cell>
          <cell r="P70" t="str">
            <v>TEFC</v>
          </cell>
          <cell r="V70" t="str">
            <v>3</v>
          </cell>
          <cell r="W70" t="str">
            <v>60</v>
          </cell>
          <cell r="X70" t="str">
            <v>460</v>
          </cell>
          <cell r="Y70" t="str">
            <v>3.8</v>
          </cell>
          <cell r="AG70" t="str">
            <v>HP</v>
          </cell>
          <cell r="AV70" t="b">
            <v>0</v>
          </cell>
          <cell r="HD70" t="str">
            <v>Repair Shop</v>
          </cell>
          <cell r="HT70" t="b">
            <v>0</v>
          </cell>
          <cell r="HU70" t="str">
            <v>INTEGRATED TURBO MACHINERY, INC.</v>
          </cell>
        </row>
        <row r="71">
          <cell r="A71">
            <v>5731</v>
          </cell>
          <cell r="B71" t="str">
            <v>VEM1629</v>
          </cell>
          <cell r="D71" t="str">
            <v>CLEANHARBORS</v>
          </cell>
          <cell r="AG71" t="str">
            <v>HP</v>
          </cell>
          <cell r="AV71" t="b">
            <v>0</v>
          </cell>
          <cell r="HD71" t="str">
            <v>Repair Shop</v>
          </cell>
          <cell r="HT71" t="b">
            <v>0</v>
          </cell>
          <cell r="HU71" t="str">
            <v>CLEAN HARBORS</v>
          </cell>
        </row>
        <row r="72">
          <cell r="A72">
            <v>5730</v>
          </cell>
          <cell r="B72" t="str">
            <v>VEM1628</v>
          </cell>
          <cell r="D72" t="str">
            <v>CONHAGEN</v>
          </cell>
          <cell r="F72" t="str">
            <v>Reliance</v>
          </cell>
          <cell r="G72" t="str">
            <v>P36G1319C</v>
          </cell>
          <cell r="I72" t="str">
            <v>365LP</v>
          </cell>
          <cell r="K72" t="str">
            <v>75</v>
          </cell>
          <cell r="L72" t="str">
            <v>3560</v>
          </cell>
          <cell r="M72" t="str">
            <v>P</v>
          </cell>
          <cell r="N72" t="str">
            <v>1016</v>
          </cell>
          <cell r="P72" t="str">
            <v>TEFC</v>
          </cell>
          <cell r="R72" t="str">
            <v>Continuous</v>
          </cell>
          <cell r="V72" t="str">
            <v>3</v>
          </cell>
          <cell r="W72" t="str">
            <v>60</v>
          </cell>
          <cell r="X72" t="str">
            <v>230/460</v>
          </cell>
          <cell r="Y72" t="str">
            <v>163/81.9</v>
          </cell>
          <cell r="AA72" t="str">
            <v>Vertical</v>
          </cell>
          <cell r="AD72" t="str">
            <v>0</v>
          </cell>
          <cell r="AG72" t="str">
            <v>HP</v>
          </cell>
          <cell r="AI72" t="str">
            <v>65BC03J30X</v>
          </cell>
          <cell r="AJ72" t="str">
            <v>50BT03JR00X</v>
          </cell>
          <cell r="AO72" t="str">
            <v>B</v>
          </cell>
          <cell r="AP72" t="str">
            <v>G</v>
          </cell>
          <cell r="AQ72" t="str">
            <v>F</v>
          </cell>
          <cell r="AR72" t="str">
            <v>90</v>
          </cell>
          <cell r="AS72" t="str">
            <v>1.15</v>
          </cell>
          <cell r="AT72" t="str">
            <v>95.0</v>
          </cell>
          <cell r="AV72" t="b">
            <v>0</v>
          </cell>
          <cell r="EX72" t="str">
            <v>20MN361319 G001 EE</v>
          </cell>
          <cell r="HD72" t="str">
            <v>Repair Shop</v>
          </cell>
          <cell r="HT72" t="b">
            <v>0</v>
          </cell>
          <cell r="HU72" t="str">
            <v>ALFRED CONHAGEN CO. OF CA</v>
          </cell>
        </row>
        <row r="73">
          <cell r="A73">
            <v>5729</v>
          </cell>
          <cell r="B73" t="str">
            <v>VEM1627</v>
          </cell>
          <cell r="D73" t="str">
            <v>CONHAGEN</v>
          </cell>
          <cell r="AV73" t="b">
            <v>0</v>
          </cell>
          <cell r="HD73" t="str">
            <v>Repair Shop</v>
          </cell>
          <cell r="HT73" t="b">
            <v>0</v>
          </cell>
          <cell r="HU73" t="str">
            <v>ALFRED CONHAGEN CO. OF CA</v>
          </cell>
        </row>
        <row r="74">
          <cell r="A74">
            <v>5728</v>
          </cell>
          <cell r="B74" t="str">
            <v>VEM1626</v>
          </cell>
          <cell r="D74" t="str">
            <v>CONHAGEN</v>
          </cell>
          <cell r="F74" t="str">
            <v>GE</v>
          </cell>
          <cell r="G74" t="str">
            <v>5K6267XJ0028A</v>
          </cell>
          <cell r="H74" t="str">
            <v>CKJ306143</v>
          </cell>
          <cell r="I74" t="str">
            <v>365TPZ16</v>
          </cell>
          <cell r="K74" t="str">
            <v>75</v>
          </cell>
          <cell r="L74" t="str">
            <v>3550</v>
          </cell>
          <cell r="M74" t="str">
            <v>K</v>
          </cell>
          <cell r="P74" t="str">
            <v>TEFC</v>
          </cell>
          <cell r="R74" t="str">
            <v>Continuous</v>
          </cell>
          <cell r="U74" t="str">
            <v>40</v>
          </cell>
          <cell r="V74" t="str">
            <v>3</v>
          </cell>
          <cell r="W74" t="str">
            <v>60</v>
          </cell>
          <cell r="X74" t="str">
            <v>230/460</v>
          </cell>
          <cell r="Y74" t="str">
            <v>172.4/86.2</v>
          </cell>
          <cell r="AA74" t="str">
            <v>Vertical</v>
          </cell>
          <cell r="AG74" t="str">
            <v>HP</v>
          </cell>
          <cell r="AI74" t="str">
            <v>5903498P013</v>
          </cell>
          <cell r="AJ74" t="str">
            <v>629A212G006</v>
          </cell>
          <cell r="AO74" t="str">
            <v>B</v>
          </cell>
          <cell r="AP74" t="str">
            <v>G</v>
          </cell>
          <cell r="AQ74" t="str">
            <v>B</v>
          </cell>
          <cell r="AS74" t="str">
            <v>1.00</v>
          </cell>
          <cell r="AV74" t="b">
            <v>0</v>
          </cell>
          <cell r="HD74" t="str">
            <v>Repair Shop</v>
          </cell>
          <cell r="HT74" t="b">
            <v>0</v>
          </cell>
          <cell r="HU74" t="str">
            <v>ALFRED CONHAGEN CO. OF CA</v>
          </cell>
        </row>
        <row r="75">
          <cell r="A75">
            <v>5727</v>
          </cell>
          <cell r="B75" t="str">
            <v>VEM1625</v>
          </cell>
          <cell r="D75" t="str">
            <v>UNICO</v>
          </cell>
          <cell r="F75" t="str">
            <v>FRANKLIN ELECTRIC</v>
          </cell>
          <cell r="G75" t="str">
            <v>2366158120</v>
          </cell>
          <cell r="K75" t="str">
            <v>25</v>
          </cell>
          <cell r="L75" t="str">
            <v>3450</v>
          </cell>
          <cell r="V75" t="str">
            <v>3</v>
          </cell>
          <cell r="W75" t="str">
            <v>60</v>
          </cell>
          <cell r="X75" t="str">
            <v>460</v>
          </cell>
          <cell r="Y75" t="str">
            <v>33.5</v>
          </cell>
          <cell r="AG75" t="str">
            <v>HP</v>
          </cell>
          <cell r="AP75" t="str">
            <v>J</v>
          </cell>
          <cell r="AS75" t="str">
            <v>1.15</v>
          </cell>
          <cell r="AV75" t="b">
            <v>0</v>
          </cell>
          <cell r="HD75" t="str">
            <v>Repair Shop</v>
          </cell>
          <cell r="HT75" t="b">
            <v>0</v>
          </cell>
          <cell r="HU75" t="str">
            <v>UNICO MECHANICAL CORP.</v>
          </cell>
        </row>
        <row r="76">
          <cell r="A76">
            <v>5726</v>
          </cell>
          <cell r="B76" t="str">
            <v>VEM1624</v>
          </cell>
          <cell r="D76" t="str">
            <v>UNICO</v>
          </cell>
          <cell r="F76" t="str">
            <v>ABS</v>
          </cell>
          <cell r="G76" t="str">
            <v>AFP 2001 ME 210/6-41.60</v>
          </cell>
          <cell r="H76" t="str">
            <v>09925126-000</v>
          </cell>
          <cell r="K76" t="str">
            <v>31.3 /28.1</v>
          </cell>
          <cell r="L76" t="str">
            <v>1165</v>
          </cell>
          <cell r="U76" t="str">
            <v>40</v>
          </cell>
          <cell r="W76" t="str">
            <v>60</v>
          </cell>
          <cell r="X76" t="str">
            <v>460</v>
          </cell>
          <cell r="Y76" t="str">
            <v>35</v>
          </cell>
          <cell r="AG76" t="str">
            <v>HP</v>
          </cell>
          <cell r="AP76" t="str">
            <v>G</v>
          </cell>
          <cell r="AQ76" t="str">
            <v>H</v>
          </cell>
          <cell r="AV76" t="b">
            <v>0</v>
          </cell>
          <cell r="GK76" t="str">
            <v>PO NO: 711333</v>
          </cell>
          <cell r="GL76" t="str">
            <v>PUMP NO: 31772</v>
          </cell>
          <cell r="GM76" t="str">
            <v>GPM: 1505</v>
          </cell>
          <cell r="HD76" t="str">
            <v>Repair Shop</v>
          </cell>
          <cell r="HT76" t="b">
            <v>0</v>
          </cell>
          <cell r="HU76" t="str">
            <v>UNICO MECHANICAL CORP.</v>
          </cell>
        </row>
        <row r="77">
          <cell r="A77">
            <v>5725</v>
          </cell>
          <cell r="B77" t="str">
            <v>VEM1623</v>
          </cell>
          <cell r="D77" t="str">
            <v>UNICO</v>
          </cell>
          <cell r="F77" t="str">
            <v>ABS</v>
          </cell>
          <cell r="G77" t="str">
            <v>AFP 2001 ME 210/6-41.60</v>
          </cell>
          <cell r="H77" t="str">
            <v>09925126-000</v>
          </cell>
          <cell r="K77" t="str">
            <v>31.3/28.1</v>
          </cell>
          <cell r="L77" t="str">
            <v>1165</v>
          </cell>
          <cell r="U77" t="str">
            <v>40</v>
          </cell>
          <cell r="W77" t="str">
            <v>60</v>
          </cell>
          <cell r="X77" t="str">
            <v>460</v>
          </cell>
          <cell r="Y77" t="str">
            <v>35</v>
          </cell>
          <cell r="AG77" t="str">
            <v>HP</v>
          </cell>
          <cell r="AP77" t="str">
            <v>G</v>
          </cell>
          <cell r="AQ77" t="str">
            <v>H</v>
          </cell>
          <cell r="AV77" t="b">
            <v>0</v>
          </cell>
          <cell r="GK77" t="str">
            <v>PO NO: 711333</v>
          </cell>
          <cell r="GL77" t="str">
            <v>PUMP NO: 31771</v>
          </cell>
          <cell r="GM77" t="str">
            <v>GPM: 1505</v>
          </cell>
          <cell r="GN77" t="str">
            <v>DN: 200</v>
          </cell>
          <cell r="HD77" t="str">
            <v>Repair Shop</v>
          </cell>
          <cell r="HT77" t="b">
            <v>0</v>
          </cell>
          <cell r="HU77" t="str">
            <v>UNICO MECHANICAL CORP.</v>
          </cell>
        </row>
        <row r="78">
          <cell r="A78">
            <v>5724</v>
          </cell>
          <cell r="B78" t="str">
            <v>VEM1622</v>
          </cell>
          <cell r="D78" t="str">
            <v>UNICO</v>
          </cell>
          <cell r="F78" t="str">
            <v>ABS</v>
          </cell>
          <cell r="G78" t="str">
            <v>AFP 1501 ME 210/6-41.60</v>
          </cell>
          <cell r="H78" t="str">
            <v>09925128-000</v>
          </cell>
          <cell r="K78" t="str">
            <v>31.3/28.1</v>
          </cell>
          <cell r="L78" t="str">
            <v>1165</v>
          </cell>
          <cell r="U78" t="str">
            <v>40</v>
          </cell>
          <cell r="W78" t="str">
            <v>60</v>
          </cell>
          <cell r="X78" t="str">
            <v>460</v>
          </cell>
          <cell r="Y78" t="str">
            <v>35</v>
          </cell>
          <cell r="AD78" t="str">
            <v>-1</v>
          </cell>
          <cell r="AG78" t="str">
            <v>HP</v>
          </cell>
          <cell r="AP78" t="str">
            <v>G</v>
          </cell>
          <cell r="AQ78" t="str">
            <v>H</v>
          </cell>
          <cell r="AV78" t="b">
            <v>0</v>
          </cell>
          <cell r="BE78" t="str">
            <v>903</v>
          </cell>
          <cell r="GK78" t="str">
            <v>PO NO: 711333</v>
          </cell>
          <cell r="GL78" t="str">
            <v>PUMP NO: 31767</v>
          </cell>
          <cell r="GM78" t="str">
            <v>GPM: 903</v>
          </cell>
          <cell r="HD78" t="str">
            <v>Repair Shop</v>
          </cell>
          <cell r="HT78" t="b">
            <v>0</v>
          </cell>
          <cell r="HU78" t="str">
            <v>UNICO MECHANICAL CORP.</v>
          </cell>
        </row>
        <row r="79">
          <cell r="A79">
            <v>5722</v>
          </cell>
          <cell r="B79" t="str">
            <v>VEM1620</v>
          </cell>
          <cell r="D79" t="str">
            <v>DORMATECH</v>
          </cell>
          <cell r="F79" t="str">
            <v>LOWARA</v>
          </cell>
          <cell r="G79" t="str">
            <v>PLM112B142S2E/UL355 E3</v>
          </cell>
          <cell r="K79" t="str">
            <v>7.5</v>
          </cell>
          <cell r="L79" t="str">
            <v>3510</v>
          </cell>
          <cell r="P79" t="str">
            <v>TEFC</v>
          </cell>
          <cell r="R79" t="str">
            <v>Continuous</v>
          </cell>
          <cell r="U79" t="str">
            <v>40</v>
          </cell>
          <cell r="V79" t="str">
            <v>3</v>
          </cell>
          <cell r="W79" t="str">
            <v>60</v>
          </cell>
          <cell r="X79" t="str">
            <v>208-230 / 400-460</v>
          </cell>
          <cell r="Y79" t="str">
            <v>18-17.8 / 9.58-8.91</v>
          </cell>
          <cell r="AA79" t="str">
            <v>F1</v>
          </cell>
          <cell r="AD79" t="str">
            <v>-1</v>
          </cell>
          <cell r="AG79" t="str">
            <v>HP</v>
          </cell>
          <cell r="AQ79" t="str">
            <v>155</v>
          </cell>
          <cell r="AS79" t="str">
            <v>1.15</v>
          </cell>
          <cell r="AT79" t="str">
            <v>89.5</v>
          </cell>
          <cell r="AV79" t="b">
            <v>0</v>
          </cell>
          <cell r="BN79" t="str">
            <v>50-125/55/P26RCS4</v>
          </cell>
          <cell r="GK79" t="str">
            <v>P.N: 53A13RH00J</v>
          </cell>
          <cell r="HD79" t="str">
            <v>Repair Shop</v>
          </cell>
          <cell r="HT79" t="b">
            <v>0</v>
          </cell>
          <cell r="HU79" t="str">
            <v>DORMATECH</v>
          </cell>
        </row>
        <row r="80">
          <cell r="A80">
            <v>5721</v>
          </cell>
          <cell r="B80" t="str">
            <v>FE1049</v>
          </cell>
          <cell r="D80" t="str">
            <v>DISCOVERY</v>
          </cell>
          <cell r="AG80" t="str">
            <v>HP</v>
          </cell>
          <cell r="AV80" t="b">
            <v>0</v>
          </cell>
          <cell r="HD80" t="str">
            <v>Field Service</v>
          </cell>
          <cell r="HT80" t="b">
            <v>0</v>
          </cell>
          <cell r="HU80" t="str">
            <v>SIX FLAGS DISCOVERY KINGDOM</v>
          </cell>
        </row>
        <row r="81">
          <cell r="A81">
            <v>5720</v>
          </cell>
          <cell r="B81" t="str">
            <v>VEM1619</v>
          </cell>
          <cell r="D81" t="str">
            <v>FRFLD-SUISUN</v>
          </cell>
          <cell r="F81" t="str">
            <v>YEOMANS</v>
          </cell>
          <cell r="H81" t="str">
            <v>MU430390-03/18-01</v>
          </cell>
          <cell r="I81" t="str">
            <v>449TCV</v>
          </cell>
          <cell r="K81" t="str">
            <v>125</v>
          </cell>
          <cell r="L81" t="str">
            <v>0890</v>
          </cell>
          <cell r="M81" t="str">
            <v>TFS</v>
          </cell>
          <cell r="N81" t="str">
            <v>3110</v>
          </cell>
          <cell r="P81" t="str">
            <v>TEFC</v>
          </cell>
          <cell r="R81" t="str">
            <v>Continuous</v>
          </cell>
          <cell r="U81" t="str">
            <v>50</v>
          </cell>
          <cell r="V81" t="str">
            <v>3</v>
          </cell>
          <cell r="W81" t="str">
            <v>60</v>
          </cell>
          <cell r="X81" t="str">
            <v>460</v>
          </cell>
          <cell r="Y81" t="str">
            <v>167</v>
          </cell>
          <cell r="AA81" t="str">
            <v>Vertical</v>
          </cell>
          <cell r="AG81" t="str">
            <v>HP</v>
          </cell>
          <cell r="AI81" t="str">
            <v>95BC03JPX30X</v>
          </cell>
          <cell r="AJ81" t="str">
            <v>90BC03JPX30X</v>
          </cell>
          <cell r="AO81" t="str">
            <v>B</v>
          </cell>
          <cell r="AP81" t="str">
            <v>G</v>
          </cell>
          <cell r="AQ81" t="str">
            <v>F1</v>
          </cell>
          <cell r="AR81" t="str">
            <v>74.0</v>
          </cell>
          <cell r="AS81" t="str">
            <v>1.0</v>
          </cell>
          <cell r="AT81" t="str">
            <v>95.0</v>
          </cell>
          <cell r="AV81" t="b">
            <v>0</v>
          </cell>
          <cell r="BC81" t="str">
            <v>103</v>
          </cell>
          <cell r="BD81" t="str">
            <v>1210522-5</v>
          </cell>
          <cell r="BE81" t="str">
            <v>2500</v>
          </cell>
          <cell r="GK81" t="str">
            <v>PART NO MOTOR-9807980</v>
          </cell>
          <cell r="HD81" t="str">
            <v>Repair Shop</v>
          </cell>
          <cell r="HT81" t="b">
            <v>0</v>
          </cell>
          <cell r="HU81" t="str">
            <v>FAIRFIELD-SUISUN SEWER DISTRICT</v>
          </cell>
        </row>
        <row r="82">
          <cell r="A82">
            <v>5719</v>
          </cell>
          <cell r="B82" t="str">
            <v>VEM1618</v>
          </cell>
          <cell r="D82" t="str">
            <v>SHELL</v>
          </cell>
          <cell r="F82" t="str">
            <v>TECO WESTINGHOUSE</v>
          </cell>
          <cell r="H82" t="str">
            <v>JKD99211-1</v>
          </cell>
          <cell r="I82" t="str">
            <v>5809S</v>
          </cell>
          <cell r="K82" t="str">
            <v>700</v>
          </cell>
          <cell r="L82" t="str">
            <v>1800</v>
          </cell>
          <cell r="M82" t="str">
            <v>ANCA-TK002</v>
          </cell>
          <cell r="N82" t="str">
            <v>4620</v>
          </cell>
          <cell r="P82" t="str">
            <v>WP11</v>
          </cell>
          <cell r="R82" t="str">
            <v>Continuous</v>
          </cell>
          <cell r="U82" t="str">
            <v>40</v>
          </cell>
          <cell r="V82" t="str">
            <v>3</v>
          </cell>
          <cell r="W82" t="str">
            <v>60</v>
          </cell>
          <cell r="X82" t="str">
            <v>2300</v>
          </cell>
          <cell r="Y82" t="str">
            <v>160</v>
          </cell>
          <cell r="AA82" t="str">
            <v>F1</v>
          </cell>
          <cell r="AD82" t="str">
            <v>0</v>
          </cell>
          <cell r="AG82" t="str">
            <v>HP</v>
          </cell>
          <cell r="AI82" t="str">
            <v>6320M/C3</v>
          </cell>
          <cell r="AJ82" t="str">
            <v>VL024/6320</v>
          </cell>
          <cell r="AO82" t="str">
            <v>B</v>
          </cell>
          <cell r="AQ82" t="str">
            <v>F</v>
          </cell>
          <cell r="AS82" t="str">
            <v>1.0</v>
          </cell>
          <cell r="AV82" t="b">
            <v>0</v>
          </cell>
          <cell r="AX82" t="str">
            <v>4</v>
          </cell>
          <cell r="DN82" t="str">
            <v>700</v>
          </cell>
          <cell r="DO82" t="str">
            <v>2300</v>
          </cell>
          <cell r="HD82" t="str">
            <v>Repair Shop</v>
          </cell>
          <cell r="HT82" t="b">
            <v>0</v>
          </cell>
          <cell r="HU82" t="str">
            <v>SHELL OIL / BREWSTER PROCUREMENT GP</v>
          </cell>
        </row>
        <row r="83">
          <cell r="A83">
            <v>5718</v>
          </cell>
          <cell r="B83" t="str">
            <v>VEM1617</v>
          </cell>
          <cell r="D83" t="str">
            <v>CLEANHARBORS</v>
          </cell>
          <cell r="F83" t="str">
            <v>WEG</v>
          </cell>
          <cell r="G83" t="str">
            <v>01018XT3E215TC</v>
          </cell>
          <cell r="I83" t="str">
            <v>215TC</v>
          </cell>
          <cell r="K83" t="str">
            <v>10</v>
          </cell>
          <cell r="L83" t="str">
            <v>1765</v>
          </cell>
          <cell r="M83" t="str">
            <v>EXTIP54</v>
          </cell>
          <cell r="P83" t="str">
            <v>TEFC</v>
          </cell>
          <cell r="R83" t="str">
            <v>Continuous</v>
          </cell>
          <cell r="U83" t="str">
            <v>40</v>
          </cell>
          <cell r="V83" t="str">
            <v>3</v>
          </cell>
          <cell r="W83" t="str">
            <v>60</v>
          </cell>
          <cell r="X83" t="str">
            <v>208-230/460</v>
          </cell>
          <cell r="Y83" t="str">
            <v>28.0-25.4</v>
          </cell>
          <cell r="AA83" t="str">
            <v>F1</v>
          </cell>
          <cell r="AG83" t="str">
            <v>HP</v>
          </cell>
          <cell r="AI83" t="str">
            <v>6308ZZ</v>
          </cell>
          <cell r="AJ83" t="str">
            <v>6207ZZ</v>
          </cell>
          <cell r="AO83" t="str">
            <v>B</v>
          </cell>
          <cell r="AP83" t="str">
            <v>(K)</v>
          </cell>
          <cell r="AQ83" t="str">
            <v>F</v>
          </cell>
          <cell r="AR83" t="str">
            <v>0.81</v>
          </cell>
          <cell r="AS83" t="str">
            <v>1.15</v>
          </cell>
          <cell r="AT83" t="str">
            <v>91.7</v>
          </cell>
          <cell r="AV83" t="b">
            <v>0</v>
          </cell>
          <cell r="BN83" t="str">
            <v>PL 200</v>
          </cell>
          <cell r="HD83" t="str">
            <v>Repair Shop</v>
          </cell>
          <cell r="HT83" t="b">
            <v>0</v>
          </cell>
          <cell r="HU83" t="str">
            <v>CLEAN HARBORS</v>
          </cell>
        </row>
        <row r="84">
          <cell r="A84">
            <v>5717</v>
          </cell>
          <cell r="B84" t="str">
            <v>VEM1616</v>
          </cell>
          <cell r="D84" t="str">
            <v>C&amp;H</v>
          </cell>
          <cell r="AD84" t="str">
            <v>0</v>
          </cell>
          <cell r="AG84" t="str">
            <v>HP</v>
          </cell>
          <cell r="AV84" t="b">
            <v>0</v>
          </cell>
          <cell r="HD84" t="str">
            <v>Repair Shop</v>
          </cell>
          <cell r="HT84" t="b">
            <v>0</v>
          </cell>
          <cell r="HU84" t="str">
            <v>C &amp; H SUGAR CO.</v>
          </cell>
        </row>
        <row r="85">
          <cell r="A85">
            <v>5716</v>
          </cell>
          <cell r="B85" t="str">
            <v>VEM1615</v>
          </cell>
          <cell r="D85" t="str">
            <v>CONHAGEN</v>
          </cell>
          <cell r="F85" t="str">
            <v>GE</v>
          </cell>
          <cell r="G85" t="str">
            <v>5KS284STP111A</v>
          </cell>
          <cell r="H85" t="str">
            <v>ZRP0495MS01C</v>
          </cell>
          <cell r="I85" t="str">
            <v>L284HPZ10</v>
          </cell>
          <cell r="K85" t="str">
            <v>25</v>
          </cell>
          <cell r="L85" t="str">
            <v>3550</v>
          </cell>
          <cell r="M85" t="str">
            <v>KS</v>
          </cell>
          <cell r="P85" t="str">
            <v>TEFC</v>
          </cell>
          <cell r="R85" t="str">
            <v>Continuous</v>
          </cell>
          <cell r="U85" t="str">
            <v>65</v>
          </cell>
          <cell r="V85" t="str">
            <v>3</v>
          </cell>
          <cell r="W85" t="str">
            <v>60</v>
          </cell>
          <cell r="X85" t="str">
            <v>460</v>
          </cell>
          <cell r="Y85" t="str">
            <v>27.8</v>
          </cell>
          <cell r="AA85" t="str">
            <v>Vertical</v>
          </cell>
          <cell r="AG85" t="str">
            <v>HP</v>
          </cell>
          <cell r="AI85" t="str">
            <v>6310ZC3</v>
          </cell>
          <cell r="AJ85" t="str">
            <v>6310-2ZC3</v>
          </cell>
          <cell r="AO85" t="str">
            <v>B</v>
          </cell>
          <cell r="AP85" t="str">
            <v>G</v>
          </cell>
          <cell r="AQ85" t="str">
            <v>F</v>
          </cell>
          <cell r="AR85" t="str">
            <v>91.0</v>
          </cell>
          <cell r="AS85" t="str">
            <v>1.15</v>
          </cell>
          <cell r="AT85" t="str">
            <v>92.4</v>
          </cell>
          <cell r="AV85" t="b">
            <v>0</v>
          </cell>
          <cell r="HD85" t="str">
            <v>Repair Shop</v>
          </cell>
          <cell r="HT85" t="b">
            <v>0</v>
          </cell>
          <cell r="HU85" t="str">
            <v>ALFRED CONHAGEN CO. OF CA</v>
          </cell>
        </row>
        <row r="86">
          <cell r="A86">
            <v>5715</v>
          </cell>
          <cell r="B86" t="str">
            <v>VEM1614</v>
          </cell>
          <cell r="D86" t="str">
            <v>VALLEJOSAN</v>
          </cell>
          <cell r="F86" t="str">
            <v>DAYTON</v>
          </cell>
          <cell r="G86" t="str">
            <v>9NH95A</v>
          </cell>
          <cell r="I86" t="str">
            <v>56</v>
          </cell>
          <cell r="K86" t="str">
            <v>SPL</v>
          </cell>
          <cell r="L86" t="str">
            <v>3450</v>
          </cell>
          <cell r="M86" t="str">
            <v>T</v>
          </cell>
          <cell r="P86" t="str">
            <v>ODP</v>
          </cell>
          <cell r="R86" t="str">
            <v>Continuous</v>
          </cell>
          <cell r="U86" t="str">
            <v>40</v>
          </cell>
          <cell r="V86" t="str">
            <v>1</v>
          </cell>
          <cell r="W86" t="str">
            <v>60</v>
          </cell>
          <cell r="X86" t="str">
            <v>120/240</v>
          </cell>
          <cell r="Y86" t="str">
            <v>15.0/7.5</v>
          </cell>
          <cell r="AA86" t="str">
            <v>F3</v>
          </cell>
          <cell r="AG86" t="str">
            <v>HP</v>
          </cell>
          <cell r="AQ86" t="str">
            <v>B</v>
          </cell>
          <cell r="AS86" t="str">
            <v>1.0</v>
          </cell>
          <cell r="AV86" t="b">
            <v>0</v>
          </cell>
          <cell r="GK86" t="str">
            <v>MTR REF: T63BXCCS-1232</v>
          </cell>
          <cell r="GL86" t="str">
            <v>MFG NO: D01C</v>
          </cell>
          <cell r="HD86" t="str">
            <v>Repair Shop</v>
          </cell>
          <cell r="HT86" t="b">
            <v>0</v>
          </cell>
          <cell r="HU86" t="str">
            <v>VALLEJO FLOOD &amp; WASTEWATER DISTRICT</v>
          </cell>
        </row>
        <row r="87">
          <cell r="A87">
            <v>5714</v>
          </cell>
          <cell r="B87" t="str">
            <v>VEM1613</v>
          </cell>
          <cell r="D87" t="str">
            <v>TESORO</v>
          </cell>
          <cell r="F87" t="str">
            <v>GE</v>
          </cell>
          <cell r="G87" t="str">
            <v>5KS509ET7401??</v>
          </cell>
          <cell r="I87" t="str">
            <v>L509VP20</v>
          </cell>
          <cell r="K87" t="str">
            <v>250</v>
          </cell>
          <cell r="L87" t="str">
            <v>1195</v>
          </cell>
          <cell r="M87" t="str">
            <v>KS</v>
          </cell>
          <cell r="P87" t="str">
            <v>WP2</v>
          </cell>
          <cell r="R87" t="str">
            <v>Continuous</v>
          </cell>
          <cell r="U87" t="str">
            <v>40</v>
          </cell>
          <cell r="V87" t="str">
            <v>3</v>
          </cell>
          <cell r="W87" t="str">
            <v>60</v>
          </cell>
          <cell r="X87" t="str">
            <v>2300</v>
          </cell>
          <cell r="Y87" t="str">
            <v>56.6</v>
          </cell>
          <cell r="AA87" t="str">
            <v>Vertical</v>
          </cell>
          <cell r="AG87" t="str">
            <v>HP</v>
          </cell>
          <cell r="AI87" t="str">
            <v>95BC02J3</v>
          </cell>
          <cell r="AJ87" t="str">
            <v>235A2535AA01</v>
          </cell>
          <cell r="AO87" t="str">
            <v>B</v>
          </cell>
          <cell r="AP87" t="str">
            <v>G</v>
          </cell>
          <cell r="AQ87" t="str">
            <v>B</v>
          </cell>
          <cell r="AR87" t="str">
            <v>86</v>
          </cell>
          <cell r="AS87" t="str">
            <v>1.15</v>
          </cell>
          <cell r="AT87" t="str">
            <v>95.8</v>
          </cell>
          <cell r="AV87" t="b">
            <v>0</v>
          </cell>
          <cell r="HD87" t="str">
            <v>Repair Shop</v>
          </cell>
          <cell r="HT87" t="b">
            <v>0</v>
          </cell>
          <cell r="HU87" t="str">
            <v>TESORO REFINING &amp; MARKETING</v>
          </cell>
        </row>
        <row r="88">
          <cell r="A88">
            <v>5713</v>
          </cell>
          <cell r="B88" t="str">
            <v>VEM1612</v>
          </cell>
          <cell r="D88" t="str">
            <v>FRFLD-SUISUN</v>
          </cell>
          <cell r="AG88" t="str">
            <v>HP</v>
          </cell>
          <cell r="AV88" t="b">
            <v>0</v>
          </cell>
          <cell r="HD88" t="str">
            <v>Repair Shop</v>
          </cell>
          <cell r="HT88" t="b">
            <v>0</v>
          </cell>
          <cell r="HU88" t="str">
            <v>FAIRFIELD-SUISUN SEWER DISTRICT</v>
          </cell>
        </row>
        <row r="89">
          <cell r="A89">
            <v>5712</v>
          </cell>
          <cell r="B89" t="str">
            <v>VEM1611</v>
          </cell>
          <cell r="D89" t="str">
            <v>P66</v>
          </cell>
          <cell r="F89" t="str">
            <v>Siemens</v>
          </cell>
          <cell r="I89" t="str">
            <v>215LP</v>
          </cell>
          <cell r="K89" t="str">
            <v>10</v>
          </cell>
          <cell r="L89" t="str">
            <v>3510</v>
          </cell>
          <cell r="M89" t="str">
            <v>RGZEVILSD</v>
          </cell>
          <cell r="P89" t="str">
            <v>TEFC</v>
          </cell>
          <cell r="R89" t="str">
            <v>Continuous</v>
          </cell>
          <cell r="U89" t="str">
            <v>40</v>
          </cell>
          <cell r="V89" t="str">
            <v>3</v>
          </cell>
          <cell r="W89" t="str">
            <v>60</v>
          </cell>
          <cell r="X89" t="str">
            <v>460</v>
          </cell>
          <cell r="Y89" t="str">
            <v>11.5</v>
          </cell>
          <cell r="AA89" t="str">
            <v>Vertical</v>
          </cell>
          <cell r="AD89" t="str">
            <v>0</v>
          </cell>
          <cell r="AG89" t="str">
            <v>HP</v>
          </cell>
          <cell r="AI89" t="str">
            <v>45BC03J3</v>
          </cell>
          <cell r="AJ89" t="str">
            <v>35BT02JA</v>
          </cell>
          <cell r="AO89" t="str">
            <v>B</v>
          </cell>
          <cell r="AP89" t="str">
            <v>H</v>
          </cell>
          <cell r="AQ89" t="str">
            <v>F</v>
          </cell>
          <cell r="AS89" t="str">
            <v>1.15</v>
          </cell>
          <cell r="AT89" t="str">
            <v>91.7</v>
          </cell>
          <cell r="AV89" t="b">
            <v>0</v>
          </cell>
          <cell r="GK89" t="str">
            <v>ORD#2-5141-LR45997</v>
          </cell>
          <cell r="HD89" t="str">
            <v>Repair Shop</v>
          </cell>
          <cell r="HT89" t="b">
            <v>0</v>
          </cell>
          <cell r="HU89" t="str">
            <v>PHILLIPS 66</v>
          </cell>
        </row>
        <row r="90">
          <cell r="A90">
            <v>5711</v>
          </cell>
          <cell r="B90" t="str">
            <v>VEM1610</v>
          </cell>
          <cell r="D90" t="str">
            <v>C&amp;H</v>
          </cell>
          <cell r="AD90" t="str">
            <v>0</v>
          </cell>
          <cell r="AG90" t="str">
            <v>HP</v>
          </cell>
          <cell r="AV90" t="b">
            <v>0</v>
          </cell>
          <cell r="HD90" t="str">
            <v>Repair Shop</v>
          </cell>
          <cell r="HT90" t="b">
            <v>0</v>
          </cell>
          <cell r="HU90" t="str">
            <v>C &amp; H SUGAR CO.</v>
          </cell>
        </row>
        <row r="91">
          <cell r="A91">
            <v>5710</v>
          </cell>
          <cell r="B91" t="str">
            <v>VEM1609</v>
          </cell>
          <cell r="D91" t="str">
            <v>VALERO</v>
          </cell>
          <cell r="F91" t="str">
            <v>Ametek</v>
          </cell>
          <cell r="H91" t="str">
            <v>W1710115206</v>
          </cell>
          <cell r="I91" t="str">
            <v>145TCZ</v>
          </cell>
          <cell r="K91" t="str">
            <v>3</v>
          </cell>
          <cell r="L91" t="str">
            <v>3450</v>
          </cell>
          <cell r="P91" t="str">
            <v>TEFC</v>
          </cell>
          <cell r="U91" t="str">
            <v>40</v>
          </cell>
          <cell r="V91" t="str">
            <v>3</v>
          </cell>
          <cell r="X91" t="str">
            <v>208-230/460</v>
          </cell>
          <cell r="Y91" t="str">
            <v>7.9-7.2/3.6</v>
          </cell>
          <cell r="AG91" t="str">
            <v>HP</v>
          </cell>
          <cell r="AO91" t="str">
            <v>B</v>
          </cell>
          <cell r="AP91" t="str">
            <v>L</v>
          </cell>
          <cell r="AQ91" t="str">
            <v>F</v>
          </cell>
          <cell r="AR91" t="str">
            <v>92</v>
          </cell>
          <cell r="AS91" t="str">
            <v>1.15</v>
          </cell>
          <cell r="AT91" t="str">
            <v>86.5</v>
          </cell>
          <cell r="AU91" t="str">
            <v>35Q528Q060G2</v>
          </cell>
          <cell r="AV91" t="b">
            <v>0</v>
          </cell>
          <cell r="DX91" t="str">
            <v>230</v>
          </cell>
          <cell r="EW91" t="str">
            <v>511306</v>
          </cell>
          <cell r="HD91" t="str">
            <v>Repair Shop</v>
          </cell>
          <cell r="HT91" t="b">
            <v>0</v>
          </cell>
          <cell r="HU91" t="str">
            <v>VALERO REFINING CO. BENICIA</v>
          </cell>
        </row>
        <row r="92">
          <cell r="A92">
            <v>5709</v>
          </cell>
          <cell r="B92" t="str">
            <v>VEM1608</v>
          </cell>
          <cell r="D92" t="str">
            <v>P66</v>
          </cell>
          <cell r="F92" t="str">
            <v>Westinghouse</v>
          </cell>
          <cell r="G92" t="str">
            <v>TBFC</v>
          </cell>
          <cell r="H92" t="str">
            <v>850</v>
          </cell>
          <cell r="I92" t="str">
            <v>215T</v>
          </cell>
          <cell r="K92" t="str">
            <v>10</v>
          </cell>
          <cell r="L92" t="str">
            <v>1745</v>
          </cell>
          <cell r="P92" t="str">
            <v>TEFC</v>
          </cell>
          <cell r="V92" t="str">
            <v>3</v>
          </cell>
          <cell r="W92" t="str">
            <v>60</v>
          </cell>
          <cell r="X92" t="str">
            <v>460</v>
          </cell>
          <cell r="Y92" t="str">
            <v>13.2</v>
          </cell>
          <cell r="AA92" t="str">
            <v>F1</v>
          </cell>
          <cell r="AG92" t="str">
            <v>HP</v>
          </cell>
          <cell r="AI92" t="str">
            <v>35BC02JPP3</v>
          </cell>
          <cell r="AJ92" t="str">
            <v>30BC02JPP3</v>
          </cell>
          <cell r="AO92" t="str">
            <v>B</v>
          </cell>
          <cell r="AP92" t="str">
            <v>H</v>
          </cell>
          <cell r="AQ92" t="str">
            <v>F</v>
          </cell>
          <cell r="AS92" t="str">
            <v>1.15 @ 40 / 1.0 @ 65</v>
          </cell>
          <cell r="AT92" t="str">
            <v>88.5</v>
          </cell>
          <cell r="AV92" t="b">
            <v>0</v>
          </cell>
          <cell r="EW92" t="str">
            <v>20 10H4 TBFC-KKN</v>
          </cell>
          <cell r="EY92" t="str">
            <v>68GB655G37</v>
          </cell>
          <cell r="HD92" t="str">
            <v>Repair Shop</v>
          </cell>
          <cell r="HT92" t="b">
            <v>0</v>
          </cell>
          <cell r="HU92" t="str">
            <v>PHILLIPS 66</v>
          </cell>
        </row>
        <row r="93">
          <cell r="A93">
            <v>5708</v>
          </cell>
          <cell r="B93" t="str">
            <v>VEM1607</v>
          </cell>
          <cell r="D93" t="str">
            <v>P66</v>
          </cell>
          <cell r="F93" t="str">
            <v>Baldor</v>
          </cell>
          <cell r="H93" t="str">
            <v>Z1603210260</v>
          </cell>
          <cell r="I93" t="str">
            <v>254T</v>
          </cell>
          <cell r="K93" t="str">
            <v>15</v>
          </cell>
          <cell r="L93" t="str">
            <v>3520</v>
          </cell>
          <cell r="N93" t="str">
            <v>308</v>
          </cell>
          <cell r="P93" t="str">
            <v>TEFC</v>
          </cell>
          <cell r="R93" t="str">
            <v>Continuous</v>
          </cell>
          <cell r="U93" t="str">
            <v>40</v>
          </cell>
          <cell r="V93" t="str">
            <v>3</v>
          </cell>
          <cell r="W93" t="str">
            <v>60</v>
          </cell>
          <cell r="X93" t="str">
            <v>460</v>
          </cell>
          <cell r="Y93" t="str">
            <v>17</v>
          </cell>
          <cell r="AA93" t="str">
            <v>F1</v>
          </cell>
          <cell r="AG93" t="str">
            <v>HP</v>
          </cell>
          <cell r="AI93" t="str">
            <v>6309</v>
          </cell>
          <cell r="AJ93" t="str">
            <v>6309</v>
          </cell>
          <cell r="AO93" t="str">
            <v>B</v>
          </cell>
          <cell r="AP93" t="str">
            <v>G</v>
          </cell>
          <cell r="AQ93" t="str">
            <v>F</v>
          </cell>
          <cell r="AR93" t="str">
            <v>89</v>
          </cell>
          <cell r="AS93" t="str">
            <v>1.15</v>
          </cell>
          <cell r="AT93" t="str">
            <v>91</v>
          </cell>
          <cell r="AU93" t="str">
            <v>096557Y948</v>
          </cell>
          <cell r="AV93" t="b">
            <v>0</v>
          </cell>
          <cell r="HD93" t="str">
            <v>Repair Shop</v>
          </cell>
          <cell r="HT93" t="b">
            <v>0</v>
          </cell>
          <cell r="HU93" t="str">
            <v>PHILLIPS 66</v>
          </cell>
        </row>
        <row r="94">
          <cell r="A94">
            <v>5707</v>
          </cell>
          <cell r="B94" t="str">
            <v>VEM1606</v>
          </cell>
          <cell r="D94" t="str">
            <v>P66</v>
          </cell>
          <cell r="F94" t="str">
            <v>Emerson</v>
          </cell>
          <cell r="G94" t="str">
            <v>BJ09</v>
          </cell>
          <cell r="K94" t="str">
            <v>20</v>
          </cell>
          <cell r="L94" t="str">
            <v>1770</v>
          </cell>
          <cell r="M94" t="str">
            <v>CE</v>
          </cell>
          <cell r="N94" t="str">
            <v>340</v>
          </cell>
          <cell r="P94" t="str">
            <v>TEFC</v>
          </cell>
          <cell r="R94" t="str">
            <v>Continuous</v>
          </cell>
          <cell r="U94" t="str">
            <v>40</v>
          </cell>
          <cell r="V94" t="str">
            <v>3</v>
          </cell>
          <cell r="W94" t="str">
            <v>60</v>
          </cell>
          <cell r="X94" t="str">
            <v>460</v>
          </cell>
          <cell r="Y94" t="str">
            <v>23.80</v>
          </cell>
          <cell r="AA94" t="str">
            <v>F1</v>
          </cell>
          <cell r="AG94" t="str">
            <v>HP</v>
          </cell>
          <cell r="AI94" t="str">
            <v>45BC03J3</v>
          </cell>
          <cell r="AJ94" t="str">
            <v>45BC03J3</v>
          </cell>
          <cell r="AO94" t="str">
            <v>B</v>
          </cell>
          <cell r="AP94" t="str">
            <v>G</v>
          </cell>
          <cell r="AQ94" t="str">
            <v>F</v>
          </cell>
          <cell r="AR94" t="str">
            <v>84.6</v>
          </cell>
          <cell r="AS94" t="str">
            <v>1.15</v>
          </cell>
          <cell r="AT94" t="str">
            <v>93.0</v>
          </cell>
          <cell r="AV94" t="b">
            <v>0</v>
          </cell>
          <cell r="EW94" t="str">
            <v>8P20P2C</v>
          </cell>
          <cell r="EX94" t="str">
            <v>R 04 7419893-0026 H 0003</v>
          </cell>
          <cell r="HD94" t="str">
            <v>Repair Shop</v>
          </cell>
          <cell r="HT94" t="b">
            <v>0</v>
          </cell>
          <cell r="HU94" t="str">
            <v>PHILLIPS 66</v>
          </cell>
        </row>
        <row r="95">
          <cell r="A95">
            <v>5706</v>
          </cell>
          <cell r="B95" t="str">
            <v>VEM1605</v>
          </cell>
          <cell r="D95" t="str">
            <v>P66</v>
          </cell>
          <cell r="F95" t="str">
            <v>Toshiba</v>
          </cell>
          <cell r="G95" t="str">
            <v>2J4010L16AHHJB01</v>
          </cell>
          <cell r="H95" t="str">
            <v>010705754</v>
          </cell>
          <cell r="I95" t="str">
            <v>215T</v>
          </cell>
          <cell r="K95" t="str">
            <v>10</v>
          </cell>
          <cell r="L95" t="str">
            <v>3510</v>
          </cell>
          <cell r="M95" t="str">
            <v>1KKH</v>
          </cell>
          <cell r="P95" t="str">
            <v>TEFC</v>
          </cell>
          <cell r="R95" t="str">
            <v>Continuous</v>
          </cell>
          <cell r="U95" t="str">
            <v>40</v>
          </cell>
          <cell r="W95" t="str">
            <v>60</v>
          </cell>
          <cell r="X95" t="str">
            <v>460</v>
          </cell>
          <cell r="Y95" t="str">
            <v>11.5</v>
          </cell>
          <cell r="AA95" t="str">
            <v>F1</v>
          </cell>
          <cell r="AG95" t="str">
            <v>HP</v>
          </cell>
          <cell r="AI95" t="str">
            <v>40BC03J30X (6308C3)</v>
          </cell>
          <cell r="AJ95" t="str">
            <v>40BC03J30X (6308C3)</v>
          </cell>
          <cell r="AO95" t="str">
            <v>B</v>
          </cell>
          <cell r="AP95" t="str">
            <v>H</v>
          </cell>
          <cell r="AQ95" t="str">
            <v>F</v>
          </cell>
          <cell r="AR95" t="str">
            <v>89.5</v>
          </cell>
          <cell r="AS95" t="str">
            <v>1.0</v>
          </cell>
          <cell r="AT95" t="str">
            <v>90.2</v>
          </cell>
          <cell r="AV95" t="b">
            <v>0</v>
          </cell>
          <cell r="AX95" t="str">
            <v>2</v>
          </cell>
          <cell r="HD95" t="str">
            <v>Repair Shop</v>
          </cell>
          <cell r="HT95" t="b">
            <v>0</v>
          </cell>
          <cell r="HU95" t="str">
            <v>PHILLIPS 66</v>
          </cell>
        </row>
        <row r="96">
          <cell r="A96">
            <v>5705</v>
          </cell>
          <cell r="B96" t="str">
            <v>VEM1604</v>
          </cell>
          <cell r="D96" t="str">
            <v>P66</v>
          </cell>
          <cell r="F96" t="str">
            <v>Westinghouse</v>
          </cell>
          <cell r="G96" t="str">
            <v>TAFC</v>
          </cell>
          <cell r="H96" t="str">
            <v>6904</v>
          </cell>
          <cell r="I96" t="str">
            <v>364TS</v>
          </cell>
          <cell r="K96" t="str">
            <v>60</v>
          </cell>
          <cell r="L96" t="str">
            <v>3555</v>
          </cell>
          <cell r="P96" t="str">
            <v>TEFC</v>
          </cell>
          <cell r="U96" t="str">
            <v>40</v>
          </cell>
          <cell r="V96" t="str">
            <v>3</v>
          </cell>
          <cell r="W96" t="str">
            <v>60</v>
          </cell>
          <cell r="X96" t="str">
            <v>230/460</v>
          </cell>
          <cell r="Y96" t="str">
            <v>134/67</v>
          </cell>
          <cell r="AA96" t="str">
            <v>F1</v>
          </cell>
          <cell r="AG96" t="str">
            <v>HP</v>
          </cell>
          <cell r="AI96" t="str">
            <v>2736D30G03</v>
          </cell>
          <cell r="AJ96" t="str">
            <v>2736D30G03</v>
          </cell>
          <cell r="AP96" t="str">
            <v>G</v>
          </cell>
          <cell r="AQ96" t="str">
            <v>B</v>
          </cell>
          <cell r="AS96" t="str">
            <v>1.0</v>
          </cell>
          <cell r="AV96" t="b">
            <v>0</v>
          </cell>
          <cell r="EY96" t="str">
            <v>680B104G29</v>
          </cell>
          <cell r="HD96" t="str">
            <v>Repair Shop</v>
          </cell>
          <cell r="HT96" t="b">
            <v>0</v>
          </cell>
          <cell r="HU96" t="str">
            <v>PHILLIPS 66</v>
          </cell>
        </row>
        <row r="97">
          <cell r="A97">
            <v>5704</v>
          </cell>
          <cell r="B97" t="str">
            <v>VEM1603</v>
          </cell>
          <cell r="D97" t="str">
            <v>P66</v>
          </cell>
          <cell r="F97" t="str">
            <v>SIEMENS-ALLIS</v>
          </cell>
          <cell r="G97" t="str">
            <v>114</v>
          </cell>
          <cell r="H97" t="str">
            <v>1-5141-38620-1-1</v>
          </cell>
          <cell r="I97" t="str">
            <v>447TS</v>
          </cell>
          <cell r="K97" t="str">
            <v>150</v>
          </cell>
          <cell r="L97" t="str">
            <v>3575</v>
          </cell>
          <cell r="M97" t="str">
            <v>RGZ-CH</v>
          </cell>
          <cell r="P97" t="str">
            <v>TEFC</v>
          </cell>
          <cell r="R97" t="str">
            <v>Continuous</v>
          </cell>
          <cell r="U97" t="str">
            <v>40</v>
          </cell>
          <cell r="V97" t="str">
            <v>3</v>
          </cell>
          <cell r="W97" t="str">
            <v>60</v>
          </cell>
          <cell r="X97" t="str">
            <v>2300</v>
          </cell>
          <cell r="Y97" t="str">
            <v>34.6</v>
          </cell>
          <cell r="AA97" t="str">
            <v>F1</v>
          </cell>
          <cell r="AG97" t="str">
            <v>HP</v>
          </cell>
          <cell r="AI97" t="str">
            <v>65BC03JPP3</v>
          </cell>
          <cell r="AJ97" t="str">
            <v>65BC03JPP3</v>
          </cell>
          <cell r="AO97" t="str">
            <v>B</v>
          </cell>
          <cell r="AP97" t="str">
            <v>G</v>
          </cell>
          <cell r="AQ97" t="str">
            <v>F</v>
          </cell>
          <cell r="AS97" t="str">
            <v>1.15</v>
          </cell>
          <cell r="AV97" t="b">
            <v>0</v>
          </cell>
          <cell r="HD97" t="str">
            <v>Repair Shop</v>
          </cell>
          <cell r="HT97" t="b">
            <v>0</v>
          </cell>
          <cell r="HU97" t="str">
            <v>PHILLIPS 66</v>
          </cell>
        </row>
        <row r="98">
          <cell r="A98">
            <v>5703</v>
          </cell>
          <cell r="B98" t="str">
            <v>VEM1602</v>
          </cell>
          <cell r="D98" t="str">
            <v>UNICO</v>
          </cell>
          <cell r="F98" t="str">
            <v>Reliance</v>
          </cell>
          <cell r="I98" t="str">
            <v>254HPZ</v>
          </cell>
          <cell r="K98" t="str">
            <v>15</v>
          </cell>
          <cell r="L98" t="str">
            <v>3535</v>
          </cell>
          <cell r="M98" t="str">
            <v>P</v>
          </cell>
          <cell r="P98" t="str">
            <v>TEFC</v>
          </cell>
          <cell r="R98" t="str">
            <v>Continuous</v>
          </cell>
          <cell r="U98" t="str">
            <v>40</v>
          </cell>
          <cell r="V98" t="str">
            <v>3</v>
          </cell>
          <cell r="W98" t="str">
            <v>60</v>
          </cell>
          <cell r="X98" t="str">
            <v>230/460</v>
          </cell>
          <cell r="Y98" t="str">
            <v>34/17</v>
          </cell>
          <cell r="AA98" t="str">
            <v>Vertical</v>
          </cell>
          <cell r="AG98" t="str">
            <v>HP</v>
          </cell>
          <cell r="AI98" t="str">
            <v>55BC03X30X26</v>
          </cell>
          <cell r="AJ98" t="str">
            <v>45BC03X30X26</v>
          </cell>
          <cell r="AO98" t="str">
            <v>B</v>
          </cell>
          <cell r="AP98" t="str">
            <v>G</v>
          </cell>
          <cell r="AQ98" t="str">
            <v>F</v>
          </cell>
          <cell r="AS98" t="str">
            <v>1.15</v>
          </cell>
          <cell r="AT98" t="str">
            <v>90.2</v>
          </cell>
          <cell r="AV98" t="b">
            <v>0</v>
          </cell>
          <cell r="EX98" t="str">
            <v>1MAF5093-G1-TH</v>
          </cell>
          <cell r="HD98" t="str">
            <v>Repair Shop</v>
          </cell>
          <cell r="HT98" t="b">
            <v>0</v>
          </cell>
          <cell r="HU98" t="str">
            <v>UNICO MECHANICAL CORP.</v>
          </cell>
        </row>
        <row r="99">
          <cell r="A99">
            <v>5702</v>
          </cell>
          <cell r="B99" t="str">
            <v>VEM1601</v>
          </cell>
          <cell r="D99" t="str">
            <v>P66CARBON</v>
          </cell>
          <cell r="AG99" t="str">
            <v>HP</v>
          </cell>
          <cell r="AV99" t="b">
            <v>0</v>
          </cell>
          <cell r="HD99" t="str">
            <v>Repair Shop</v>
          </cell>
          <cell r="HT99" t="b">
            <v>0</v>
          </cell>
          <cell r="HU99" t="str">
            <v>PHILLIPS 66 CARBON PLANT</v>
          </cell>
        </row>
        <row r="100">
          <cell r="A100">
            <v>5701</v>
          </cell>
          <cell r="B100" t="str">
            <v>VEM1600</v>
          </cell>
          <cell r="D100" t="str">
            <v>SYAR</v>
          </cell>
          <cell r="F100" t="str">
            <v>Baldor</v>
          </cell>
          <cell r="H100" t="str">
            <v>Z0603280030</v>
          </cell>
          <cell r="I100" t="str">
            <v>326JM</v>
          </cell>
          <cell r="K100" t="str">
            <v>50</v>
          </cell>
          <cell r="L100" t="str">
            <v>3525</v>
          </cell>
          <cell r="P100" t="str">
            <v>TEFFC</v>
          </cell>
          <cell r="R100" t="str">
            <v>Continuous</v>
          </cell>
          <cell r="U100" t="str">
            <v>40</v>
          </cell>
          <cell r="V100" t="str">
            <v>3</v>
          </cell>
          <cell r="W100" t="str">
            <v>60</v>
          </cell>
          <cell r="X100" t="str">
            <v>230/460</v>
          </cell>
          <cell r="Y100" t="str">
            <v>112/56</v>
          </cell>
          <cell r="AA100" t="str">
            <v>F1</v>
          </cell>
          <cell r="AD100" t="str">
            <v>0</v>
          </cell>
          <cell r="AG100" t="str">
            <v>HP</v>
          </cell>
          <cell r="AI100" t="str">
            <v>6312</v>
          </cell>
          <cell r="AJ100" t="str">
            <v>6309</v>
          </cell>
          <cell r="AO100" t="str">
            <v>B</v>
          </cell>
          <cell r="AP100" t="str">
            <v>H</v>
          </cell>
          <cell r="AQ100" t="str">
            <v>F</v>
          </cell>
          <cell r="AR100" t="str">
            <v>90</v>
          </cell>
          <cell r="AS100" t="str">
            <v>1.15</v>
          </cell>
          <cell r="AT100" t="str">
            <v>92.4</v>
          </cell>
          <cell r="AU100" t="str">
            <v>10F606X656C1</v>
          </cell>
          <cell r="AV100" t="b">
            <v>0</v>
          </cell>
          <cell r="EW100" t="str">
            <v>JMM4114T</v>
          </cell>
          <cell r="HD100" t="str">
            <v>Repair Shop</v>
          </cell>
          <cell r="HT100" t="b">
            <v>0</v>
          </cell>
          <cell r="HU100" t="str">
            <v>SYAR INDUSTRIES</v>
          </cell>
        </row>
        <row r="101">
          <cell r="A101">
            <v>5700</v>
          </cell>
          <cell r="B101" t="str">
            <v>VEM1599</v>
          </cell>
          <cell r="D101" t="str">
            <v>ALLIEDMACHINE</v>
          </cell>
          <cell r="F101" t="str">
            <v>GE</v>
          </cell>
          <cell r="G101" t="str">
            <v>5KG4256Y9Y20</v>
          </cell>
          <cell r="H101" t="str">
            <v>NV 154024</v>
          </cell>
          <cell r="I101" t="str">
            <v>256Y</v>
          </cell>
          <cell r="K101" t="str">
            <v>7.5/2.5</v>
          </cell>
          <cell r="L101" t="str">
            <v>1740/555</v>
          </cell>
          <cell r="M101" t="str">
            <v>KG</v>
          </cell>
          <cell r="P101" t="str">
            <v>TEFC</v>
          </cell>
          <cell r="R101" t="str">
            <v>Continuous</v>
          </cell>
          <cell r="V101" t="str">
            <v>3</v>
          </cell>
          <cell r="W101" t="str">
            <v>60</v>
          </cell>
          <cell r="X101" t="str">
            <v>220</v>
          </cell>
          <cell r="Y101" t="str">
            <v>19.5/11.9</v>
          </cell>
          <cell r="AG101" t="str">
            <v>HP</v>
          </cell>
          <cell r="AP101" t="str">
            <v>B</v>
          </cell>
          <cell r="AS101" t="str">
            <v>1.0</v>
          </cell>
          <cell r="AV101" t="b">
            <v>0</v>
          </cell>
          <cell r="HD101" t="str">
            <v>Repair Shop</v>
          </cell>
          <cell r="HT101" t="b">
            <v>0</v>
          </cell>
          <cell r="HU101" t="str">
            <v>ALLIED MACHINE</v>
          </cell>
        </row>
        <row r="102">
          <cell r="A102">
            <v>5699</v>
          </cell>
          <cell r="B102" t="str">
            <v>VEM1598</v>
          </cell>
          <cell r="D102" t="str">
            <v>TESORO</v>
          </cell>
          <cell r="F102" t="str">
            <v>Reliance</v>
          </cell>
          <cell r="I102" t="str">
            <v>449TS</v>
          </cell>
          <cell r="K102" t="str">
            <v>200</v>
          </cell>
          <cell r="L102" t="str">
            <v>3575</v>
          </cell>
          <cell r="M102" t="str">
            <v>P</v>
          </cell>
          <cell r="N102" t="str">
            <v>2380</v>
          </cell>
          <cell r="P102" t="str">
            <v>TEFC</v>
          </cell>
          <cell r="R102" t="str">
            <v>Continuous</v>
          </cell>
          <cell r="U102" t="str">
            <v>40</v>
          </cell>
          <cell r="V102" t="str">
            <v>3</v>
          </cell>
          <cell r="W102" t="str">
            <v>60</v>
          </cell>
          <cell r="X102" t="str">
            <v>2300</v>
          </cell>
          <cell r="Y102" t="str">
            <v>42.8</v>
          </cell>
          <cell r="AA102" t="str">
            <v>F1</v>
          </cell>
          <cell r="AD102" t="str">
            <v>0</v>
          </cell>
          <cell r="AG102" t="str">
            <v>HP</v>
          </cell>
          <cell r="AI102" t="str">
            <v>65BC03J30X</v>
          </cell>
          <cell r="AJ102" t="str">
            <v>65BC03J30X</v>
          </cell>
          <cell r="AO102" t="str">
            <v>B</v>
          </cell>
          <cell r="AP102" t="str">
            <v>F</v>
          </cell>
          <cell r="AQ102" t="str">
            <v>F</v>
          </cell>
          <cell r="AS102" t="str">
            <v>1.15</v>
          </cell>
          <cell r="AT102" t="str">
            <v>95.4</v>
          </cell>
          <cell r="AV102" t="b">
            <v>0</v>
          </cell>
          <cell r="EX102" t="str">
            <v>01MVN24820 G 001 SX</v>
          </cell>
          <cell r="GK102" t="str">
            <v>WO# 9177532</v>
          </cell>
          <cell r="HD102" t="str">
            <v>Repair Shop</v>
          </cell>
          <cell r="HT102" t="b">
            <v>0</v>
          </cell>
          <cell r="HU102" t="str">
            <v>TESORO REFINING &amp; MARKETING</v>
          </cell>
        </row>
        <row r="103">
          <cell r="A103">
            <v>5698</v>
          </cell>
          <cell r="B103" t="str">
            <v>VEM1597</v>
          </cell>
          <cell r="D103" t="str">
            <v>P66</v>
          </cell>
          <cell r="F103" t="str">
            <v>ALLIS-CHALMERS</v>
          </cell>
          <cell r="H103" t="str">
            <v>51-350-918</v>
          </cell>
          <cell r="I103" t="str">
            <v>254HPZ</v>
          </cell>
          <cell r="K103" t="str">
            <v>15</v>
          </cell>
          <cell r="L103" t="str">
            <v>3510</v>
          </cell>
          <cell r="M103" t="str">
            <v>RGZV-IL</v>
          </cell>
          <cell r="P103" t="str">
            <v>TEFC</v>
          </cell>
          <cell r="R103" t="str">
            <v>Continuous</v>
          </cell>
          <cell r="U103" t="str">
            <v>40</v>
          </cell>
          <cell r="V103" t="str">
            <v>3</v>
          </cell>
          <cell r="W103" t="str">
            <v>60</v>
          </cell>
          <cell r="X103" t="str">
            <v>460</v>
          </cell>
          <cell r="Y103" t="str">
            <v>19.1</v>
          </cell>
          <cell r="AA103" t="str">
            <v>Vertical</v>
          </cell>
          <cell r="AG103" t="str">
            <v>HP</v>
          </cell>
          <cell r="AO103" t="str">
            <v>B</v>
          </cell>
          <cell r="AP103" t="str">
            <v>G</v>
          </cell>
          <cell r="AQ103" t="str">
            <v>B</v>
          </cell>
          <cell r="AS103" t="str">
            <v>1.0</v>
          </cell>
          <cell r="AV103" t="b">
            <v>0</v>
          </cell>
          <cell r="GK103" t="str">
            <v>WO: 62074158</v>
          </cell>
          <cell r="HD103" t="str">
            <v>Repair Shop</v>
          </cell>
          <cell r="HT103" t="b">
            <v>0</v>
          </cell>
          <cell r="HU103" t="str">
            <v>PHILLIPS 66</v>
          </cell>
        </row>
        <row r="104">
          <cell r="A104">
            <v>5695</v>
          </cell>
          <cell r="B104" t="str">
            <v>VEM1596</v>
          </cell>
          <cell r="D104" t="str">
            <v>VALERO</v>
          </cell>
          <cell r="AG104" t="str">
            <v>HP</v>
          </cell>
          <cell r="AV104" t="b">
            <v>0</v>
          </cell>
          <cell r="HD104" t="str">
            <v>Repair Shop</v>
          </cell>
          <cell r="HT104" t="b">
            <v>0</v>
          </cell>
          <cell r="HU104" t="str">
            <v>VALERO REFINING CO. BENICIA</v>
          </cell>
        </row>
        <row r="105">
          <cell r="A105">
            <v>5694</v>
          </cell>
          <cell r="B105" t="str">
            <v>VEM1595</v>
          </cell>
          <cell r="D105" t="str">
            <v>CDC</v>
          </cell>
          <cell r="F105" t="str">
            <v>MARATHONG</v>
          </cell>
          <cell r="G105" t="str">
            <v>324VTDB7076</v>
          </cell>
          <cell r="H105" t="str">
            <v>8908003</v>
          </cell>
          <cell r="I105" t="str">
            <v>324TP</v>
          </cell>
          <cell r="K105" t="str">
            <v>25</v>
          </cell>
          <cell r="L105" t="str">
            <v>1180</v>
          </cell>
          <cell r="M105" t="str">
            <v>TDR</v>
          </cell>
          <cell r="N105" t="str">
            <v>781</v>
          </cell>
          <cell r="P105" t="str">
            <v>WP1</v>
          </cell>
          <cell r="R105" t="str">
            <v>Continuous</v>
          </cell>
          <cell r="V105" t="str">
            <v>3</v>
          </cell>
          <cell r="W105" t="str">
            <v>60</v>
          </cell>
          <cell r="X105" t="str">
            <v>230/460</v>
          </cell>
          <cell r="Y105" t="str">
            <v>61.8/30.9</v>
          </cell>
          <cell r="AA105" t="str">
            <v>Vertical</v>
          </cell>
          <cell r="AD105" t="str">
            <v>0</v>
          </cell>
          <cell r="AG105" t="str">
            <v>HP</v>
          </cell>
          <cell r="AI105" t="str">
            <v>7219</v>
          </cell>
          <cell r="AJ105" t="str">
            <v>6312</v>
          </cell>
          <cell r="AV105" t="b">
            <v>0</v>
          </cell>
          <cell r="AX105" t="str">
            <v>6</v>
          </cell>
          <cell r="HD105" t="str">
            <v>Repair Shop</v>
          </cell>
          <cell r="HT105" t="b">
            <v>0</v>
          </cell>
          <cell r="HU105" t="str">
            <v>VACAVILLE PRISON</v>
          </cell>
        </row>
        <row r="106">
          <cell r="A106">
            <v>5693</v>
          </cell>
          <cell r="B106" t="str">
            <v>VEM1594</v>
          </cell>
          <cell r="D106" t="str">
            <v>INTEGRATED</v>
          </cell>
          <cell r="F106" t="str">
            <v>GE</v>
          </cell>
          <cell r="G106" t="str">
            <v>5K6266XK81A</v>
          </cell>
          <cell r="H106" t="str">
            <v>KLJ1008139</v>
          </cell>
          <cell r="I106" t="str">
            <v>365TP16</v>
          </cell>
          <cell r="K106" t="str">
            <v>50</v>
          </cell>
          <cell r="L106" t="str">
            <v>1175</v>
          </cell>
          <cell r="M106" t="str">
            <v>K</v>
          </cell>
          <cell r="P106" t="str">
            <v>TEFC</v>
          </cell>
          <cell r="R106" t="str">
            <v>Continuous</v>
          </cell>
          <cell r="U106" t="str">
            <v>40</v>
          </cell>
          <cell r="V106" t="str">
            <v>3</v>
          </cell>
          <cell r="W106" t="str">
            <v>60</v>
          </cell>
          <cell r="X106" t="str">
            <v>230/460</v>
          </cell>
          <cell r="Y106" t="str">
            <v>129/64.5</v>
          </cell>
          <cell r="AA106" t="str">
            <v>Vertical</v>
          </cell>
          <cell r="AD106" t="str">
            <v>-1</v>
          </cell>
          <cell r="AG106" t="str">
            <v>HP</v>
          </cell>
          <cell r="AI106" t="str">
            <v>629A219ABG001</v>
          </cell>
          <cell r="AJ106" t="str">
            <v>5903493P016</v>
          </cell>
          <cell r="AO106" t="str">
            <v>B</v>
          </cell>
          <cell r="AP106" t="str">
            <v>G</v>
          </cell>
          <cell r="AQ106" t="str">
            <v>F</v>
          </cell>
          <cell r="AS106" t="str">
            <v>1.00</v>
          </cell>
          <cell r="AV106" t="b">
            <v>0</v>
          </cell>
          <cell r="HD106" t="str">
            <v>Repair Shop</v>
          </cell>
          <cell r="HT106" t="b">
            <v>0</v>
          </cell>
          <cell r="HU106" t="str">
            <v>INTEGRATED TURBO MACHINERY, INC.</v>
          </cell>
        </row>
        <row r="107">
          <cell r="A107">
            <v>5692</v>
          </cell>
          <cell r="B107" t="str">
            <v>VEM1593</v>
          </cell>
          <cell r="D107" t="str">
            <v>USCOASTGUARD</v>
          </cell>
          <cell r="F107" t="str">
            <v>Baldor</v>
          </cell>
          <cell r="H107" t="str">
            <v>F696</v>
          </cell>
          <cell r="I107" t="str">
            <v>56CZ</v>
          </cell>
          <cell r="K107" t="str">
            <v>1/2-.13</v>
          </cell>
          <cell r="L107" t="str">
            <v>3450/1725</v>
          </cell>
          <cell r="P107" t="str">
            <v>TEFC</v>
          </cell>
          <cell r="R107" t="str">
            <v>Continuous</v>
          </cell>
          <cell r="U107" t="str">
            <v>50</v>
          </cell>
          <cell r="V107" t="str">
            <v>3</v>
          </cell>
          <cell r="W107" t="str">
            <v>60</v>
          </cell>
          <cell r="X107" t="str">
            <v>440</v>
          </cell>
          <cell r="Y107" t="str">
            <v>.9/.35</v>
          </cell>
          <cell r="AA107" t="str">
            <v>F1</v>
          </cell>
          <cell r="AG107" t="str">
            <v>HP</v>
          </cell>
          <cell r="AO107" t="str">
            <v>B</v>
          </cell>
          <cell r="AP107" t="str">
            <v>L</v>
          </cell>
          <cell r="AQ107" t="str">
            <v>F</v>
          </cell>
          <cell r="AS107" t="str">
            <v>1.00</v>
          </cell>
          <cell r="AU107" t="str">
            <v>35M991S381C1</v>
          </cell>
          <cell r="AV107" t="b">
            <v>0</v>
          </cell>
          <cell r="EW107" t="str">
            <v>B400-600-452</v>
          </cell>
          <cell r="HD107" t="str">
            <v>Repair Shop</v>
          </cell>
          <cell r="HT107" t="b">
            <v>0</v>
          </cell>
          <cell r="HU107" t="str">
            <v>USCOASTGUARD</v>
          </cell>
        </row>
        <row r="108">
          <cell r="A108">
            <v>5691</v>
          </cell>
          <cell r="B108" t="str">
            <v>VEM1592</v>
          </cell>
          <cell r="D108" t="str">
            <v>USCOASTGUARD</v>
          </cell>
          <cell r="F108" t="str">
            <v>Baldor</v>
          </cell>
          <cell r="H108" t="str">
            <v>F696</v>
          </cell>
          <cell r="I108" t="str">
            <v>56CZ</v>
          </cell>
          <cell r="K108" t="str">
            <v>1/2-.13</v>
          </cell>
          <cell r="L108" t="str">
            <v>3450/1725</v>
          </cell>
          <cell r="P108" t="str">
            <v>TEFC</v>
          </cell>
          <cell r="R108" t="str">
            <v>Continuous</v>
          </cell>
          <cell r="U108" t="str">
            <v>50</v>
          </cell>
          <cell r="V108" t="str">
            <v>3</v>
          </cell>
          <cell r="W108" t="str">
            <v>60</v>
          </cell>
          <cell r="X108" t="str">
            <v>440</v>
          </cell>
          <cell r="Y108" t="str">
            <v>.9/.35</v>
          </cell>
          <cell r="AA108" t="str">
            <v>F1</v>
          </cell>
          <cell r="AG108" t="str">
            <v>HP</v>
          </cell>
          <cell r="AO108" t="str">
            <v>B</v>
          </cell>
          <cell r="AP108" t="str">
            <v>L</v>
          </cell>
          <cell r="AQ108" t="str">
            <v>F</v>
          </cell>
          <cell r="AS108" t="str">
            <v>1.00</v>
          </cell>
          <cell r="AU108" t="str">
            <v>35M991S381G1</v>
          </cell>
          <cell r="AV108" t="b">
            <v>0</v>
          </cell>
          <cell r="EW108" t="str">
            <v>B400-600-452</v>
          </cell>
          <cell r="HD108" t="str">
            <v>Repair Shop</v>
          </cell>
          <cell r="HT108" t="b">
            <v>0</v>
          </cell>
          <cell r="HU108" t="str">
            <v>USCOASTGUARD</v>
          </cell>
        </row>
        <row r="109">
          <cell r="A109">
            <v>5690</v>
          </cell>
          <cell r="B109" t="str">
            <v>VEM1591</v>
          </cell>
          <cell r="D109" t="str">
            <v>CONHAGEN</v>
          </cell>
          <cell r="F109" t="str">
            <v>Reliance</v>
          </cell>
          <cell r="I109" t="str">
            <v>L 184T</v>
          </cell>
          <cell r="K109" t="str">
            <v>5</v>
          </cell>
          <cell r="L109" t="str">
            <v>1750</v>
          </cell>
          <cell r="M109" t="str">
            <v>P</v>
          </cell>
          <cell r="P109" t="str">
            <v>TEFC</v>
          </cell>
          <cell r="R109" t="str">
            <v>Continuous</v>
          </cell>
          <cell r="U109" t="str">
            <v>40</v>
          </cell>
          <cell r="V109" t="str">
            <v>3</v>
          </cell>
          <cell r="W109" t="str">
            <v>60</v>
          </cell>
          <cell r="X109" t="str">
            <v>230/460</v>
          </cell>
          <cell r="Y109" t="str">
            <v>13.2/6.60</v>
          </cell>
          <cell r="AA109" t="str">
            <v>F1</v>
          </cell>
          <cell r="AG109" t="str">
            <v>HP</v>
          </cell>
          <cell r="AI109" t="str">
            <v>30BC02J30X</v>
          </cell>
          <cell r="AJ109" t="str">
            <v>25BC02J30X</v>
          </cell>
          <cell r="AO109" t="str">
            <v>B</v>
          </cell>
          <cell r="AP109" t="str">
            <v>J</v>
          </cell>
          <cell r="AQ109" t="str">
            <v>F</v>
          </cell>
          <cell r="AR109" t="str">
            <v>79.7</v>
          </cell>
          <cell r="AS109" t="str">
            <v>1.15</v>
          </cell>
          <cell r="AT109" t="str">
            <v>89.5</v>
          </cell>
          <cell r="AV109" t="b">
            <v>0</v>
          </cell>
          <cell r="EX109" t="str">
            <v>P18G3438-8</v>
          </cell>
          <cell r="HD109" t="str">
            <v>Repair Shop</v>
          </cell>
          <cell r="HT109" t="b">
            <v>0</v>
          </cell>
          <cell r="HU109" t="str">
            <v>ALFRED CONHAGEN CO. OF CA</v>
          </cell>
        </row>
        <row r="110">
          <cell r="A110">
            <v>5689</v>
          </cell>
          <cell r="B110" t="str">
            <v>VEM1590</v>
          </cell>
          <cell r="D110" t="str">
            <v>CONHAGEN</v>
          </cell>
          <cell r="F110" t="str">
            <v>TECO WESTINGHOUSE</v>
          </cell>
          <cell r="H110" t="str">
            <v>NBP3161469017</v>
          </cell>
          <cell r="I110" t="str">
            <v>184T</v>
          </cell>
          <cell r="K110" t="str">
            <v>5</v>
          </cell>
          <cell r="L110" t="str">
            <v>1745</v>
          </cell>
          <cell r="M110" t="str">
            <v>AEHH8N</v>
          </cell>
          <cell r="N110" t="str">
            <v>111</v>
          </cell>
          <cell r="P110" t="str">
            <v>TEFC</v>
          </cell>
          <cell r="R110" t="str">
            <v>Continuous</v>
          </cell>
          <cell r="U110" t="str">
            <v>40</v>
          </cell>
          <cell r="V110" t="str">
            <v>3</v>
          </cell>
          <cell r="W110" t="str">
            <v>60</v>
          </cell>
          <cell r="X110" t="str">
            <v>230/460</v>
          </cell>
          <cell r="Y110" t="str">
            <v>12.2/6.12</v>
          </cell>
          <cell r="AA110" t="str">
            <v>F1</v>
          </cell>
          <cell r="AG110" t="str">
            <v>HP</v>
          </cell>
          <cell r="AI110" t="str">
            <v>6306ZZ</v>
          </cell>
          <cell r="AJ110" t="str">
            <v>6306ZZ</v>
          </cell>
          <cell r="AO110" t="str">
            <v>B</v>
          </cell>
          <cell r="AP110" t="str">
            <v>J</v>
          </cell>
          <cell r="AQ110" t="str">
            <v>F</v>
          </cell>
          <cell r="AS110" t="str">
            <v>1.15</v>
          </cell>
          <cell r="AT110" t="str">
            <v>89.5</v>
          </cell>
          <cell r="AV110" t="b">
            <v>0</v>
          </cell>
          <cell r="AX110" t="str">
            <v>4</v>
          </cell>
          <cell r="EW110" t="str">
            <v>PDH0054</v>
          </cell>
          <cell r="HD110" t="str">
            <v>Repair Shop</v>
          </cell>
          <cell r="HT110" t="b">
            <v>0</v>
          </cell>
          <cell r="HU110" t="str">
            <v>ALFRED CONHAGEN CO. OF CA</v>
          </cell>
        </row>
        <row r="111">
          <cell r="A111">
            <v>5688</v>
          </cell>
          <cell r="B111" t="str">
            <v>VEM1589</v>
          </cell>
          <cell r="D111" t="str">
            <v>EDF RENEWABLES</v>
          </cell>
          <cell r="F111" t="str">
            <v>LUST</v>
          </cell>
          <cell r="G111" t="str">
            <v>FGVH 112LL-4-D-F-D-C</v>
          </cell>
          <cell r="H111" t="str">
            <v>000469796</v>
          </cell>
          <cell r="K111" t="str">
            <v>4,4/9,6</v>
          </cell>
          <cell r="L111" t="str">
            <v>1400/920</v>
          </cell>
          <cell r="P111" t="str">
            <v>Forced Vent</v>
          </cell>
          <cell r="R111" t="str">
            <v>Continuous</v>
          </cell>
          <cell r="U111" t="str">
            <v>50</v>
          </cell>
          <cell r="W111" t="str">
            <v>50/60</v>
          </cell>
          <cell r="AA111" t="str">
            <v>Vertical</v>
          </cell>
          <cell r="AD111" t="str">
            <v>-1</v>
          </cell>
          <cell r="AG111" t="str">
            <v>KW</v>
          </cell>
          <cell r="AV111" t="b">
            <v>0</v>
          </cell>
          <cell r="EP111" t="str">
            <v>288</v>
          </cell>
          <cell r="EQ111" t="str">
            <v>18/56</v>
          </cell>
          <cell r="ER111" t="str">
            <v>288</v>
          </cell>
          <cell r="ES111" t="str">
            <v>,76</v>
          </cell>
          <cell r="GK111" t="str">
            <v>BLOWER - 230VAC, ,61A, 140W, 2100RPM</v>
          </cell>
          <cell r="GL111" t="str">
            <v>BRAKE - 288VDC, ,17A, 50W, 100NM</v>
          </cell>
          <cell r="HD111" t="str">
            <v>Repair Shop</v>
          </cell>
          <cell r="HT111" t="b">
            <v>0</v>
          </cell>
          <cell r="HU111" t="str">
            <v>EDF RENEWABLES</v>
          </cell>
        </row>
        <row r="112">
          <cell r="A112">
            <v>5687</v>
          </cell>
          <cell r="B112" t="str">
            <v>VEM1588</v>
          </cell>
          <cell r="D112" t="str">
            <v>EDF RENEWABLES</v>
          </cell>
          <cell r="F112" t="str">
            <v>LUST</v>
          </cell>
          <cell r="G112" t="str">
            <v>FGVH 112LL-4-D-F-D-C</v>
          </cell>
          <cell r="H112" t="str">
            <v>000468241</v>
          </cell>
          <cell r="K112" t="str">
            <v>44/9,6</v>
          </cell>
          <cell r="L112" t="str">
            <v>1400/920</v>
          </cell>
          <cell r="P112" t="str">
            <v>Forced Vent</v>
          </cell>
          <cell r="R112" t="str">
            <v>Continuous</v>
          </cell>
          <cell r="U112" t="str">
            <v>50</v>
          </cell>
          <cell r="W112" t="str">
            <v>50/60</v>
          </cell>
          <cell r="AA112" t="str">
            <v>Vertical</v>
          </cell>
          <cell r="AG112" t="str">
            <v>KW</v>
          </cell>
          <cell r="AV112" t="b">
            <v>0</v>
          </cell>
          <cell r="EP112" t="str">
            <v>18/56</v>
          </cell>
          <cell r="EQ112" t="str">
            <v>288</v>
          </cell>
          <cell r="ER112" t="str">
            <v>288</v>
          </cell>
          <cell r="ES112" t="str">
            <v>,76</v>
          </cell>
          <cell r="GK112" t="str">
            <v>BLOWER - 230VAC, ,61A, 140W, 2100RPM</v>
          </cell>
          <cell r="GL112" t="str">
            <v>BRAKE - 288VDC, ,17A, 50W, 100NM</v>
          </cell>
          <cell r="HD112" t="str">
            <v>Repair Shop</v>
          </cell>
          <cell r="HT112" t="b">
            <v>0</v>
          </cell>
          <cell r="HU112" t="str">
            <v>EDF RENEWABLES</v>
          </cell>
        </row>
        <row r="113">
          <cell r="A113">
            <v>5686</v>
          </cell>
          <cell r="B113" t="str">
            <v>VEM1587</v>
          </cell>
          <cell r="D113" t="str">
            <v>EDF RENEWABLES</v>
          </cell>
          <cell r="F113" t="str">
            <v>MOOG</v>
          </cell>
          <cell r="G113" t="str">
            <v>FGVH 112LL-4-D-F-D-C</v>
          </cell>
          <cell r="H113" t="str">
            <v>521763</v>
          </cell>
          <cell r="K113" t="str">
            <v>4,4/9,6</v>
          </cell>
          <cell r="L113" t="str">
            <v>1400/920</v>
          </cell>
          <cell r="P113" t="str">
            <v>Forced Vent</v>
          </cell>
          <cell r="R113" t="str">
            <v>Continuous</v>
          </cell>
          <cell r="U113" t="str">
            <v>50</v>
          </cell>
          <cell r="W113" t="str">
            <v>50/60</v>
          </cell>
          <cell r="AA113" t="str">
            <v>Vertical</v>
          </cell>
          <cell r="AG113" t="str">
            <v>KW</v>
          </cell>
          <cell r="AV113" t="b">
            <v>0</v>
          </cell>
          <cell r="EP113" t="str">
            <v>288</v>
          </cell>
          <cell r="EQ113" t="str">
            <v>18/56</v>
          </cell>
          <cell r="ER113" t="str">
            <v>288</v>
          </cell>
          <cell r="ES113" t="str">
            <v>,76</v>
          </cell>
          <cell r="GK113" t="str">
            <v>BLOWER - 230VAC, ,61A, 140W, 2100RPM, 50HZ</v>
          </cell>
          <cell r="GL113" t="str">
            <v>BRAKE - 288VDC, ,17A, 50W, 100NM</v>
          </cell>
          <cell r="HD113" t="str">
            <v>Repair Shop</v>
          </cell>
          <cell r="HT113" t="b">
            <v>0</v>
          </cell>
          <cell r="HU113" t="str">
            <v>EDF RENEWABLES</v>
          </cell>
        </row>
        <row r="114">
          <cell r="A114">
            <v>5685</v>
          </cell>
          <cell r="B114" t="str">
            <v>VEM1586</v>
          </cell>
          <cell r="D114" t="str">
            <v>EDF RENEWABLES</v>
          </cell>
          <cell r="F114" t="str">
            <v>LUST</v>
          </cell>
          <cell r="G114" t="str">
            <v>FGVH 112LL-4-D-F-D-C</v>
          </cell>
          <cell r="H114" t="str">
            <v>000464768</v>
          </cell>
          <cell r="K114" t="str">
            <v>4,4/9,6</v>
          </cell>
          <cell r="L114" t="str">
            <v>1400/920</v>
          </cell>
          <cell r="P114" t="str">
            <v>Forced Vent</v>
          </cell>
          <cell r="R114" t="str">
            <v>Continuous</v>
          </cell>
          <cell r="U114" t="str">
            <v>50</v>
          </cell>
          <cell r="W114" t="str">
            <v>50/60</v>
          </cell>
          <cell r="AA114" t="str">
            <v>Vertical</v>
          </cell>
          <cell r="AG114" t="str">
            <v>KW</v>
          </cell>
          <cell r="AV114" t="b">
            <v>0</v>
          </cell>
          <cell r="EP114" t="str">
            <v>288</v>
          </cell>
          <cell r="EQ114" t="str">
            <v>18/56</v>
          </cell>
          <cell r="ER114" t="str">
            <v>288</v>
          </cell>
          <cell r="ES114" t="str">
            <v>,76</v>
          </cell>
          <cell r="GK114" t="str">
            <v>BLOWER - 230VAC, ,61A, 140W, 2100RPM, 50/60HZ</v>
          </cell>
          <cell r="GL114" t="str">
            <v>BRAKE - 288VDC, ,17A, 50W, 100NM</v>
          </cell>
          <cell r="HD114" t="str">
            <v>Repair Shop</v>
          </cell>
          <cell r="HT114" t="b">
            <v>0</v>
          </cell>
          <cell r="HU114" t="str">
            <v>EDF RENEWABLES</v>
          </cell>
        </row>
        <row r="115">
          <cell r="A115">
            <v>5684</v>
          </cell>
          <cell r="B115" t="str">
            <v>VEM1585</v>
          </cell>
          <cell r="D115" t="str">
            <v>TIMET</v>
          </cell>
          <cell r="F115" t="str">
            <v>Baldor</v>
          </cell>
          <cell r="H115" t="str">
            <v>S8/97</v>
          </cell>
          <cell r="I115" t="str">
            <v>184TC</v>
          </cell>
          <cell r="K115" t="str">
            <v>3</v>
          </cell>
          <cell r="L115" t="str">
            <v>1750</v>
          </cell>
          <cell r="M115" t="str">
            <v>PM3649P</v>
          </cell>
          <cell r="P115" t="str">
            <v>TEFC</v>
          </cell>
          <cell r="R115" t="str">
            <v>Continuous</v>
          </cell>
          <cell r="U115" t="str">
            <v>40</v>
          </cell>
          <cell r="V115" t="str">
            <v>3</v>
          </cell>
          <cell r="X115" t="str">
            <v>180</v>
          </cell>
          <cell r="Y115" t="str">
            <v>14</v>
          </cell>
          <cell r="AA115" t="str">
            <v>F1</v>
          </cell>
          <cell r="AG115" t="str">
            <v>HP</v>
          </cell>
          <cell r="AI115" t="str">
            <v>6206</v>
          </cell>
          <cell r="AJ115" t="str">
            <v>6206</v>
          </cell>
          <cell r="AK115" t="str">
            <v>2/BP5031A01</v>
          </cell>
          <cell r="AQ115" t="str">
            <v>F</v>
          </cell>
          <cell r="AU115" t="str">
            <v>36P134Z507</v>
          </cell>
          <cell r="AV115" t="b">
            <v>0</v>
          </cell>
          <cell r="EW115" t="str">
            <v>CDP3603</v>
          </cell>
          <cell r="HD115" t="str">
            <v>Repair Shop</v>
          </cell>
          <cell r="HT115" t="b">
            <v>0</v>
          </cell>
          <cell r="HU115" t="str">
            <v>TIMET - TITANIUM METALS</v>
          </cell>
        </row>
        <row r="116">
          <cell r="A116">
            <v>5683</v>
          </cell>
          <cell r="B116" t="str">
            <v>VEM1584</v>
          </cell>
          <cell r="D116" t="str">
            <v>VALERO</v>
          </cell>
          <cell r="AG116" t="str">
            <v>HP</v>
          </cell>
          <cell r="AV116" t="b">
            <v>0</v>
          </cell>
          <cell r="HD116" t="str">
            <v>Repair Shop</v>
          </cell>
          <cell r="HT116" t="b">
            <v>0</v>
          </cell>
          <cell r="HU116" t="str">
            <v>VALERO REFINING CO. BENICIA</v>
          </cell>
        </row>
        <row r="117">
          <cell r="A117">
            <v>5682</v>
          </cell>
          <cell r="B117" t="str">
            <v>VEM1583</v>
          </cell>
          <cell r="D117" t="str">
            <v>VALLEJOSAN</v>
          </cell>
          <cell r="F117" t="str">
            <v>Wemco</v>
          </cell>
          <cell r="G117" t="str">
            <v>CLCESR</v>
          </cell>
          <cell r="I117" t="str">
            <v>X 210TY</v>
          </cell>
          <cell r="K117" t="str">
            <v>10</v>
          </cell>
          <cell r="L117" t="str">
            <v>1140</v>
          </cell>
          <cell r="R117" t="str">
            <v>Continuous</v>
          </cell>
          <cell r="V117" t="str">
            <v>3</v>
          </cell>
          <cell r="W117" t="str">
            <v>60</v>
          </cell>
          <cell r="X117" t="str">
            <v>460</v>
          </cell>
          <cell r="Y117" t="str">
            <v>16</v>
          </cell>
          <cell r="AA117" t="str">
            <v>Vertical</v>
          </cell>
          <cell r="AD117" t="str">
            <v>0</v>
          </cell>
          <cell r="AG117" t="str">
            <v>HP</v>
          </cell>
          <cell r="AP117" t="str">
            <v>H</v>
          </cell>
          <cell r="AQ117" t="str">
            <v>F</v>
          </cell>
          <cell r="AV117" t="b">
            <v>0</v>
          </cell>
          <cell r="AY117" t="str">
            <v>Wemco</v>
          </cell>
          <cell r="AZ117" t="str">
            <v>CLCESR</v>
          </cell>
          <cell r="BA117" t="str">
            <v>05DW05406-02</v>
          </cell>
          <cell r="BB117" t="str">
            <v>9-1 1/4</v>
          </cell>
          <cell r="BC117" t="str">
            <v>33</v>
          </cell>
          <cell r="BD117" t="str">
            <v>4  X  11</v>
          </cell>
          <cell r="BE117" t="str">
            <v>300</v>
          </cell>
          <cell r="BT117" t="str">
            <v>NI-H</v>
          </cell>
          <cell r="EX117" t="str">
            <v>6490385</v>
          </cell>
          <cell r="HD117" t="str">
            <v>Repair Shop</v>
          </cell>
          <cell r="HT117" t="b">
            <v>0</v>
          </cell>
          <cell r="HU117" t="str">
            <v>VALLEJO FLOOD &amp; WASTEWATER DISTRICT</v>
          </cell>
        </row>
        <row r="118">
          <cell r="A118">
            <v>5681</v>
          </cell>
          <cell r="B118" t="str">
            <v>VEM1582</v>
          </cell>
          <cell r="D118" t="str">
            <v>UNICO</v>
          </cell>
          <cell r="F118" t="str">
            <v>General Electric</v>
          </cell>
          <cell r="G118" t="str">
            <v>5K405AK322</v>
          </cell>
          <cell r="H118" t="str">
            <v>AJ062069</v>
          </cell>
          <cell r="I118" t="str">
            <v>405TS</v>
          </cell>
          <cell r="K118" t="str">
            <v>75</v>
          </cell>
          <cell r="L118" t="str">
            <v>1175</v>
          </cell>
          <cell r="M118" t="str">
            <v>K</v>
          </cell>
          <cell r="P118" t="str">
            <v>ODP</v>
          </cell>
          <cell r="R118" t="str">
            <v>Continuous</v>
          </cell>
          <cell r="U118" t="str">
            <v>40</v>
          </cell>
          <cell r="V118" t="str">
            <v>3</v>
          </cell>
          <cell r="W118" t="str">
            <v>60</v>
          </cell>
          <cell r="X118" t="str">
            <v>230/460</v>
          </cell>
          <cell r="Y118" t="str">
            <v>193/96.5</v>
          </cell>
          <cell r="AA118" t="str">
            <v>F1</v>
          </cell>
          <cell r="AD118" t="str">
            <v>-1</v>
          </cell>
          <cell r="AG118" t="str">
            <v>HP</v>
          </cell>
          <cell r="AO118" t="str">
            <v>B</v>
          </cell>
          <cell r="AP118" t="str">
            <v>G</v>
          </cell>
          <cell r="AQ118" t="str">
            <v>B</v>
          </cell>
          <cell r="AS118" t="str">
            <v>1.15</v>
          </cell>
          <cell r="AV118" t="b">
            <v>0</v>
          </cell>
          <cell r="HD118" t="str">
            <v>Repair Shop</v>
          </cell>
          <cell r="HT118" t="b">
            <v>0</v>
          </cell>
          <cell r="HU118" t="str">
            <v>UNICO MECHANICAL CORP.</v>
          </cell>
        </row>
        <row r="119">
          <cell r="A119">
            <v>5680</v>
          </cell>
          <cell r="B119" t="str">
            <v>VEM1581</v>
          </cell>
          <cell r="D119" t="str">
            <v>COUNTYASPHALT</v>
          </cell>
          <cell r="F119" t="str">
            <v>Nord</v>
          </cell>
          <cell r="K119" t="str">
            <v>100</v>
          </cell>
          <cell r="L119" t="str">
            <v>1788</v>
          </cell>
          <cell r="N119" t="str">
            <v>535 kg</v>
          </cell>
          <cell r="P119" t="str">
            <v>TEFC</v>
          </cell>
          <cell r="R119" t="str">
            <v>Continuous</v>
          </cell>
          <cell r="U119" t="str">
            <v>40</v>
          </cell>
          <cell r="V119" t="str">
            <v>3</v>
          </cell>
          <cell r="W119" t="str">
            <v>60</v>
          </cell>
          <cell r="X119" t="str">
            <v>460</v>
          </cell>
          <cell r="Y119" t="str">
            <v>118</v>
          </cell>
          <cell r="AG119" t="str">
            <v>HP</v>
          </cell>
          <cell r="AP119" t="str">
            <v>K</v>
          </cell>
          <cell r="AQ119" t="str">
            <v>F</v>
          </cell>
          <cell r="AR119" t="str">
            <v>.84</v>
          </cell>
          <cell r="AS119" t="str">
            <v>1.15</v>
          </cell>
          <cell r="AT119" t="str">
            <v>93.6</v>
          </cell>
          <cell r="AV119" t="b">
            <v>0</v>
          </cell>
          <cell r="HD119" t="str">
            <v>Repair Shop</v>
          </cell>
          <cell r="HT119" t="b">
            <v>0</v>
          </cell>
          <cell r="HU119" t="str">
            <v>COUNTY ASPHALT</v>
          </cell>
        </row>
        <row r="120">
          <cell r="A120">
            <v>5679</v>
          </cell>
          <cell r="B120" t="str">
            <v>VEM1580</v>
          </cell>
          <cell r="D120" t="str">
            <v>C&amp;H</v>
          </cell>
          <cell r="F120" t="str">
            <v>US Motors</v>
          </cell>
          <cell r="I120" t="str">
            <v>254T-32 TE</v>
          </cell>
          <cell r="K120" t="str">
            <v>15</v>
          </cell>
          <cell r="L120" t="str">
            <v>1760</v>
          </cell>
          <cell r="M120" t="str">
            <v>TFE-GDM</v>
          </cell>
          <cell r="P120" t="str">
            <v>TEFC</v>
          </cell>
          <cell r="R120" t="str">
            <v>Continuous</v>
          </cell>
          <cell r="U120" t="str">
            <v>40</v>
          </cell>
          <cell r="V120" t="str">
            <v>3</v>
          </cell>
          <cell r="W120" t="str">
            <v>60</v>
          </cell>
          <cell r="Y120" t="str">
            <v>39.2/19.6</v>
          </cell>
          <cell r="AA120" t="str">
            <v>F2</v>
          </cell>
          <cell r="AG120" t="str">
            <v>HP</v>
          </cell>
          <cell r="AO120" t="str">
            <v>B</v>
          </cell>
          <cell r="AP120" t="str">
            <v>G</v>
          </cell>
          <cell r="AQ120" t="str">
            <v>F</v>
          </cell>
          <cell r="AV120" t="b">
            <v>0</v>
          </cell>
          <cell r="BY120" t="str">
            <v>9.30</v>
          </cell>
          <cell r="BZ120" t="str">
            <v>1760</v>
          </cell>
          <cell r="CC120" t="str">
            <v>190</v>
          </cell>
          <cell r="CE120" t="str">
            <v>15</v>
          </cell>
          <cell r="EX120" t="str">
            <v>G14792/T02S2630549R-1</v>
          </cell>
          <cell r="HD120" t="str">
            <v>Repair Shop</v>
          </cell>
          <cell r="HT120" t="b">
            <v>0</v>
          </cell>
          <cell r="HU120" t="str">
            <v>C &amp; H SUGAR CO.</v>
          </cell>
        </row>
        <row r="121">
          <cell r="A121">
            <v>5678</v>
          </cell>
          <cell r="B121" t="str">
            <v>VEM1579</v>
          </cell>
          <cell r="D121" t="str">
            <v>P66</v>
          </cell>
          <cell r="F121" t="str">
            <v>Reliance</v>
          </cell>
          <cell r="G121" t="str">
            <v>6298018</v>
          </cell>
          <cell r="I121" t="str">
            <v>445HPZ</v>
          </cell>
          <cell r="K121" t="str">
            <v>200</v>
          </cell>
          <cell r="L121" t="str">
            <v>3575</v>
          </cell>
          <cell r="M121" t="str">
            <v>P</v>
          </cell>
          <cell r="P121" t="str">
            <v>TEFC</v>
          </cell>
          <cell r="R121" t="str">
            <v>Continuous</v>
          </cell>
          <cell r="U121" t="str">
            <v>40</v>
          </cell>
          <cell r="V121" t="str">
            <v>3</v>
          </cell>
          <cell r="W121" t="str">
            <v>60</v>
          </cell>
          <cell r="X121" t="str">
            <v>460</v>
          </cell>
          <cell r="Y121" t="str">
            <v>222</v>
          </cell>
          <cell r="AA121" t="str">
            <v>Vertical</v>
          </cell>
          <cell r="AG121" t="str">
            <v>HP</v>
          </cell>
          <cell r="AO121" t="str">
            <v>B</v>
          </cell>
          <cell r="AQ121" t="str">
            <v>F</v>
          </cell>
          <cell r="AR121" t="str">
            <v>87.5</v>
          </cell>
          <cell r="AS121" t="str">
            <v>1.15</v>
          </cell>
          <cell r="AT121" t="str">
            <v>96.2</v>
          </cell>
          <cell r="AV121" t="b">
            <v>0</v>
          </cell>
          <cell r="EX121" t="str">
            <v>6298018 G003 FF</v>
          </cell>
          <cell r="HD121" t="str">
            <v>Repair Shop</v>
          </cell>
          <cell r="HT121" t="b">
            <v>0</v>
          </cell>
          <cell r="HU121" t="str">
            <v>PHILLIPS 66</v>
          </cell>
        </row>
        <row r="122">
          <cell r="A122">
            <v>5677</v>
          </cell>
          <cell r="B122" t="str">
            <v>VEM1578</v>
          </cell>
          <cell r="D122" t="str">
            <v>P66</v>
          </cell>
          <cell r="F122" t="str">
            <v>Baldor</v>
          </cell>
          <cell r="H122" t="str">
            <v>W1403071112</v>
          </cell>
          <cell r="I122" t="str">
            <v>56C</v>
          </cell>
          <cell r="K122" t="str">
            <v>.5</v>
          </cell>
          <cell r="L122" t="str">
            <v>1725</v>
          </cell>
          <cell r="P122" t="str">
            <v>EXP</v>
          </cell>
          <cell r="W122" t="str">
            <v>60</v>
          </cell>
          <cell r="X122" t="str">
            <v>115/208-230</v>
          </cell>
          <cell r="Y122" t="str">
            <v>7.4/3.9-3.7</v>
          </cell>
          <cell r="AG122" t="str">
            <v>HP</v>
          </cell>
          <cell r="AS122" t="str">
            <v>1</v>
          </cell>
          <cell r="AV122" t="b">
            <v>0</v>
          </cell>
          <cell r="AX122" t="str">
            <v>4</v>
          </cell>
          <cell r="EW122" t="str">
            <v>VL5004A</v>
          </cell>
          <cell r="HD122" t="str">
            <v>Repair Shop</v>
          </cell>
          <cell r="HT122" t="b">
            <v>0</v>
          </cell>
          <cell r="HU122" t="str">
            <v>PHILLIPS 66</v>
          </cell>
        </row>
        <row r="123">
          <cell r="A123">
            <v>5676</v>
          </cell>
          <cell r="B123" t="str">
            <v>VEM1577</v>
          </cell>
          <cell r="D123" t="str">
            <v>EBSTONE</v>
          </cell>
          <cell r="F123" t="str">
            <v>Lincoln</v>
          </cell>
          <cell r="I123" t="str">
            <v>365T</v>
          </cell>
          <cell r="K123" t="str">
            <v>50</v>
          </cell>
          <cell r="L123" t="str">
            <v>1175</v>
          </cell>
          <cell r="P123" t="str">
            <v>TEFC</v>
          </cell>
          <cell r="R123" t="str">
            <v>Continuous</v>
          </cell>
          <cell r="V123" t="str">
            <v>3</v>
          </cell>
          <cell r="W123" t="str">
            <v>60</v>
          </cell>
          <cell r="X123" t="str">
            <v>230/460</v>
          </cell>
          <cell r="Y123" t="str">
            <v>142/716</v>
          </cell>
          <cell r="AA123" t="str">
            <v>F1</v>
          </cell>
          <cell r="AD123" t="str">
            <v>0</v>
          </cell>
          <cell r="AG123" t="str">
            <v>HP</v>
          </cell>
          <cell r="AV123" t="b">
            <v>0</v>
          </cell>
          <cell r="AX123" t="str">
            <v>6</v>
          </cell>
          <cell r="HD123" t="str">
            <v>Repair Shop</v>
          </cell>
          <cell r="HT123" t="b">
            <v>0</v>
          </cell>
          <cell r="HU123" t="str">
            <v>E B STONE</v>
          </cell>
        </row>
        <row r="124">
          <cell r="A124">
            <v>5675</v>
          </cell>
          <cell r="B124" t="str">
            <v>VEM1576</v>
          </cell>
          <cell r="D124" t="str">
            <v>VALERO</v>
          </cell>
          <cell r="F124" t="str">
            <v>Toshiba</v>
          </cell>
          <cell r="G124" t="str">
            <v>B0502FLG3UMW01</v>
          </cell>
          <cell r="I124" t="str">
            <v>326TS</v>
          </cell>
          <cell r="K124" t="str">
            <v>50</v>
          </cell>
          <cell r="L124" t="str">
            <v>3600</v>
          </cell>
          <cell r="M124" t="str">
            <v>TIKK</v>
          </cell>
          <cell r="P124" t="str">
            <v>TEFC</v>
          </cell>
          <cell r="R124" t="str">
            <v>Continuous</v>
          </cell>
          <cell r="V124" t="str">
            <v>3</v>
          </cell>
          <cell r="W124" t="str">
            <v>60</v>
          </cell>
          <cell r="X124" t="str">
            <v>230/460</v>
          </cell>
          <cell r="Y124" t="str">
            <v>114/57</v>
          </cell>
          <cell r="AA124" t="str">
            <v>F1</v>
          </cell>
          <cell r="AD124" t="str">
            <v>0</v>
          </cell>
          <cell r="AG124" t="str">
            <v>HP</v>
          </cell>
          <cell r="AI124" t="str">
            <v>6312</v>
          </cell>
          <cell r="AJ124" t="str">
            <v>6312</v>
          </cell>
          <cell r="AO124" t="str">
            <v>B</v>
          </cell>
          <cell r="AQ124" t="str">
            <v>F</v>
          </cell>
          <cell r="AV124" t="b">
            <v>0</v>
          </cell>
          <cell r="AX124" t="str">
            <v>2</v>
          </cell>
          <cell r="EX124" t="str">
            <v>000108807</v>
          </cell>
          <cell r="HD124" t="str">
            <v>Repair Shop</v>
          </cell>
          <cell r="HT124" t="b">
            <v>0</v>
          </cell>
          <cell r="HU124" t="str">
            <v>VALERO REFINING CO. BENICIA</v>
          </cell>
        </row>
        <row r="125">
          <cell r="A125">
            <v>5674</v>
          </cell>
          <cell r="B125" t="str">
            <v>VEM1575</v>
          </cell>
          <cell r="D125" t="str">
            <v>P66</v>
          </cell>
          <cell r="AG125" t="str">
            <v>HP</v>
          </cell>
          <cell r="AV125" t="b">
            <v>0</v>
          </cell>
          <cell r="HD125" t="str">
            <v>Repair Shop</v>
          </cell>
          <cell r="HT125" t="b">
            <v>0</v>
          </cell>
          <cell r="HU125" t="str">
            <v>PHILLIPS 66</v>
          </cell>
        </row>
        <row r="126">
          <cell r="A126">
            <v>5673</v>
          </cell>
          <cell r="B126" t="str">
            <v>VEM1574</v>
          </cell>
          <cell r="D126" t="str">
            <v>JACOBS</v>
          </cell>
          <cell r="F126" t="str">
            <v>LOUIS ALLIS</v>
          </cell>
          <cell r="G126" t="str">
            <v>3102746001</v>
          </cell>
          <cell r="I126" t="str">
            <v>445T</v>
          </cell>
          <cell r="K126" t="str">
            <v>150</v>
          </cell>
          <cell r="L126" t="str">
            <v>1185</v>
          </cell>
          <cell r="M126" t="str">
            <v>C0G4B</v>
          </cell>
          <cell r="P126" t="str">
            <v>ODP</v>
          </cell>
          <cell r="R126" t="str">
            <v>Continuous</v>
          </cell>
          <cell r="U126" t="str">
            <v>40/50B</v>
          </cell>
          <cell r="V126" t="str">
            <v>3</v>
          </cell>
          <cell r="W126" t="str">
            <v>60</v>
          </cell>
          <cell r="X126" t="str">
            <v>460</v>
          </cell>
          <cell r="Y126" t="str">
            <v>181</v>
          </cell>
          <cell r="AA126" t="str">
            <v>F1</v>
          </cell>
          <cell r="AD126" t="str">
            <v>-1</v>
          </cell>
          <cell r="AG126" t="str">
            <v>HP</v>
          </cell>
          <cell r="AI126" t="str">
            <v>6318</v>
          </cell>
          <cell r="AJ126" t="str">
            <v>6216</v>
          </cell>
          <cell r="AO126" t="str">
            <v>B</v>
          </cell>
          <cell r="AP126" t="str">
            <v>F</v>
          </cell>
          <cell r="AQ126" t="str">
            <v>F</v>
          </cell>
          <cell r="AS126" t="str">
            <v>1.15/1.0</v>
          </cell>
          <cell r="AV126" t="b">
            <v>0</v>
          </cell>
          <cell r="HD126" t="str">
            <v>Repair Shop</v>
          </cell>
          <cell r="HT126" t="b">
            <v>0</v>
          </cell>
          <cell r="HU126" t="str">
            <v>JACOBS</v>
          </cell>
        </row>
        <row r="127">
          <cell r="A127">
            <v>5672</v>
          </cell>
          <cell r="B127" t="str">
            <v>VEM1573</v>
          </cell>
          <cell r="D127" t="str">
            <v>UNICO</v>
          </cell>
          <cell r="F127" t="str">
            <v>FLYGT</v>
          </cell>
          <cell r="K127" t="str">
            <v>2.7</v>
          </cell>
          <cell r="L127" t="str">
            <v>3315</v>
          </cell>
          <cell r="W127" t="str">
            <v>60</v>
          </cell>
          <cell r="X127" t="str">
            <v>460/Y//230V</v>
          </cell>
          <cell r="Y127" t="str">
            <v>3.7/7.5</v>
          </cell>
          <cell r="AG127" t="str">
            <v>HP</v>
          </cell>
          <cell r="AV127" t="b">
            <v>0</v>
          </cell>
          <cell r="BO127" t="str">
            <v>40</v>
          </cell>
          <cell r="GK127" t="str">
            <v>3068.180-1530476</v>
          </cell>
          <cell r="GL127" t="str">
            <v>3068.180-3936  256</v>
          </cell>
          <cell r="HD127" t="str">
            <v>Repair Shop</v>
          </cell>
          <cell r="HT127" t="b">
            <v>0</v>
          </cell>
          <cell r="HU127" t="str">
            <v>UNICO MECHANICAL CORP.</v>
          </cell>
        </row>
        <row r="128">
          <cell r="A128">
            <v>5671</v>
          </cell>
          <cell r="B128" t="str">
            <v>VEM1572</v>
          </cell>
          <cell r="D128" t="str">
            <v>SCANDIA</v>
          </cell>
          <cell r="F128" t="str">
            <v>Reliance</v>
          </cell>
          <cell r="I128" t="str">
            <v>215TY</v>
          </cell>
          <cell r="K128" t="str">
            <v>10</v>
          </cell>
          <cell r="L128" t="str">
            <v>1730</v>
          </cell>
          <cell r="M128" t="str">
            <v>P</v>
          </cell>
          <cell r="P128" t="str">
            <v>TEFC</v>
          </cell>
          <cell r="R128" t="str">
            <v>Continuous</v>
          </cell>
          <cell r="U128" t="str">
            <v>40</v>
          </cell>
          <cell r="V128" t="str">
            <v>3</v>
          </cell>
          <cell r="W128" t="str">
            <v>60</v>
          </cell>
          <cell r="X128" t="str">
            <v>480</v>
          </cell>
          <cell r="Y128" t="str">
            <v>12.5</v>
          </cell>
          <cell r="AA128" t="str">
            <v>F1</v>
          </cell>
          <cell r="AD128" t="str">
            <v>0</v>
          </cell>
          <cell r="AG128" t="str">
            <v>HP</v>
          </cell>
          <cell r="AQ128" t="str">
            <v>B</v>
          </cell>
          <cell r="AV128" t="b">
            <v>0</v>
          </cell>
          <cell r="HD128" t="str">
            <v>Repair Shop</v>
          </cell>
          <cell r="HT128" t="b">
            <v>0</v>
          </cell>
          <cell r="HU128" t="str">
            <v>SCANDIA FAMILY CENTER</v>
          </cell>
        </row>
        <row r="129">
          <cell r="A129">
            <v>5670</v>
          </cell>
          <cell r="B129" t="str">
            <v>VEM1571</v>
          </cell>
          <cell r="D129" t="str">
            <v>LINDMARINE</v>
          </cell>
          <cell r="F129" t="str">
            <v>Louis Allis</v>
          </cell>
          <cell r="G129" t="str">
            <v>3102746001</v>
          </cell>
          <cell r="I129" t="str">
            <v>445T</v>
          </cell>
          <cell r="K129" t="str">
            <v>150</v>
          </cell>
          <cell r="L129" t="str">
            <v>1185</v>
          </cell>
          <cell r="M129" t="str">
            <v>C0G4B</v>
          </cell>
          <cell r="P129" t="str">
            <v>ODP</v>
          </cell>
          <cell r="R129" t="str">
            <v>Continuous</v>
          </cell>
          <cell r="U129" t="str">
            <v>40/50B</v>
          </cell>
          <cell r="V129" t="str">
            <v>3</v>
          </cell>
          <cell r="W129" t="str">
            <v>60</v>
          </cell>
          <cell r="X129" t="str">
            <v>460</v>
          </cell>
          <cell r="Y129" t="str">
            <v>181</v>
          </cell>
          <cell r="AA129" t="str">
            <v>F1</v>
          </cell>
          <cell r="AG129" t="str">
            <v>HP</v>
          </cell>
          <cell r="AI129" t="str">
            <v>6318</v>
          </cell>
          <cell r="AJ129" t="str">
            <v>6216</v>
          </cell>
          <cell r="AO129" t="str">
            <v>B</v>
          </cell>
          <cell r="AP129" t="str">
            <v>F</v>
          </cell>
          <cell r="AQ129" t="str">
            <v>F</v>
          </cell>
          <cell r="AS129" t="str">
            <v>1.15/1.0</v>
          </cell>
          <cell r="AV129" t="b">
            <v>0</v>
          </cell>
          <cell r="HD129" t="str">
            <v>Repair Shop</v>
          </cell>
          <cell r="HT129" t="b">
            <v>0</v>
          </cell>
          <cell r="HU129" t="str">
            <v>LIND MARINE</v>
          </cell>
        </row>
        <row r="130">
          <cell r="A130">
            <v>5668</v>
          </cell>
          <cell r="B130" t="str">
            <v>VEM1570</v>
          </cell>
          <cell r="D130" t="str">
            <v>FRFLD-SUISUN</v>
          </cell>
          <cell r="F130" t="str">
            <v>US Motors</v>
          </cell>
          <cell r="I130" t="str">
            <v>5808PH</v>
          </cell>
          <cell r="K130" t="str">
            <v>300</v>
          </cell>
          <cell r="L130" t="str">
            <v>880</v>
          </cell>
          <cell r="M130" t="str">
            <v>HV</v>
          </cell>
          <cell r="P130" t="str">
            <v>ODP</v>
          </cell>
          <cell r="R130" t="str">
            <v>Continuous</v>
          </cell>
          <cell r="V130" t="str">
            <v>3</v>
          </cell>
          <cell r="W130" t="str">
            <v>60</v>
          </cell>
          <cell r="X130" t="str">
            <v>460</v>
          </cell>
          <cell r="Y130" t="str">
            <v>363</v>
          </cell>
          <cell r="AA130" t="str">
            <v>Vertical</v>
          </cell>
          <cell r="AG130" t="str">
            <v>HP</v>
          </cell>
          <cell r="AI130" t="str">
            <v>6222</v>
          </cell>
          <cell r="AJ130" t="str">
            <v>7228</v>
          </cell>
          <cell r="AP130" t="str">
            <v>G</v>
          </cell>
          <cell r="AS130" t="str">
            <v>1.0</v>
          </cell>
          <cell r="AV130" t="b">
            <v>0</v>
          </cell>
          <cell r="HD130" t="str">
            <v>Repair Shop</v>
          </cell>
          <cell r="HT130" t="b">
            <v>0</v>
          </cell>
          <cell r="HU130" t="str">
            <v>FAIRFIELD-SUISUN SEWER DISTRICT</v>
          </cell>
        </row>
        <row r="131">
          <cell r="A131">
            <v>5667</v>
          </cell>
          <cell r="B131" t="str">
            <v>VEM1569</v>
          </cell>
          <cell r="D131" t="str">
            <v>CONHAGEN</v>
          </cell>
          <cell r="F131" t="str">
            <v>Westinghouse</v>
          </cell>
          <cell r="H131" t="str">
            <v>67C6835</v>
          </cell>
          <cell r="I131" t="str">
            <v>326UP</v>
          </cell>
          <cell r="K131" t="str">
            <v>40</v>
          </cell>
          <cell r="L131" t="str">
            <v>3600</v>
          </cell>
          <cell r="P131" t="str">
            <v>TEFC</v>
          </cell>
          <cell r="R131" t="str">
            <v>Continuous</v>
          </cell>
          <cell r="V131" t="str">
            <v>3</v>
          </cell>
          <cell r="W131" t="str">
            <v>60</v>
          </cell>
          <cell r="X131" t="str">
            <v>480</v>
          </cell>
          <cell r="Y131" t="str">
            <v>46.2</v>
          </cell>
          <cell r="AA131" t="str">
            <v>Vertical</v>
          </cell>
          <cell r="AD131" t="str">
            <v>-1</v>
          </cell>
          <cell r="AG131" t="str">
            <v>HP</v>
          </cell>
          <cell r="AI131" t="str">
            <v>6312</v>
          </cell>
          <cell r="AJ131" t="str">
            <v>6209</v>
          </cell>
          <cell r="AS131" t="str">
            <v>1.0</v>
          </cell>
          <cell r="AV131" t="b">
            <v>0</v>
          </cell>
          <cell r="HD131" t="str">
            <v>Repair Shop</v>
          </cell>
          <cell r="HT131" t="b">
            <v>0</v>
          </cell>
          <cell r="HU131" t="str">
            <v>ALFRED CONHAGEN CO. OF CA</v>
          </cell>
        </row>
        <row r="132">
          <cell r="A132">
            <v>5666</v>
          </cell>
          <cell r="B132" t="str">
            <v>VEM1568</v>
          </cell>
          <cell r="D132" t="str">
            <v>CONHAGEN</v>
          </cell>
          <cell r="F132" t="str">
            <v>Reliance</v>
          </cell>
          <cell r="I132" t="str">
            <v>254LPZ</v>
          </cell>
          <cell r="K132" t="str">
            <v>15</v>
          </cell>
          <cell r="L132" t="str">
            <v>3530</v>
          </cell>
          <cell r="M132" t="str">
            <v>P</v>
          </cell>
          <cell r="P132" t="str">
            <v>TEFC</v>
          </cell>
          <cell r="R132" t="str">
            <v>Continuous</v>
          </cell>
          <cell r="V132" t="str">
            <v>3</v>
          </cell>
          <cell r="W132" t="str">
            <v>60</v>
          </cell>
          <cell r="X132" t="str">
            <v>230/460</v>
          </cell>
          <cell r="AA132" t="str">
            <v>Vertical</v>
          </cell>
          <cell r="AG132" t="str">
            <v>HP</v>
          </cell>
          <cell r="AO132" t="str">
            <v>B</v>
          </cell>
          <cell r="AP132" t="str">
            <v>G</v>
          </cell>
          <cell r="AQ132" t="str">
            <v>F</v>
          </cell>
          <cell r="AV132" t="b">
            <v>0</v>
          </cell>
          <cell r="HD132" t="str">
            <v>Repair Shop</v>
          </cell>
          <cell r="HT132" t="b">
            <v>0</v>
          </cell>
          <cell r="HU132" t="str">
            <v>ALFRED CONHAGEN CO. OF CA</v>
          </cell>
        </row>
        <row r="133">
          <cell r="A133">
            <v>5665</v>
          </cell>
          <cell r="B133" t="str">
            <v>FE1048</v>
          </cell>
          <cell r="D133" t="str">
            <v>NAPARECYCLING</v>
          </cell>
          <cell r="AG133" t="str">
            <v>HP</v>
          </cell>
          <cell r="AV133" t="b">
            <v>0</v>
          </cell>
          <cell r="HD133" t="str">
            <v>Field Service</v>
          </cell>
          <cell r="HT133" t="b">
            <v>0</v>
          </cell>
          <cell r="HU133" t="str">
            <v>NAPA RECYCLING &amp; WASTE</v>
          </cell>
        </row>
        <row r="134">
          <cell r="A134">
            <v>5664</v>
          </cell>
          <cell r="B134" t="str">
            <v>VEM1567</v>
          </cell>
          <cell r="D134" t="str">
            <v>FRFLD-SUISUN</v>
          </cell>
          <cell r="AG134" t="str">
            <v>HP</v>
          </cell>
          <cell r="AV134" t="b">
            <v>0</v>
          </cell>
          <cell r="HD134" t="str">
            <v>Repair Shop</v>
          </cell>
          <cell r="HT134" t="b">
            <v>0</v>
          </cell>
          <cell r="HU134" t="str">
            <v>FAIRFIELD-SUISUN SEWER DISTRICT</v>
          </cell>
        </row>
        <row r="135">
          <cell r="A135">
            <v>5663</v>
          </cell>
          <cell r="B135" t="str">
            <v>VEM1566</v>
          </cell>
          <cell r="D135" t="str">
            <v>INTEGRATED</v>
          </cell>
          <cell r="AG135" t="str">
            <v>HP</v>
          </cell>
          <cell r="AV135" t="b">
            <v>0</v>
          </cell>
          <cell r="HD135" t="str">
            <v>Repair Shop</v>
          </cell>
          <cell r="HT135" t="b">
            <v>0</v>
          </cell>
          <cell r="HU135" t="str">
            <v>INTEGRATED TURBO MACHINERY, INC.</v>
          </cell>
        </row>
        <row r="136">
          <cell r="A136">
            <v>5662</v>
          </cell>
          <cell r="B136" t="str">
            <v>VEM1565</v>
          </cell>
          <cell r="D136" t="str">
            <v>VALLEJOSAN</v>
          </cell>
          <cell r="AG136" t="str">
            <v>HP</v>
          </cell>
          <cell r="AV136" t="b">
            <v>0</v>
          </cell>
          <cell r="HD136" t="str">
            <v>Repair Shop</v>
          </cell>
          <cell r="HT136" t="b">
            <v>0</v>
          </cell>
          <cell r="HU136" t="str">
            <v>VALLEJO FLOOD &amp; WASTEWATER DISTRICT</v>
          </cell>
        </row>
        <row r="137">
          <cell r="A137">
            <v>5661</v>
          </cell>
          <cell r="B137" t="str">
            <v>VE</v>
          </cell>
          <cell r="D137" t="str">
            <v>CONHAGEN</v>
          </cell>
          <cell r="AG137" t="str">
            <v>HP</v>
          </cell>
          <cell r="AV137" t="b">
            <v>0</v>
          </cell>
          <cell r="HD137" t="str">
            <v>Repair Shop</v>
          </cell>
          <cell r="HT137" t="b">
            <v>0</v>
          </cell>
          <cell r="HU137" t="str">
            <v>ALFRED CONHAGEN CO. OF CA</v>
          </cell>
        </row>
        <row r="138">
          <cell r="A138">
            <v>5660</v>
          </cell>
          <cell r="B138" t="str">
            <v>VEM1564</v>
          </cell>
          <cell r="D138" t="str">
            <v>CONHAGEN</v>
          </cell>
          <cell r="AG138" t="str">
            <v>HP</v>
          </cell>
          <cell r="AV138" t="b">
            <v>0</v>
          </cell>
          <cell r="HD138" t="str">
            <v>Repair Shop</v>
          </cell>
          <cell r="HT138" t="b">
            <v>0</v>
          </cell>
          <cell r="HU138" t="str">
            <v>ALFRED CONHAGEN CO. OF CA</v>
          </cell>
        </row>
        <row r="139">
          <cell r="A139">
            <v>5659</v>
          </cell>
          <cell r="B139" t="str">
            <v>VEM1563</v>
          </cell>
          <cell r="D139" t="str">
            <v>UNICO</v>
          </cell>
          <cell r="F139" t="str">
            <v>Reliance</v>
          </cell>
          <cell r="K139" t="str">
            <v>5</v>
          </cell>
          <cell r="L139" t="str">
            <v>1150</v>
          </cell>
          <cell r="M139" t="str">
            <v>P</v>
          </cell>
          <cell r="R139" t="str">
            <v>Continuous</v>
          </cell>
          <cell r="U139" t="str">
            <v>40</v>
          </cell>
          <cell r="V139" t="str">
            <v>3</v>
          </cell>
          <cell r="W139" t="str">
            <v>60</v>
          </cell>
          <cell r="X139" t="str">
            <v>230/460</v>
          </cell>
          <cell r="Y139" t="str">
            <v>15.2/7.6</v>
          </cell>
          <cell r="AA139" t="str">
            <v>Other</v>
          </cell>
          <cell r="AG139" t="str">
            <v>HP</v>
          </cell>
          <cell r="AO139" t="str">
            <v>B</v>
          </cell>
          <cell r="AP139" t="str">
            <v>G</v>
          </cell>
          <cell r="AS139" t="str">
            <v>1.15</v>
          </cell>
          <cell r="AV139" t="b">
            <v>0</v>
          </cell>
          <cell r="EX139" t="str">
            <v>5YUH12077A1 WQ</v>
          </cell>
          <cell r="HD139" t="str">
            <v>Repair Shop</v>
          </cell>
          <cell r="HT139" t="b">
            <v>0</v>
          </cell>
          <cell r="HU139" t="str">
            <v>UNICO MECHANICAL CORP.</v>
          </cell>
        </row>
        <row r="140">
          <cell r="A140">
            <v>5658</v>
          </cell>
          <cell r="B140" t="str">
            <v>VEM1562</v>
          </cell>
          <cell r="D140" t="str">
            <v>UNICO</v>
          </cell>
          <cell r="F140" t="str">
            <v>Reliance</v>
          </cell>
          <cell r="I140" t="str">
            <v>X180TY</v>
          </cell>
          <cell r="K140" t="str">
            <v>5</v>
          </cell>
          <cell r="L140" t="str">
            <v>1150</v>
          </cell>
          <cell r="R140" t="str">
            <v>Continuous</v>
          </cell>
          <cell r="U140" t="str">
            <v>40</v>
          </cell>
          <cell r="V140" t="str">
            <v>3</v>
          </cell>
          <cell r="W140" t="str">
            <v>60</v>
          </cell>
          <cell r="X140" t="str">
            <v>230/460</v>
          </cell>
          <cell r="Y140" t="str">
            <v>15.2/7.6</v>
          </cell>
          <cell r="AA140" t="str">
            <v>Vertical</v>
          </cell>
          <cell r="AG140" t="str">
            <v>HP</v>
          </cell>
          <cell r="AO140" t="str">
            <v>B</v>
          </cell>
          <cell r="AQ140" t="str">
            <v>F</v>
          </cell>
          <cell r="AS140" t="str">
            <v>1.15</v>
          </cell>
          <cell r="AV140" t="b">
            <v>0</v>
          </cell>
          <cell r="EX140" t="str">
            <v>5YUH12077A2WQ</v>
          </cell>
          <cell r="HD140" t="str">
            <v>Repair Shop</v>
          </cell>
          <cell r="HT140" t="b">
            <v>0</v>
          </cell>
          <cell r="HU140" t="str">
            <v>UNICO MECHANICAL CORP.</v>
          </cell>
        </row>
        <row r="141">
          <cell r="A141">
            <v>5657</v>
          </cell>
          <cell r="B141" t="str">
            <v>VEM1561</v>
          </cell>
          <cell r="D141" t="str">
            <v>FRFLD-SUISUN</v>
          </cell>
          <cell r="F141" t="str">
            <v>Reliance</v>
          </cell>
          <cell r="H141" t="str">
            <v>7300981-001  L001 BK</v>
          </cell>
          <cell r="I141" t="str">
            <v>364T</v>
          </cell>
          <cell r="K141" t="str">
            <v>40</v>
          </cell>
          <cell r="L141" t="str">
            <v>1190</v>
          </cell>
          <cell r="M141" t="str">
            <v>P</v>
          </cell>
          <cell r="N141" t="str">
            <v>845</v>
          </cell>
          <cell r="P141" t="str">
            <v>TEFC</v>
          </cell>
          <cell r="R141" t="str">
            <v>Continuous</v>
          </cell>
          <cell r="V141" t="str">
            <v>3</v>
          </cell>
          <cell r="W141" t="str">
            <v>60</v>
          </cell>
          <cell r="X141" t="str">
            <v>230/460</v>
          </cell>
          <cell r="Y141" t="str">
            <v>98.8/49.4</v>
          </cell>
          <cell r="AA141" t="str">
            <v>F2</v>
          </cell>
          <cell r="AG141" t="str">
            <v>HP</v>
          </cell>
          <cell r="AO141" t="str">
            <v>B</v>
          </cell>
          <cell r="AP141" t="str">
            <v>G</v>
          </cell>
          <cell r="AQ141" t="str">
            <v>F</v>
          </cell>
          <cell r="AS141" t="str">
            <v>1.00</v>
          </cell>
          <cell r="AV141" t="b">
            <v>0</v>
          </cell>
          <cell r="HD141" t="str">
            <v>Repair Shop</v>
          </cell>
          <cell r="HT141" t="b">
            <v>0</v>
          </cell>
          <cell r="HU141" t="str">
            <v>FAIRFIELD-SUISUN SEWER DISTRICT</v>
          </cell>
        </row>
        <row r="142">
          <cell r="A142">
            <v>5656</v>
          </cell>
          <cell r="B142" t="str">
            <v>VEM1560</v>
          </cell>
          <cell r="D142" t="str">
            <v>FRFLD-SUISUN</v>
          </cell>
          <cell r="AD142" t="str">
            <v>0</v>
          </cell>
          <cell r="AG142" t="str">
            <v>HP</v>
          </cell>
          <cell r="AV142" t="b">
            <v>0</v>
          </cell>
          <cell r="HD142" t="str">
            <v>Repair Shop</v>
          </cell>
          <cell r="HT142" t="b">
            <v>0</v>
          </cell>
          <cell r="HU142" t="str">
            <v>FAIRFIELD-SUISUN SEWER DISTRICT</v>
          </cell>
        </row>
        <row r="143">
          <cell r="A143">
            <v>5655</v>
          </cell>
          <cell r="B143" t="str">
            <v>VEM1559</v>
          </cell>
          <cell r="D143" t="str">
            <v>UNICO</v>
          </cell>
          <cell r="F143" t="str">
            <v>FLYGT</v>
          </cell>
          <cell r="K143" t="str">
            <v>10</v>
          </cell>
          <cell r="L143" t="str">
            <v>1735</v>
          </cell>
          <cell r="U143" t="str">
            <v>40</v>
          </cell>
          <cell r="W143" t="str">
            <v>60</v>
          </cell>
          <cell r="X143" t="str">
            <v>460/Y//230</v>
          </cell>
          <cell r="Y143" t="str">
            <v>13/25</v>
          </cell>
          <cell r="AD143" t="str">
            <v>0</v>
          </cell>
          <cell r="AG143" t="str">
            <v>HP</v>
          </cell>
          <cell r="AV143" t="b">
            <v>0</v>
          </cell>
          <cell r="GK143" t="str">
            <v>3127.090-2614</v>
          </cell>
          <cell r="GL143" t="str">
            <v>3127.090-0530144</v>
          </cell>
          <cell r="HD143" t="str">
            <v>Repair Shop</v>
          </cell>
          <cell r="HT143" t="b">
            <v>0</v>
          </cell>
          <cell r="HU143" t="str">
            <v>UNICO MECHANICAL CORP.</v>
          </cell>
        </row>
        <row r="144">
          <cell r="A144">
            <v>5654</v>
          </cell>
          <cell r="B144" t="str">
            <v>VEM1558</v>
          </cell>
          <cell r="D144" t="str">
            <v>CONHAGEN</v>
          </cell>
          <cell r="F144" t="str">
            <v>Baldor</v>
          </cell>
          <cell r="H144" t="str">
            <v>C1810110602</v>
          </cell>
          <cell r="I144" t="str">
            <v>286TC</v>
          </cell>
          <cell r="K144" t="str">
            <v>20</v>
          </cell>
          <cell r="L144" t="str">
            <v>1800</v>
          </cell>
          <cell r="N144" t="str">
            <v>437</v>
          </cell>
          <cell r="P144" t="str">
            <v>TEFC</v>
          </cell>
          <cell r="R144" t="str">
            <v>Continuous</v>
          </cell>
          <cell r="U144" t="str">
            <v>40</v>
          </cell>
          <cell r="V144" t="str">
            <v>3</v>
          </cell>
          <cell r="W144" t="str">
            <v>60</v>
          </cell>
          <cell r="X144" t="str">
            <v>230/460</v>
          </cell>
          <cell r="Y144" t="str">
            <v>54/27</v>
          </cell>
          <cell r="AA144" t="str">
            <v>Vertical</v>
          </cell>
          <cell r="AG144" t="str">
            <v>HP</v>
          </cell>
          <cell r="AI144" t="str">
            <v>6311</v>
          </cell>
          <cell r="AJ144" t="str">
            <v>6311</v>
          </cell>
          <cell r="AO144" t="str">
            <v>A</v>
          </cell>
          <cell r="AP144" t="str">
            <v>H</v>
          </cell>
          <cell r="AQ144" t="str">
            <v>F</v>
          </cell>
          <cell r="AR144" t="str">
            <v>77</v>
          </cell>
          <cell r="AS144" t="str">
            <v>1.15</v>
          </cell>
          <cell r="AT144" t="str">
            <v>91.7</v>
          </cell>
          <cell r="AU144" t="str">
            <v>10G312Y730G1</v>
          </cell>
          <cell r="AV144" t="b">
            <v>0</v>
          </cell>
          <cell r="EW144" t="str">
            <v>VECP4102T</v>
          </cell>
          <cell r="HD144" t="str">
            <v>Repair Shop</v>
          </cell>
          <cell r="HT144" t="b">
            <v>0</v>
          </cell>
          <cell r="HU144" t="str">
            <v>ALFRED CONHAGEN CO. OF CA</v>
          </cell>
        </row>
        <row r="145">
          <cell r="A145">
            <v>5652</v>
          </cell>
          <cell r="B145" t="str">
            <v>VEM1557</v>
          </cell>
          <cell r="D145" t="str">
            <v>CONHAGEN</v>
          </cell>
          <cell r="F145" t="str">
            <v>Reliance</v>
          </cell>
          <cell r="I145" t="str">
            <v>210LP</v>
          </cell>
          <cell r="K145" t="str">
            <v>10</v>
          </cell>
          <cell r="L145" t="str">
            <v>3515</v>
          </cell>
          <cell r="M145" t="str">
            <v>P</v>
          </cell>
          <cell r="P145" t="str">
            <v>TEFC</v>
          </cell>
          <cell r="R145" t="str">
            <v>Continuous</v>
          </cell>
          <cell r="U145" t="str">
            <v>40</v>
          </cell>
          <cell r="V145" t="str">
            <v>3</v>
          </cell>
          <cell r="W145" t="str">
            <v>60</v>
          </cell>
          <cell r="X145" t="str">
            <v>460</v>
          </cell>
          <cell r="Y145" t="str">
            <v>11.3</v>
          </cell>
          <cell r="AA145" t="str">
            <v>Vertical</v>
          </cell>
          <cell r="AG145" t="str">
            <v>HP</v>
          </cell>
          <cell r="AI145" t="str">
            <v>55BC02J30X26</v>
          </cell>
          <cell r="AJ145" t="str">
            <v>30BT03YR00X28</v>
          </cell>
          <cell r="AO145" t="str">
            <v>B</v>
          </cell>
          <cell r="AP145" t="str">
            <v>H</v>
          </cell>
          <cell r="AQ145" t="str">
            <v>F</v>
          </cell>
          <cell r="AS145" t="str">
            <v>1.15</v>
          </cell>
          <cell r="AV145" t="b">
            <v>0</v>
          </cell>
          <cell r="EX145" t="str">
            <v>1YAB45332A1 TN</v>
          </cell>
          <cell r="HD145" t="str">
            <v>Repair Shop</v>
          </cell>
          <cell r="HT145" t="b">
            <v>0</v>
          </cell>
          <cell r="HU145" t="str">
            <v>ALFRED CONHAGEN CO. OF CA</v>
          </cell>
        </row>
        <row r="146">
          <cell r="A146">
            <v>5651</v>
          </cell>
          <cell r="B146" t="str">
            <v>VEM1556</v>
          </cell>
          <cell r="D146" t="str">
            <v>VALERO</v>
          </cell>
          <cell r="F146" t="str">
            <v>US Motors</v>
          </cell>
          <cell r="I146" t="str">
            <v>5811PHZ</v>
          </cell>
          <cell r="K146" t="str">
            <v>500</v>
          </cell>
          <cell r="L146" t="str">
            <v>1785</v>
          </cell>
          <cell r="M146" t="str">
            <v>JVC4</v>
          </cell>
          <cell r="N146" t="str">
            <v>7800</v>
          </cell>
          <cell r="P146" t="str">
            <v>TEFC</v>
          </cell>
          <cell r="R146" t="str">
            <v>Continuous</v>
          </cell>
          <cell r="U146" t="str">
            <v>40</v>
          </cell>
          <cell r="V146" t="str">
            <v>3</v>
          </cell>
          <cell r="W146" t="str">
            <v>60</v>
          </cell>
          <cell r="X146" t="str">
            <v>2300/4000</v>
          </cell>
          <cell r="Y146" t="str">
            <v>114/66</v>
          </cell>
          <cell r="AA146" t="str">
            <v>Vertical</v>
          </cell>
          <cell r="AG146" t="str">
            <v>HP</v>
          </cell>
          <cell r="AI146" t="str">
            <v>6226-JC3</v>
          </cell>
          <cell r="AJ146" t="str">
            <v>7228-BCB Q2</v>
          </cell>
          <cell r="AO146" t="str">
            <v>B</v>
          </cell>
          <cell r="AP146" t="str">
            <v>F</v>
          </cell>
          <cell r="AQ146" t="str">
            <v>F</v>
          </cell>
          <cell r="AR146" t="str">
            <v>87.7</v>
          </cell>
          <cell r="AS146" t="str">
            <v>1.15</v>
          </cell>
          <cell r="AT146" t="str">
            <v>93.6</v>
          </cell>
          <cell r="AV146" t="b">
            <v>0</v>
          </cell>
          <cell r="EX146" t="str">
            <v>L01 30137589-100R-01</v>
          </cell>
          <cell r="HD146" t="str">
            <v>Repair Shop</v>
          </cell>
          <cell r="HT146" t="b">
            <v>0</v>
          </cell>
          <cell r="HU146" t="str">
            <v>VALERO REFINING CO. BENICIA</v>
          </cell>
        </row>
        <row r="147">
          <cell r="A147">
            <v>5650</v>
          </cell>
          <cell r="B147" t="str">
            <v>VEM1555</v>
          </cell>
          <cell r="D147" t="str">
            <v>P66</v>
          </cell>
          <cell r="F147" t="str">
            <v>Siemens</v>
          </cell>
          <cell r="G147" t="str">
            <v>118</v>
          </cell>
          <cell r="H147" t="str">
            <v>7-5133-62527-1-2</v>
          </cell>
          <cell r="I147" t="str">
            <v>445HP</v>
          </cell>
          <cell r="K147" t="str">
            <v>185/55</v>
          </cell>
          <cell r="L147" t="str">
            <v>1780/1185</v>
          </cell>
          <cell r="M147" t="str">
            <v>RGZVMT</v>
          </cell>
          <cell r="P147" t="str">
            <v>TEFC</v>
          </cell>
          <cell r="R147" t="str">
            <v>Continuous</v>
          </cell>
          <cell r="U147" t="str">
            <v>40</v>
          </cell>
          <cell r="V147" t="str">
            <v>3</v>
          </cell>
          <cell r="W147" t="str">
            <v>60</v>
          </cell>
          <cell r="X147" t="str">
            <v>460</v>
          </cell>
          <cell r="Y147" t="str">
            <v>140/64.6</v>
          </cell>
          <cell r="AA147" t="str">
            <v>Vertical</v>
          </cell>
          <cell r="AD147" t="str">
            <v>-1</v>
          </cell>
          <cell r="AG147" t="str">
            <v>HP</v>
          </cell>
          <cell r="AI147" t="str">
            <v>65BC03XPP3</v>
          </cell>
          <cell r="AJ147" t="str">
            <v>65BT03M</v>
          </cell>
          <cell r="AP147" t="str">
            <v>G</v>
          </cell>
          <cell r="AQ147" t="str">
            <v>F</v>
          </cell>
          <cell r="AS147" t="str">
            <v>1.0</v>
          </cell>
          <cell r="AV147" t="b">
            <v>0</v>
          </cell>
          <cell r="HD147" t="str">
            <v>Repair Shop</v>
          </cell>
          <cell r="HT147" t="b">
            <v>0</v>
          </cell>
          <cell r="HU147" t="str">
            <v>PHILLIPS 66</v>
          </cell>
        </row>
        <row r="148">
          <cell r="A148">
            <v>5649</v>
          </cell>
          <cell r="B148" t="str">
            <v>VEM1554</v>
          </cell>
          <cell r="D148" t="str">
            <v>BARRY</v>
          </cell>
          <cell r="F148" t="str">
            <v>ATP</v>
          </cell>
          <cell r="K148" t="str">
            <v>0.94</v>
          </cell>
          <cell r="L148" t="str">
            <v>3240</v>
          </cell>
          <cell r="V148" t="str">
            <v>3</v>
          </cell>
          <cell r="W148" t="str">
            <v>50/60</v>
          </cell>
          <cell r="X148" t="str">
            <v>400-480/220-280</v>
          </cell>
          <cell r="Y148" t="str">
            <v>1.75/3.10</v>
          </cell>
          <cell r="AG148" t="str">
            <v>HP</v>
          </cell>
          <cell r="AV148" t="b">
            <v>0</v>
          </cell>
          <cell r="HD148" t="str">
            <v>Repair Shop</v>
          </cell>
          <cell r="HT148" t="b">
            <v>0</v>
          </cell>
          <cell r="HU148" t="str">
            <v>BARRY CALLEBAUT</v>
          </cell>
        </row>
        <row r="149">
          <cell r="A149">
            <v>5648</v>
          </cell>
          <cell r="B149" t="str">
            <v>VEM1553</v>
          </cell>
          <cell r="D149" t="str">
            <v>LINDMARINE</v>
          </cell>
          <cell r="F149" t="str">
            <v>US Motors</v>
          </cell>
          <cell r="H149" t="str">
            <v>266205</v>
          </cell>
          <cell r="I149" t="str">
            <v>254-4</v>
          </cell>
          <cell r="K149" t="str">
            <v>5</v>
          </cell>
          <cell r="L149" t="str">
            <v>1500</v>
          </cell>
          <cell r="M149" t="str">
            <v>SC</v>
          </cell>
          <cell r="U149" t="str">
            <v>40</v>
          </cell>
          <cell r="V149" t="str">
            <v>3</v>
          </cell>
          <cell r="X149" t="str">
            <v>220/440</v>
          </cell>
          <cell r="Y149" t="str">
            <v>14/7</v>
          </cell>
          <cell r="AA149" t="str">
            <v>F1</v>
          </cell>
          <cell r="AD149" t="str">
            <v>0</v>
          </cell>
          <cell r="AG149" t="str">
            <v>HP</v>
          </cell>
          <cell r="AP149" t="str">
            <v>G</v>
          </cell>
          <cell r="AV149" t="b">
            <v>0</v>
          </cell>
          <cell r="HD149" t="str">
            <v>Repair Shop</v>
          </cell>
          <cell r="HT149" t="b">
            <v>0</v>
          </cell>
          <cell r="HU149" t="str">
            <v>LIND MARINE</v>
          </cell>
        </row>
        <row r="150">
          <cell r="A150">
            <v>5647</v>
          </cell>
          <cell r="B150" t="str">
            <v>VEM1552</v>
          </cell>
          <cell r="D150" t="str">
            <v>UNICO</v>
          </cell>
          <cell r="F150" t="str">
            <v>US Motors</v>
          </cell>
          <cell r="I150" t="str">
            <v>405T DP</v>
          </cell>
          <cell r="K150" t="str">
            <v>60</v>
          </cell>
          <cell r="L150" t="str">
            <v>875</v>
          </cell>
          <cell r="M150" t="str">
            <v>R</v>
          </cell>
          <cell r="P150" t="str">
            <v>ODP</v>
          </cell>
          <cell r="R150" t="str">
            <v>Continuous</v>
          </cell>
          <cell r="U150" t="str">
            <v>40</v>
          </cell>
          <cell r="V150" t="str">
            <v>3</v>
          </cell>
          <cell r="W150" t="str">
            <v>60</v>
          </cell>
          <cell r="X150" t="str">
            <v>460</v>
          </cell>
          <cell r="Y150" t="str">
            <v>81</v>
          </cell>
          <cell r="AA150" t="str">
            <v>F1</v>
          </cell>
          <cell r="AG150" t="str">
            <v>HP</v>
          </cell>
          <cell r="AI150" t="str">
            <v>5215-H</v>
          </cell>
          <cell r="AJ150" t="str">
            <v>6212-2Z-J</v>
          </cell>
          <cell r="AO150" t="str">
            <v>B</v>
          </cell>
          <cell r="AP150" t="str">
            <v>F</v>
          </cell>
          <cell r="AS150" t="str">
            <v>1.15</v>
          </cell>
          <cell r="AT150" t="str">
            <v>89.5</v>
          </cell>
          <cell r="AV150" t="b">
            <v>0</v>
          </cell>
          <cell r="HD150" t="str">
            <v>Repair Shop</v>
          </cell>
          <cell r="HT150" t="b">
            <v>0</v>
          </cell>
          <cell r="HU150" t="str">
            <v>UNICO MECHANICAL CORP.</v>
          </cell>
        </row>
        <row r="151">
          <cell r="A151">
            <v>5646</v>
          </cell>
          <cell r="B151" t="str">
            <v>VEM1551</v>
          </cell>
          <cell r="D151" t="str">
            <v>VALERO</v>
          </cell>
          <cell r="F151" t="str">
            <v>Baldor</v>
          </cell>
          <cell r="H151" t="str">
            <v>39038967-001 003</v>
          </cell>
          <cell r="I151" t="str">
            <v>286T</v>
          </cell>
          <cell r="K151" t="str">
            <v>30</v>
          </cell>
          <cell r="L151" t="str">
            <v>1800</v>
          </cell>
          <cell r="M151" t="str">
            <v>P</v>
          </cell>
          <cell r="N151" t="str">
            <v>1000</v>
          </cell>
          <cell r="P151" t="str">
            <v>TEFC</v>
          </cell>
          <cell r="R151" t="str">
            <v>Continuous</v>
          </cell>
          <cell r="U151" t="str">
            <v>40</v>
          </cell>
          <cell r="V151" t="str">
            <v>3</v>
          </cell>
          <cell r="W151" t="str">
            <v>60</v>
          </cell>
          <cell r="X151" t="str">
            <v>460</v>
          </cell>
          <cell r="Y151" t="str">
            <v>36.1</v>
          </cell>
          <cell r="AA151" t="str">
            <v>F1</v>
          </cell>
          <cell r="AG151" t="str">
            <v>HP</v>
          </cell>
          <cell r="AI151" t="str">
            <v>6310</v>
          </cell>
          <cell r="AJ151" t="str">
            <v>6310</v>
          </cell>
          <cell r="AO151" t="str">
            <v>B</v>
          </cell>
          <cell r="AP151" t="str">
            <v>G</v>
          </cell>
          <cell r="AQ151" t="str">
            <v>F</v>
          </cell>
          <cell r="AR151" t="str">
            <v>83.1</v>
          </cell>
          <cell r="AS151" t="str">
            <v>1.15</v>
          </cell>
          <cell r="AT151" t="str">
            <v>93.6</v>
          </cell>
          <cell r="AU151" t="str">
            <v>P2863314R</v>
          </cell>
          <cell r="AV151" t="b">
            <v>0</v>
          </cell>
          <cell r="EW151" t="str">
            <v>ECP4104T-4</v>
          </cell>
          <cell r="HD151" t="str">
            <v>Repair Shop</v>
          </cell>
          <cell r="HT151" t="b">
            <v>0</v>
          </cell>
          <cell r="HU151" t="str">
            <v>VALERO REFINING CO. BENICIA</v>
          </cell>
        </row>
        <row r="152">
          <cell r="A152">
            <v>5645</v>
          </cell>
          <cell r="B152" t="str">
            <v>VEM1550</v>
          </cell>
          <cell r="D152" t="str">
            <v>C&amp;H</v>
          </cell>
          <cell r="F152" t="str">
            <v>Baldor</v>
          </cell>
          <cell r="I152" t="str">
            <v>213TC</v>
          </cell>
          <cell r="K152" t="str">
            <v>7.5</v>
          </cell>
          <cell r="L152" t="str">
            <v>1800</v>
          </cell>
          <cell r="P152" t="str">
            <v>TEFC</v>
          </cell>
          <cell r="R152" t="str">
            <v>Continuous</v>
          </cell>
          <cell r="U152" t="str">
            <v>40</v>
          </cell>
          <cell r="V152" t="str">
            <v>3</v>
          </cell>
          <cell r="W152" t="str">
            <v>60</v>
          </cell>
          <cell r="X152" t="str">
            <v>230/460</v>
          </cell>
          <cell r="Y152" t="str">
            <v>20.6/10.3</v>
          </cell>
          <cell r="AA152" t="str">
            <v>F1</v>
          </cell>
          <cell r="AG152" t="str">
            <v>HP</v>
          </cell>
          <cell r="AI152" t="str">
            <v>6307</v>
          </cell>
          <cell r="AJ152" t="str">
            <v>6206</v>
          </cell>
          <cell r="AO152" t="str">
            <v>A</v>
          </cell>
          <cell r="AP152" t="str">
            <v>J</v>
          </cell>
          <cell r="AQ152" t="str">
            <v>F</v>
          </cell>
          <cell r="AR152" t="str">
            <v>78</v>
          </cell>
          <cell r="AS152" t="str">
            <v>1.15</v>
          </cell>
          <cell r="AT152" t="str">
            <v>86.5</v>
          </cell>
          <cell r="AU152" t="str">
            <v>37A003Y58/G1</v>
          </cell>
          <cell r="AV152" t="b">
            <v>0</v>
          </cell>
          <cell r="BY152" t="str">
            <v>17.15</v>
          </cell>
          <cell r="CB152" t="str">
            <v>7080</v>
          </cell>
          <cell r="CD152" t="str">
            <v>B80LP219TC</v>
          </cell>
          <cell r="EW152" t="str">
            <v>VM3710T</v>
          </cell>
          <cell r="HD152" t="str">
            <v>Repair Shop</v>
          </cell>
          <cell r="HE152" t="str">
            <v>SO:860001983.97.97.001</v>
          </cell>
          <cell r="HT152" t="b">
            <v>0</v>
          </cell>
          <cell r="HU152" t="str">
            <v>C &amp; H SUGAR CO.</v>
          </cell>
        </row>
        <row r="153">
          <cell r="A153">
            <v>5644</v>
          </cell>
          <cell r="B153" t="str">
            <v>VEM1549</v>
          </cell>
          <cell r="D153" t="str">
            <v>VALERO</v>
          </cell>
          <cell r="F153" t="str">
            <v>RELIANCE</v>
          </cell>
          <cell r="G153" t="str">
            <v>B435281</v>
          </cell>
          <cell r="H153" t="str">
            <v>B435281-010</v>
          </cell>
          <cell r="I153" t="str">
            <v>286T</v>
          </cell>
          <cell r="K153" t="str">
            <v>30</v>
          </cell>
          <cell r="L153" t="str">
            <v>1800</v>
          </cell>
          <cell r="M153" t="str">
            <v>P</v>
          </cell>
          <cell r="N153" t="str">
            <v>442</v>
          </cell>
          <cell r="P153" t="str">
            <v>TEFC</v>
          </cell>
          <cell r="R153" t="str">
            <v>Continuous</v>
          </cell>
          <cell r="U153" t="str">
            <v>40</v>
          </cell>
          <cell r="V153" t="str">
            <v>3</v>
          </cell>
          <cell r="W153" t="str">
            <v>60</v>
          </cell>
          <cell r="X153" t="str">
            <v>460</v>
          </cell>
          <cell r="Y153" t="str">
            <v>36.1</v>
          </cell>
          <cell r="AA153" t="str">
            <v>F1</v>
          </cell>
          <cell r="AD153" t="str">
            <v>0</v>
          </cell>
          <cell r="AG153" t="str">
            <v>HP</v>
          </cell>
          <cell r="AI153" t="str">
            <v>50RU03M30X</v>
          </cell>
          <cell r="AJ153" t="str">
            <v>50BC03J30X</v>
          </cell>
          <cell r="AO153" t="str">
            <v>B</v>
          </cell>
          <cell r="AP153" t="str">
            <v>G</v>
          </cell>
          <cell r="AQ153" t="str">
            <v>F</v>
          </cell>
          <cell r="AS153" t="str">
            <v>1.15</v>
          </cell>
          <cell r="AV153" t="b">
            <v>0</v>
          </cell>
          <cell r="HD153" t="str">
            <v>Repair Shop</v>
          </cell>
          <cell r="HT153" t="b">
            <v>0</v>
          </cell>
          <cell r="HU153" t="str">
            <v>VALERO REFINING CO. BENICIA</v>
          </cell>
        </row>
        <row r="154">
          <cell r="A154">
            <v>5643</v>
          </cell>
          <cell r="B154" t="str">
            <v>VEM1548</v>
          </cell>
          <cell r="D154" t="str">
            <v>VALERO</v>
          </cell>
          <cell r="F154" t="str">
            <v>Baldor</v>
          </cell>
          <cell r="H154" t="str">
            <v>C1602021077</v>
          </cell>
          <cell r="I154" t="str">
            <v>286T</v>
          </cell>
          <cell r="K154" t="str">
            <v>30</v>
          </cell>
          <cell r="L154" t="str">
            <v>1800</v>
          </cell>
          <cell r="N154" t="str">
            <v>475</v>
          </cell>
          <cell r="P154" t="str">
            <v>TEFC</v>
          </cell>
          <cell r="R154" t="str">
            <v>Continuous</v>
          </cell>
          <cell r="U154" t="str">
            <v>40</v>
          </cell>
          <cell r="V154" t="str">
            <v>3</v>
          </cell>
          <cell r="W154" t="str">
            <v>60</v>
          </cell>
          <cell r="X154" t="str">
            <v>230/460</v>
          </cell>
          <cell r="Y154" t="str">
            <v>72/36</v>
          </cell>
          <cell r="AA154" t="str">
            <v>F1</v>
          </cell>
          <cell r="AD154" t="str">
            <v>0</v>
          </cell>
          <cell r="AG154" t="str">
            <v>HP</v>
          </cell>
          <cell r="AI154" t="str">
            <v>6311</v>
          </cell>
          <cell r="AJ154" t="str">
            <v>6311</v>
          </cell>
          <cell r="AO154" t="str">
            <v>A</v>
          </cell>
          <cell r="AP154" t="str">
            <v>H</v>
          </cell>
          <cell r="AQ154" t="str">
            <v>F</v>
          </cell>
          <cell r="AR154" t="str">
            <v>83</v>
          </cell>
          <cell r="AS154" t="str">
            <v>1.15</v>
          </cell>
          <cell r="AT154" t="str">
            <v>93.6</v>
          </cell>
          <cell r="AU154" t="str">
            <v>10H292X207</v>
          </cell>
          <cell r="AV154" t="b">
            <v>0</v>
          </cell>
          <cell r="EW154" t="str">
            <v>ECP4104T</v>
          </cell>
          <cell r="HD154" t="str">
            <v>Repair Shop</v>
          </cell>
          <cell r="HT154" t="b">
            <v>0</v>
          </cell>
          <cell r="HU154" t="str">
            <v>VALERO REFINING CO. BENICIA</v>
          </cell>
        </row>
        <row r="155">
          <cell r="A155">
            <v>5642</v>
          </cell>
          <cell r="B155" t="str">
            <v>VEM1547</v>
          </cell>
          <cell r="D155" t="str">
            <v>SUPERSTORES</v>
          </cell>
          <cell r="F155" t="str">
            <v>Baldor</v>
          </cell>
          <cell r="H155" t="str">
            <v>F1605035295</v>
          </cell>
          <cell r="I155" t="str">
            <v>215TC</v>
          </cell>
          <cell r="K155" t="str">
            <v>10</v>
          </cell>
          <cell r="L155" t="str">
            <v>1770</v>
          </cell>
          <cell r="P155" t="str">
            <v>TEFC</v>
          </cell>
          <cell r="R155" t="str">
            <v>Continuous</v>
          </cell>
          <cell r="U155" t="str">
            <v>40</v>
          </cell>
          <cell r="V155" t="str">
            <v>3</v>
          </cell>
          <cell r="W155" t="str">
            <v>60</v>
          </cell>
          <cell r="X155" t="str">
            <v>230/460</v>
          </cell>
          <cell r="Y155" t="str">
            <v>24/12</v>
          </cell>
          <cell r="AA155" t="str">
            <v>F1</v>
          </cell>
          <cell r="AG155" t="str">
            <v>HP</v>
          </cell>
          <cell r="AI155" t="str">
            <v>6307</v>
          </cell>
          <cell r="AJ155" t="str">
            <v>6206</v>
          </cell>
          <cell r="AO155" t="str">
            <v>A</v>
          </cell>
          <cell r="AP155" t="str">
            <v>K</v>
          </cell>
          <cell r="AQ155" t="str">
            <v>F</v>
          </cell>
          <cell r="AR155" t="str">
            <v>85</v>
          </cell>
          <cell r="AS155" t="str">
            <v>1.15</v>
          </cell>
          <cell r="AT155" t="str">
            <v>91.7</v>
          </cell>
          <cell r="AU155" t="str">
            <v>37H887S518G1</v>
          </cell>
          <cell r="AV155" t="b">
            <v>0</v>
          </cell>
          <cell r="EW155" t="str">
            <v>CEWDM3714T</v>
          </cell>
          <cell r="HD155" t="str">
            <v>Repair Shop</v>
          </cell>
          <cell r="HT155" t="b">
            <v>0</v>
          </cell>
          <cell r="HU155" t="str">
            <v>Producers Dairy Foods</v>
          </cell>
        </row>
        <row r="156">
          <cell r="A156">
            <v>5641</v>
          </cell>
          <cell r="B156" t="str">
            <v>VEM1546</v>
          </cell>
          <cell r="D156" t="str">
            <v>CONHAGEN</v>
          </cell>
          <cell r="AG156" t="str">
            <v>HP</v>
          </cell>
          <cell r="AV156" t="b">
            <v>0</v>
          </cell>
          <cell r="HD156" t="str">
            <v>Repair Shop</v>
          </cell>
          <cell r="HT156" t="b">
            <v>0</v>
          </cell>
          <cell r="HU156" t="str">
            <v>ALFRED CONHAGEN CO. OF CA</v>
          </cell>
        </row>
        <row r="157">
          <cell r="A157">
            <v>5640</v>
          </cell>
          <cell r="B157" t="str">
            <v>VEM1545</v>
          </cell>
          <cell r="D157" t="str">
            <v>VALLEJOSAN</v>
          </cell>
          <cell r="F157" t="str">
            <v>WEMCO-HIDROSTAL</v>
          </cell>
          <cell r="G157" t="str">
            <v>IETT6-XYAK-XE1BA1-</v>
          </cell>
          <cell r="H157" t="str">
            <v>152205</v>
          </cell>
          <cell r="K157" t="str">
            <v>241</v>
          </cell>
          <cell r="L157" t="str">
            <v>1189</v>
          </cell>
          <cell r="P157" t="str">
            <v>EXP</v>
          </cell>
          <cell r="V157" t="str">
            <v>3</v>
          </cell>
          <cell r="W157" t="str">
            <v>60</v>
          </cell>
          <cell r="X157" t="str">
            <v>460</v>
          </cell>
          <cell r="Y157" t="str">
            <v>330</v>
          </cell>
          <cell r="AG157" t="str">
            <v>HP</v>
          </cell>
          <cell r="AP157" t="str">
            <v>G</v>
          </cell>
          <cell r="AS157" t="str">
            <v>1.0</v>
          </cell>
          <cell r="AV157" t="b">
            <v>0</v>
          </cell>
          <cell r="AY157" t="str">
            <v>WEMCO-HIDROSTAL</v>
          </cell>
          <cell r="AZ157" t="str">
            <v>I16K-HD-IETT6</v>
          </cell>
          <cell r="BA157" t="str">
            <v>05DW05601-01</v>
          </cell>
          <cell r="BC157" t="str">
            <v>40.0/32.0</v>
          </cell>
          <cell r="BE157" t="str">
            <v>12750/2500</v>
          </cell>
          <cell r="GK157" t="str">
            <v>PART #126401XP</v>
          </cell>
          <cell r="HD157" t="str">
            <v>Repair Shop</v>
          </cell>
          <cell r="HT157" t="b">
            <v>0</v>
          </cell>
          <cell r="HU157" t="str">
            <v>VALLEJO FLOOD &amp; WASTEWATER DISTRICT</v>
          </cell>
        </row>
        <row r="158">
          <cell r="A158">
            <v>5639</v>
          </cell>
          <cell r="B158" t="str">
            <v>VEM1544</v>
          </cell>
          <cell r="D158" t="str">
            <v>VALLEJOSAN</v>
          </cell>
          <cell r="F158" t="str">
            <v>WEMCO-HIDROSTAL</v>
          </cell>
          <cell r="G158" t="str">
            <v>I 16K - HD - IETT6</v>
          </cell>
          <cell r="H158" t="str">
            <v>152202</v>
          </cell>
          <cell r="K158" t="str">
            <v>241</v>
          </cell>
          <cell r="L158" t="str">
            <v>1189</v>
          </cell>
          <cell r="P158" t="str">
            <v>EXP</v>
          </cell>
          <cell r="U158" t="str">
            <v>40</v>
          </cell>
          <cell r="V158" t="str">
            <v>3</v>
          </cell>
          <cell r="W158" t="str">
            <v>60</v>
          </cell>
          <cell r="X158" t="str">
            <v>460</v>
          </cell>
          <cell r="Y158" t="str">
            <v>330</v>
          </cell>
          <cell r="AG158" t="str">
            <v>HP</v>
          </cell>
          <cell r="AP158" t="str">
            <v>G</v>
          </cell>
          <cell r="AS158" t="str">
            <v>1</v>
          </cell>
          <cell r="AV158" t="b">
            <v>0</v>
          </cell>
          <cell r="AY158" t="str">
            <v>WEMCO-HIDROSTAL</v>
          </cell>
          <cell r="AZ158" t="str">
            <v>I 16K - HD - IETT6</v>
          </cell>
          <cell r="BA158" t="str">
            <v>05DW05601-05</v>
          </cell>
          <cell r="BC158" t="str">
            <v>40.0/32.0</v>
          </cell>
          <cell r="BE158" t="str">
            <v>12750/2500</v>
          </cell>
          <cell r="EX158" t="str">
            <v>010A1</v>
          </cell>
          <cell r="GK158" t="str">
            <v>PART #126401XP</v>
          </cell>
          <cell r="HD158" t="str">
            <v>Repair Shop</v>
          </cell>
          <cell r="HT158" t="b">
            <v>0</v>
          </cell>
          <cell r="HU158" t="str">
            <v>VALLEJO FLOOD &amp; WASTEWATER DISTRICT</v>
          </cell>
        </row>
        <row r="159">
          <cell r="A159">
            <v>5638</v>
          </cell>
          <cell r="B159" t="str">
            <v>VEM1543</v>
          </cell>
          <cell r="D159" t="str">
            <v>SYAR</v>
          </cell>
          <cell r="F159" t="str">
            <v>US Motors</v>
          </cell>
          <cell r="G159" t="str">
            <v>B048</v>
          </cell>
          <cell r="I159" t="str">
            <v>256JP</v>
          </cell>
          <cell r="K159" t="str">
            <v>20</v>
          </cell>
          <cell r="L159" t="str">
            <v>3530</v>
          </cell>
          <cell r="M159" t="str">
            <v>UT-1</v>
          </cell>
          <cell r="N159" t="str">
            <v>230</v>
          </cell>
          <cell r="P159" t="str">
            <v>TEFC</v>
          </cell>
          <cell r="R159" t="str">
            <v>Continuous</v>
          </cell>
          <cell r="U159" t="str">
            <v>40</v>
          </cell>
          <cell r="V159" t="str">
            <v>3</v>
          </cell>
          <cell r="W159" t="str">
            <v>60</v>
          </cell>
          <cell r="X159" t="str">
            <v>208-230/460</v>
          </cell>
          <cell r="Y159" t="str">
            <v>55-48/24</v>
          </cell>
          <cell r="AA159" t="str">
            <v>F1</v>
          </cell>
          <cell r="AD159" t="str">
            <v>0</v>
          </cell>
          <cell r="AG159" t="str">
            <v>HP</v>
          </cell>
          <cell r="AI159" t="str">
            <v>6310-2ZJ/C3</v>
          </cell>
          <cell r="AJ159" t="str">
            <v>6207-2ZJ/C3</v>
          </cell>
          <cell r="AO159" t="str">
            <v>B</v>
          </cell>
          <cell r="AP159" t="str">
            <v>G</v>
          </cell>
          <cell r="AQ159" t="str">
            <v>F</v>
          </cell>
          <cell r="AR159" t="str">
            <v>88.1</v>
          </cell>
          <cell r="AS159" t="str">
            <v>1.25</v>
          </cell>
          <cell r="AT159" t="str">
            <v>88.5</v>
          </cell>
          <cell r="AV159" t="b">
            <v>0</v>
          </cell>
          <cell r="AY159" t="str">
            <v>ITI MARLOW PUMPS</v>
          </cell>
          <cell r="AZ159" t="str">
            <v>3PL4EC</v>
          </cell>
          <cell r="BA159" t="str">
            <v>438C822</v>
          </cell>
          <cell r="BB159" t="str">
            <v>DIA 6.500</v>
          </cell>
          <cell r="EW159" t="str">
            <v>UJ20S1AP</v>
          </cell>
          <cell r="HD159" t="str">
            <v>Repair Shop</v>
          </cell>
          <cell r="HT159" t="b">
            <v>0</v>
          </cell>
          <cell r="HU159" t="str">
            <v>SYAR INDUSTRIES</v>
          </cell>
        </row>
        <row r="160">
          <cell r="A160">
            <v>5637</v>
          </cell>
          <cell r="B160" t="str">
            <v>VEM1542</v>
          </cell>
          <cell r="D160" t="str">
            <v>VALERO</v>
          </cell>
          <cell r="F160" t="str">
            <v>Reliance</v>
          </cell>
          <cell r="I160" t="str">
            <v>13EA5008S</v>
          </cell>
          <cell r="K160" t="str">
            <v>300</v>
          </cell>
          <cell r="L160" t="str">
            <v>3573</v>
          </cell>
          <cell r="M160" t="str">
            <v>P</v>
          </cell>
          <cell r="P160" t="str">
            <v>WP2</v>
          </cell>
          <cell r="R160" t="str">
            <v>Continuous</v>
          </cell>
          <cell r="U160" t="str">
            <v>40</v>
          </cell>
          <cell r="V160" t="str">
            <v>3</v>
          </cell>
          <cell r="W160" t="str">
            <v>60</v>
          </cell>
          <cell r="X160" t="str">
            <v>2300/4000</v>
          </cell>
          <cell r="Y160" t="str">
            <v>65.9/37.9</v>
          </cell>
          <cell r="AA160" t="str">
            <v>F1</v>
          </cell>
          <cell r="AD160" t="str">
            <v>0</v>
          </cell>
          <cell r="AG160" t="str">
            <v>HP</v>
          </cell>
          <cell r="AP160" t="str">
            <v>G</v>
          </cell>
          <cell r="AQ160" t="str">
            <v>F</v>
          </cell>
          <cell r="AS160" t="str">
            <v>1.15</v>
          </cell>
          <cell r="AV160" t="b">
            <v>0</v>
          </cell>
          <cell r="EX160" t="str">
            <v>VAQ6273774-A1-BF</v>
          </cell>
          <cell r="HD160" t="str">
            <v>Repair Shop</v>
          </cell>
          <cell r="HT160" t="b">
            <v>0</v>
          </cell>
          <cell r="HU160" t="str">
            <v>VALERO REFINING CO. BENICIA</v>
          </cell>
        </row>
        <row r="161">
          <cell r="A161">
            <v>5636</v>
          </cell>
          <cell r="B161" t="str">
            <v>VEM1541</v>
          </cell>
          <cell r="D161" t="str">
            <v>VALLEJOWATER</v>
          </cell>
          <cell r="F161" t="str">
            <v>US Motors</v>
          </cell>
          <cell r="I161" t="str">
            <v>254TP</v>
          </cell>
          <cell r="K161" t="str">
            <v>15</v>
          </cell>
          <cell r="L161" t="str">
            <v>3525</v>
          </cell>
          <cell r="M161" t="str">
            <v>TUCE</v>
          </cell>
          <cell r="P161" t="str">
            <v>TEFC</v>
          </cell>
          <cell r="R161" t="str">
            <v>Continuous</v>
          </cell>
          <cell r="U161" t="str">
            <v>40</v>
          </cell>
          <cell r="V161" t="str">
            <v>3</v>
          </cell>
          <cell r="W161" t="str">
            <v>60</v>
          </cell>
          <cell r="X161" t="str">
            <v>460/230</v>
          </cell>
          <cell r="Y161" t="str">
            <v>18.5/37</v>
          </cell>
          <cell r="AA161" t="str">
            <v>Vertical</v>
          </cell>
          <cell r="AG161" t="str">
            <v>HP</v>
          </cell>
          <cell r="AI161" t="str">
            <v>7310B-T</v>
          </cell>
          <cell r="AJ161" t="str">
            <v>6210-J/C3</v>
          </cell>
          <cell r="AO161" t="str">
            <v>B</v>
          </cell>
          <cell r="AP161" t="str">
            <v>G</v>
          </cell>
          <cell r="AQ161" t="str">
            <v>F</v>
          </cell>
          <cell r="AS161" t="str">
            <v>1.15</v>
          </cell>
          <cell r="AT161" t="str">
            <v>86.5</v>
          </cell>
          <cell r="AV161" t="b">
            <v>0</v>
          </cell>
          <cell r="EX161" t="str">
            <v>H22165/A12A2760635F</v>
          </cell>
          <cell r="HD161" t="str">
            <v>Repair Shop</v>
          </cell>
          <cell r="HT161" t="b">
            <v>0</v>
          </cell>
          <cell r="HU161" t="str">
            <v>CITY OF VALLEJO WATER TREATMENT</v>
          </cell>
        </row>
        <row r="162">
          <cell r="A162">
            <v>5635</v>
          </cell>
          <cell r="B162" t="str">
            <v>VEM1540</v>
          </cell>
          <cell r="D162" t="str">
            <v>CONHAGEN</v>
          </cell>
          <cell r="F162" t="str">
            <v>Marathon</v>
          </cell>
          <cell r="G162" t="str">
            <v>2C 182TTFS7971AP L</v>
          </cell>
          <cell r="I162" t="str">
            <v>182TD</v>
          </cell>
          <cell r="K162" t="str">
            <v>3</v>
          </cell>
          <cell r="L162" t="str">
            <v>1735</v>
          </cell>
          <cell r="M162" t="str">
            <v>TFS</v>
          </cell>
          <cell r="P162" t="str">
            <v>TEFC</v>
          </cell>
          <cell r="R162" t="str">
            <v>Continuous</v>
          </cell>
          <cell r="U162" t="str">
            <v>40</v>
          </cell>
          <cell r="V162" t="str">
            <v>3</v>
          </cell>
          <cell r="W162" t="str">
            <v>60</v>
          </cell>
          <cell r="X162" t="str">
            <v>230/460</v>
          </cell>
          <cell r="Y162" t="str">
            <v>8.6/4.3</v>
          </cell>
          <cell r="AA162" t="str">
            <v>F1</v>
          </cell>
          <cell r="AD162" t="str">
            <v>0</v>
          </cell>
          <cell r="AG162" t="str">
            <v>HP</v>
          </cell>
          <cell r="AI162" t="str">
            <v>206</v>
          </cell>
          <cell r="AJ162" t="str">
            <v>205</v>
          </cell>
          <cell r="AO162" t="str">
            <v>B</v>
          </cell>
          <cell r="AP162" t="str">
            <v>J</v>
          </cell>
          <cell r="AQ162" t="str">
            <v>F3</v>
          </cell>
          <cell r="AS162" t="str">
            <v>1.15</v>
          </cell>
          <cell r="AT162" t="str">
            <v>73.6</v>
          </cell>
          <cell r="AV162" t="b">
            <v>0</v>
          </cell>
          <cell r="HD162" t="str">
            <v>Repair Shop</v>
          </cell>
          <cell r="HT162" t="b">
            <v>0</v>
          </cell>
          <cell r="HU162" t="str">
            <v>ALFRED CONHAGEN CO. OF CA</v>
          </cell>
        </row>
        <row r="163">
          <cell r="A163">
            <v>5634</v>
          </cell>
          <cell r="B163" t="str">
            <v>VEM1539</v>
          </cell>
          <cell r="D163" t="str">
            <v>CONHAGEN</v>
          </cell>
          <cell r="F163" t="str">
            <v>Baldor</v>
          </cell>
          <cell r="H163" t="str">
            <v>C1509141262</v>
          </cell>
          <cell r="I163" t="str">
            <v>326T</v>
          </cell>
          <cell r="K163" t="str">
            <v>50</v>
          </cell>
          <cell r="L163" t="str">
            <v>1770</v>
          </cell>
          <cell r="P163" t="str">
            <v>TEFC</v>
          </cell>
          <cell r="R163" t="str">
            <v>Continuous</v>
          </cell>
          <cell r="U163" t="str">
            <v>40</v>
          </cell>
          <cell r="V163" t="str">
            <v>3</v>
          </cell>
          <cell r="W163" t="str">
            <v>60</v>
          </cell>
          <cell r="X163" t="str">
            <v>460</v>
          </cell>
          <cell r="Y163" t="str">
            <v>57</v>
          </cell>
          <cell r="AA163" t="str">
            <v>F1</v>
          </cell>
          <cell r="AD163" t="str">
            <v>0</v>
          </cell>
          <cell r="AG163" t="str">
            <v>HP</v>
          </cell>
          <cell r="AI163" t="str">
            <v>6312</v>
          </cell>
          <cell r="AJ163" t="str">
            <v>6312</v>
          </cell>
          <cell r="AO163" t="str">
            <v>B</v>
          </cell>
          <cell r="AP163" t="str">
            <v>G</v>
          </cell>
          <cell r="AQ163" t="str">
            <v>F</v>
          </cell>
          <cell r="AR163" t="str">
            <v>87</v>
          </cell>
          <cell r="AS163" t="str">
            <v>1.15</v>
          </cell>
          <cell r="AT163" t="str">
            <v>94.5</v>
          </cell>
          <cell r="AU163" t="str">
            <v>M12E599X731MD</v>
          </cell>
          <cell r="AV163" t="b">
            <v>0</v>
          </cell>
          <cell r="EW163" t="str">
            <v>1200333203-000030</v>
          </cell>
          <cell r="HD163" t="str">
            <v>Repair Shop</v>
          </cell>
          <cell r="HT163" t="b">
            <v>0</v>
          </cell>
          <cell r="HU163" t="str">
            <v>ALFRED CONHAGEN CO. OF CA</v>
          </cell>
        </row>
        <row r="164">
          <cell r="A164">
            <v>5633</v>
          </cell>
          <cell r="B164" t="str">
            <v>VEM1538</v>
          </cell>
          <cell r="D164" t="str">
            <v>P66</v>
          </cell>
          <cell r="F164" t="str">
            <v>US Motors</v>
          </cell>
          <cell r="G164" t="str">
            <v>DL08</v>
          </cell>
          <cell r="I164" t="str">
            <v>286T</v>
          </cell>
          <cell r="K164" t="str">
            <v>30</v>
          </cell>
          <cell r="L164" t="str">
            <v>1775</v>
          </cell>
          <cell r="M164" t="str">
            <v>CE</v>
          </cell>
          <cell r="N164" t="str">
            <v>410</v>
          </cell>
          <cell r="P164" t="str">
            <v>TEFC</v>
          </cell>
          <cell r="R164" t="str">
            <v>Continuous</v>
          </cell>
          <cell r="U164" t="str">
            <v>40</v>
          </cell>
          <cell r="V164" t="str">
            <v>3</v>
          </cell>
          <cell r="W164" t="str">
            <v>60</v>
          </cell>
          <cell r="X164" t="str">
            <v>460</v>
          </cell>
          <cell r="Y164" t="str">
            <v>35.00</v>
          </cell>
          <cell r="AA164" t="str">
            <v>F1</v>
          </cell>
          <cell r="AG164" t="str">
            <v>HP</v>
          </cell>
          <cell r="AI164" t="str">
            <v>50BC03J3</v>
          </cell>
          <cell r="AJ164" t="str">
            <v>50BC03J3</v>
          </cell>
          <cell r="AO164" t="str">
            <v>B</v>
          </cell>
          <cell r="AP164" t="str">
            <v>6</v>
          </cell>
          <cell r="AQ164" t="str">
            <v>F</v>
          </cell>
          <cell r="AR164" t="str">
            <v>86.9</v>
          </cell>
          <cell r="AS164" t="str">
            <v>1.15</v>
          </cell>
          <cell r="AT164" t="str">
            <v>93.6</v>
          </cell>
          <cell r="AV164" t="b">
            <v>0</v>
          </cell>
          <cell r="EX164" t="str">
            <v>V 12 7611259-0009 M 0002</v>
          </cell>
          <cell r="HD164" t="str">
            <v>Repair Shop</v>
          </cell>
          <cell r="HT164" t="b">
            <v>0</v>
          </cell>
          <cell r="HU164" t="str">
            <v>PHILLIPS 66</v>
          </cell>
        </row>
        <row r="165">
          <cell r="A165">
            <v>5632</v>
          </cell>
          <cell r="B165" t="str">
            <v>VEM1537</v>
          </cell>
          <cell r="D165" t="str">
            <v>P66</v>
          </cell>
          <cell r="AG165" t="str">
            <v>HP</v>
          </cell>
          <cell r="AV165" t="b">
            <v>0</v>
          </cell>
          <cell r="HD165" t="str">
            <v>Repair Shop</v>
          </cell>
          <cell r="HT165" t="b">
            <v>0</v>
          </cell>
          <cell r="HU165" t="str">
            <v>PHILLIPS 66</v>
          </cell>
        </row>
        <row r="166">
          <cell r="A166">
            <v>5631</v>
          </cell>
          <cell r="B166" t="str">
            <v>VEM1536</v>
          </cell>
          <cell r="D166" t="str">
            <v>CONHAGEN</v>
          </cell>
          <cell r="F166" t="str">
            <v>GE</v>
          </cell>
          <cell r="G166" t="str">
            <v>5KS145XAA220D2</v>
          </cell>
          <cell r="H166" t="str">
            <v>EMFT312S028</v>
          </cell>
          <cell r="I166" t="str">
            <v>145T</v>
          </cell>
          <cell r="K166" t="str">
            <v>2</v>
          </cell>
          <cell r="L166" t="str">
            <v>1735</v>
          </cell>
          <cell r="M166" t="str">
            <v>KS</v>
          </cell>
          <cell r="N166" t="str">
            <v>50</v>
          </cell>
          <cell r="P166" t="str">
            <v>TEFC</v>
          </cell>
          <cell r="R166" t="str">
            <v>Continuous</v>
          </cell>
          <cell r="U166" t="str">
            <v>40</v>
          </cell>
          <cell r="V166" t="str">
            <v>3</v>
          </cell>
          <cell r="W166" t="str">
            <v>60</v>
          </cell>
          <cell r="X166" t="str">
            <v>460</v>
          </cell>
          <cell r="Y166" t="str">
            <v>2.7</v>
          </cell>
          <cell r="AA166" t="str">
            <v>F1</v>
          </cell>
          <cell r="AG166" t="str">
            <v>HP</v>
          </cell>
          <cell r="AI166" t="str">
            <v>6205ZC3</v>
          </cell>
          <cell r="AJ166" t="str">
            <v>6205ZC3</v>
          </cell>
          <cell r="AO166" t="str">
            <v>B</v>
          </cell>
          <cell r="AP166" t="str">
            <v>L</v>
          </cell>
          <cell r="AQ166" t="str">
            <v>H</v>
          </cell>
          <cell r="AR166" t="str">
            <v>79.0</v>
          </cell>
          <cell r="AS166" t="str">
            <v>1.15</v>
          </cell>
          <cell r="AT166" t="str">
            <v>86.5</v>
          </cell>
          <cell r="AV166" t="b">
            <v>0</v>
          </cell>
          <cell r="EW166" t="str">
            <v>M361</v>
          </cell>
          <cell r="HD166" t="str">
            <v>Repair Shop</v>
          </cell>
          <cell r="HT166" t="b">
            <v>0</v>
          </cell>
          <cell r="HU166" t="str">
            <v>ALFRED CONHAGEN CO. OF CA</v>
          </cell>
        </row>
        <row r="167">
          <cell r="A167">
            <v>5630</v>
          </cell>
          <cell r="B167" t="str">
            <v>VEM1535</v>
          </cell>
          <cell r="D167" t="str">
            <v>CONHAGEN</v>
          </cell>
          <cell r="F167" t="str">
            <v>Toshiba</v>
          </cell>
          <cell r="G167" t="str">
            <v>B0024YLF2ASH</v>
          </cell>
          <cell r="H167" t="str">
            <v>070301621</v>
          </cell>
          <cell r="I167" t="str">
            <v>145T</v>
          </cell>
          <cell r="K167" t="str">
            <v>2</v>
          </cell>
          <cell r="L167" t="str">
            <v>1735</v>
          </cell>
          <cell r="M167" t="str">
            <v>IKH</v>
          </cell>
          <cell r="P167" t="str">
            <v>EXP</v>
          </cell>
          <cell r="R167" t="str">
            <v>Continuous</v>
          </cell>
          <cell r="U167" t="str">
            <v>40</v>
          </cell>
          <cell r="W167" t="str">
            <v>60</v>
          </cell>
          <cell r="X167" t="str">
            <v>230/460</v>
          </cell>
          <cell r="Y167" t="str">
            <v>5.6/2.8</v>
          </cell>
          <cell r="AA167" t="str">
            <v>F1</v>
          </cell>
          <cell r="AG167" t="str">
            <v>HP</v>
          </cell>
          <cell r="AI167" t="str">
            <v>6305UU</v>
          </cell>
          <cell r="AJ167" t="str">
            <v>6305UU</v>
          </cell>
          <cell r="AO167" t="str">
            <v>B</v>
          </cell>
          <cell r="AP167" t="str">
            <v>L</v>
          </cell>
          <cell r="AQ167" t="str">
            <v>F</v>
          </cell>
          <cell r="AR167" t="str">
            <v>80.0</v>
          </cell>
          <cell r="AS167" t="str">
            <v>1.15</v>
          </cell>
          <cell r="AT167" t="str">
            <v>85.5</v>
          </cell>
          <cell r="AV167" t="b">
            <v>0</v>
          </cell>
          <cell r="AX167" t="str">
            <v>4</v>
          </cell>
          <cell r="HD167" t="str">
            <v>Repair Shop</v>
          </cell>
          <cell r="HT167" t="b">
            <v>0</v>
          </cell>
          <cell r="HU167" t="str">
            <v>ALFRED CONHAGEN CO. OF CA</v>
          </cell>
        </row>
        <row r="168">
          <cell r="A168">
            <v>5629</v>
          </cell>
          <cell r="B168" t="str">
            <v>VEM1534</v>
          </cell>
          <cell r="D168" t="str">
            <v>P66</v>
          </cell>
          <cell r="AG168" t="str">
            <v>HP</v>
          </cell>
          <cell r="AV168" t="b">
            <v>0</v>
          </cell>
          <cell r="HD168" t="str">
            <v>Repair Shop</v>
          </cell>
          <cell r="HT168" t="b">
            <v>0</v>
          </cell>
          <cell r="HU168" t="str">
            <v>PHILLIPS 66</v>
          </cell>
        </row>
        <row r="169">
          <cell r="A169">
            <v>5628</v>
          </cell>
          <cell r="B169" t="str">
            <v>VEM1533</v>
          </cell>
          <cell r="D169" t="str">
            <v>RODEO</v>
          </cell>
          <cell r="F169" t="str">
            <v>UNITEC</v>
          </cell>
          <cell r="I169" t="str">
            <v>132M4</v>
          </cell>
          <cell r="K169" t="str">
            <v>7.5</v>
          </cell>
          <cell r="L169" t="str">
            <v>1740</v>
          </cell>
          <cell r="X169" t="str">
            <v>480</v>
          </cell>
          <cell r="AD169" t="str">
            <v>-1</v>
          </cell>
          <cell r="AG169" t="str">
            <v>KW</v>
          </cell>
          <cell r="AV169" t="b">
            <v>0</v>
          </cell>
          <cell r="GK169" t="str">
            <v>NO 000028</v>
          </cell>
          <cell r="HD169" t="str">
            <v>Repair Shop</v>
          </cell>
          <cell r="HT169" t="b">
            <v>0</v>
          </cell>
          <cell r="HU169" t="str">
            <v>RODEO SANITARY DISTRICT</v>
          </cell>
        </row>
        <row r="170">
          <cell r="A170">
            <v>5627</v>
          </cell>
          <cell r="B170" t="str">
            <v>VEM1532</v>
          </cell>
          <cell r="D170" t="str">
            <v>STOCKTONMUNI</v>
          </cell>
          <cell r="F170" t="str">
            <v>GE</v>
          </cell>
          <cell r="G170" t="str">
            <v>5K404XA72A</v>
          </cell>
          <cell r="H170" t="str">
            <v>ZKJ1207019</v>
          </cell>
          <cell r="I170" t="str">
            <v>404P</v>
          </cell>
          <cell r="K170" t="str">
            <v>25</v>
          </cell>
          <cell r="L170" t="str">
            <v>1170</v>
          </cell>
          <cell r="M170" t="str">
            <v>K</v>
          </cell>
          <cell r="P170" t="str">
            <v>ODP</v>
          </cell>
          <cell r="R170" t="str">
            <v>Continuous</v>
          </cell>
          <cell r="U170" t="str">
            <v>40</v>
          </cell>
          <cell r="V170" t="str">
            <v>3</v>
          </cell>
          <cell r="W170" t="str">
            <v>60</v>
          </cell>
          <cell r="X170" t="str">
            <v>220/440</v>
          </cell>
          <cell r="Y170" t="str">
            <v>63/31.5</v>
          </cell>
          <cell r="AA170" t="str">
            <v>Vertical</v>
          </cell>
          <cell r="AG170" t="str">
            <v>HP</v>
          </cell>
          <cell r="AO170" t="str">
            <v>B</v>
          </cell>
          <cell r="AP170" t="str">
            <v>F</v>
          </cell>
          <cell r="AS170" t="str">
            <v>1.15</v>
          </cell>
          <cell r="AV170" t="b">
            <v>0</v>
          </cell>
          <cell r="GK170" t="str">
            <v>ZKJ1207019</v>
          </cell>
          <cell r="HD170" t="str">
            <v>Repair Shop</v>
          </cell>
          <cell r="HT170" t="b">
            <v>0</v>
          </cell>
          <cell r="HU170" t="str">
            <v>CITY OF STOCKTON MUNICIPAL UTILITIES</v>
          </cell>
        </row>
        <row r="171">
          <cell r="A171">
            <v>5626</v>
          </cell>
          <cell r="B171" t="str">
            <v>VEM1531</v>
          </cell>
          <cell r="D171" t="str">
            <v>TURBO</v>
          </cell>
          <cell r="F171" t="str">
            <v>US Motors</v>
          </cell>
          <cell r="I171" t="str">
            <v>182VP</v>
          </cell>
          <cell r="K171" t="str">
            <v>3</v>
          </cell>
          <cell r="L171" t="str">
            <v>1740</v>
          </cell>
          <cell r="M171" t="str">
            <v>LVCE</v>
          </cell>
          <cell r="P171" t="str">
            <v>TEFC</v>
          </cell>
          <cell r="R171" t="str">
            <v>Continuous</v>
          </cell>
          <cell r="U171" t="str">
            <v>40</v>
          </cell>
          <cell r="V171" t="str">
            <v>3</v>
          </cell>
          <cell r="W171" t="str">
            <v>60</v>
          </cell>
          <cell r="X171" t="str">
            <v>460</v>
          </cell>
          <cell r="Y171" t="str">
            <v>4.5</v>
          </cell>
          <cell r="AA171" t="str">
            <v>Vertical</v>
          </cell>
          <cell r="AG171" t="str">
            <v>HP</v>
          </cell>
          <cell r="AI171" t="str">
            <v>6308-J/C3</v>
          </cell>
          <cell r="AJ171" t="str">
            <v>6205-J/C3</v>
          </cell>
          <cell r="AO171" t="str">
            <v>B</v>
          </cell>
          <cell r="AP171" t="str">
            <v>K</v>
          </cell>
          <cell r="AQ171" t="str">
            <v>F</v>
          </cell>
          <cell r="AS171" t="str">
            <v>1.0</v>
          </cell>
          <cell r="AT171" t="str">
            <v>84.0</v>
          </cell>
          <cell r="AV171" t="b">
            <v>0</v>
          </cell>
          <cell r="EX171" t="str">
            <v>G42688/T11T2690223F</v>
          </cell>
          <cell r="HD171" t="str">
            <v>Repair Shop</v>
          </cell>
          <cell r="HT171" t="b">
            <v>0</v>
          </cell>
          <cell r="HU171" t="str">
            <v>TURBO MACHINE</v>
          </cell>
        </row>
        <row r="172">
          <cell r="A172">
            <v>5625</v>
          </cell>
          <cell r="B172" t="str">
            <v>VEM1530</v>
          </cell>
          <cell r="D172" t="str">
            <v>INTEGRATED</v>
          </cell>
          <cell r="F172" t="str">
            <v>Westinghouse</v>
          </cell>
          <cell r="G172" t="str">
            <v>AAFC</v>
          </cell>
          <cell r="H172" t="str">
            <v>6810</v>
          </cell>
          <cell r="I172" t="str">
            <v>405UPZ</v>
          </cell>
          <cell r="K172" t="str">
            <v>75</v>
          </cell>
          <cell r="L172" t="str">
            <v>3565</v>
          </cell>
          <cell r="P172" t="str">
            <v>TEFC</v>
          </cell>
          <cell r="R172" t="str">
            <v>Continuous</v>
          </cell>
          <cell r="U172" t="str">
            <v>40</v>
          </cell>
          <cell r="V172" t="str">
            <v>3</v>
          </cell>
          <cell r="W172" t="str">
            <v>60</v>
          </cell>
          <cell r="X172" t="str">
            <v>460</v>
          </cell>
          <cell r="Y172" t="str">
            <v>83</v>
          </cell>
          <cell r="AA172" t="str">
            <v>Vertical</v>
          </cell>
          <cell r="AG172" t="str">
            <v>HP</v>
          </cell>
          <cell r="AI172" t="str">
            <v>2736D30G06</v>
          </cell>
          <cell r="AJ172" t="str">
            <v>2736D30G04</v>
          </cell>
          <cell r="AP172" t="str">
            <v>H</v>
          </cell>
          <cell r="AQ172" t="str">
            <v>B</v>
          </cell>
          <cell r="AS172" t="str">
            <v>1.0</v>
          </cell>
          <cell r="AV172" t="b">
            <v>0</v>
          </cell>
          <cell r="EY172" t="str">
            <v>67C62198</v>
          </cell>
          <cell r="HD172" t="str">
            <v>Repair Shop</v>
          </cell>
          <cell r="HT172" t="b">
            <v>0</v>
          </cell>
          <cell r="HU172" t="str">
            <v>INTEGRATED TURBO MACHINERY, INC.</v>
          </cell>
        </row>
        <row r="173">
          <cell r="A173">
            <v>5624</v>
          </cell>
          <cell r="B173" t="str">
            <v>VEM1529</v>
          </cell>
          <cell r="D173" t="str">
            <v>WESTCOUNTYWASTE</v>
          </cell>
          <cell r="F173" t="str">
            <v>FLYGT</v>
          </cell>
          <cell r="H173" t="str">
            <v>3153.095-1340052</v>
          </cell>
          <cell r="K173" t="str">
            <v>15</v>
          </cell>
          <cell r="L173" t="str">
            <v>1755</v>
          </cell>
          <cell r="N173" t="str">
            <v>210 kg</v>
          </cell>
          <cell r="P173" t="str">
            <v>EXP</v>
          </cell>
          <cell r="R173" t="str">
            <v>Continuous</v>
          </cell>
          <cell r="U173" t="str">
            <v>40</v>
          </cell>
          <cell r="V173" t="str">
            <v>3</v>
          </cell>
          <cell r="W173" t="str">
            <v>60</v>
          </cell>
          <cell r="X173" t="str">
            <v>230/460</v>
          </cell>
          <cell r="Y173" t="str">
            <v>19/39</v>
          </cell>
          <cell r="AD173" t="str">
            <v>0</v>
          </cell>
          <cell r="AG173" t="str">
            <v>HP</v>
          </cell>
          <cell r="AV173" t="b">
            <v>0</v>
          </cell>
          <cell r="GK173" t="str">
            <v>Product number3153.095-0215</v>
          </cell>
          <cell r="GL173" t="str">
            <v>Curve code  463</v>
          </cell>
          <cell r="HD173" t="str">
            <v>Repair Shop</v>
          </cell>
          <cell r="HT173" t="b">
            <v>0</v>
          </cell>
          <cell r="HU173" t="str">
            <v>WEST COUNTY WASTEWATER DISTRICT</v>
          </cell>
        </row>
        <row r="174">
          <cell r="A174">
            <v>5623</v>
          </cell>
          <cell r="B174" t="str">
            <v>VEM1528</v>
          </cell>
          <cell r="D174" t="str">
            <v>VALERO</v>
          </cell>
          <cell r="F174" t="str">
            <v>Reliance</v>
          </cell>
          <cell r="I174" t="str">
            <v>286T</v>
          </cell>
          <cell r="K174" t="str">
            <v>30</v>
          </cell>
          <cell r="L174" t="str">
            <v>1770</v>
          </cell>
          <cell r="M174" t="str">
            <v>P</v>
          </cell>
          <cell r="P174" t="str">
            <v>TEFC</v>
          </cell>
          <cell r="R174" t="str">
            <v>Continuous</v>
          </cell>
          <cell r="U174" t="str">
            <v>40</v>
          </cell>
          <cell r="V174" t="str">
            <v>3</v>
          </cell>
          <cell r="W174" t="str">
            <v>60</v>
          </cell>
          <cell r="X174" t="str">
            <v>460</v>
          </cell>
          <cell r="Y174" t="str">
            <v>35.6</v>
          </cell>
          <cell r="AA174" t="str">
            <v>F1</v>
          </cell>
          <cell r="AD174" t="str">
            <v>0</v>
          </cell>
          <cell r="AG174" t="str">
            <v>HP</v>
          </cell>
          <cell r="AI174" t="str">
            <v>50BC03X30X26</v>
          </cell>
          <cell r="AJ174" t="str">
            <v>50BC03X30X26</v>
          </cell>
          <cell r="AO174" t="str">
            <v>B</v>
          </cell>
          <cell r="AP174" t="str">
            <v>G</v>
          </cell>
          <cell r="AQ174" t="str">
            <v>F</v>
          </cell>
          <cell r="AR174" t="str">
            <v>84.5</v>
          </cell>
          <cell r="AS174" t="str">
            <v>1.15</v>
          </cell>
          <cell r="AT174" t="str">
            <v>93.0</v>
          </cell>
          <cell r="AV174" t="b">
            <v>0</v>
          </cell>
          <cell r="EX174" t="str">
            <v>P28G3314F-G03-SK</v>
          </cell>
          <cell r="HD174" t="str">
            <v>Repair Shop</v>
          </cell>
          <cell r="HT174" t="b">
            <v>0</v>
          </cell>
          <cell r="HU174" t="str">
            <v>VALERO REFINING CO. BENICIA</v>
          </cell>
        </row>
        <row r="175">
          <cell r="A175">
            <v>5622</v>
          </cell>
          <cell r="B175" t="str">
            <v>VEM1527</v>
          </cell>
          <cell r="D175" t="str">
            <v>VALERO</v>
          </cell>
          <cell r="F175" t="str">
            <v>Baldor</v>
          </cell>
          <cell r="G175" t="str">
            <v>B517680</v>
          </cell>
          <cell r="H175" t="str">
            <v>B517680-010</v>
          </cell>
          <cell r="I175" t="str">
            <v>324T</v>
          </cell>
          <cell r="K175" t="str">
            <v>40</v>
          </cell>
          <cell r="L175" t="str">
            <v>1775</v>
          </cell>
          <cell r="M175" t="str">
            <v>P</v>
          </cell>
          <cell r="N175" t="str">
            <v>690</v>
          </cell>
          <cell r="P175" t="str">
            <v>TEFC</v>
          </cell>
          <cell r="R175" t="str">
            <v>Continuous</v>
          </cell>
          <cell r="U175" t="str">
            <v>40</v>
          </cell>
          <cell r="V175" t="str">
            <v>3</v>
          </cell>
          <cell r="W175" t="str">
            <v>6-60</v>
          </cell>
          <cell r="X175" t="str">
            <v>460</v>
          </cell>
          <cell r="Y175" t="str">
            <v>47.7</v>
          </cell>
          <cell r="AA175" t="str">
            <v>F1</v>
          </cell>
          <cell r="AG175" t="str">
            <v>HP</v>
          </cell>
          <cell r="AI175" t="str">
            <v>55RU03M30X</v>
          </cell>
          <cell r="AJ175" t="str">
            <v>55BC03J30X</v>
          </cell>
          <cell r="AO175" t="str">
            <v>B</v>
          </cell>
          <cell r="AP175" t="str">
            <v>G</v>
          </cell>
          <cell r="AQ175" t="str">
            <v>F</v>
          </cell>
          <cell r="AS175" t="str">
            <v>1.15</v>
          </cell>
          <cell r="AV175" t="b">
            <v>0</v>
          </cell>
          <cell r="HD175" t="str">
            <v>Repair Shop</v>
          </cell>
          <cell r="HT175" t="b">
            <v>0</v>
          </cell>
          <cell r="HU175" t="str">
            <v>VALERO REFINING CO. BENICIA</v>
          </cell>
        </row>
        <row r="176">
          <cell r="A176">
            <v>5621</v>
          </cell>
          <cell r="B176" t="str">
            <v>VEM1526</v>
          </cell>
          <cell r="D176" t="str">
            <v>VALERO</v>
          </cell>
          <cell r="F176" t="str">
            <v>Siemens</v>
          </cell>
          <cell r="I176" t="str">
            <v>286T</v>
          </cell>
          <cell r="K176" t="str">
            <v>30</v>
          </cell>
          <cell r="L176" t="str">
            <v>1765</v>
          </cell>
          <cell r="M176" t="str">
            <v>RGZESD</v>
          </cell>
          <cell r="P176" t="str">
            <v>TEFC</v>
          </cell>
          <cell r="R176" t="str">
            <v>Continuous</v>
          </cell>
          <cell r="U176" t="str">
            <v>40</v>
          </cell>
          <cell r="V176" t="str">
            <v>3</v>
          </cell>
          <cell r="W176" t="str">
            <v>60</v>
          </cell>
          <cell r="X176" t="str">
            <v>460</v>
          </cell>
          <cell r="Y176" t="str">
            <v>34.9</v>
          </cell>
          <cell r="AA176" t="str">
            <v>F1</v>
          </cell>
          <cell r="AG176" t="str">
            <v>HP</v>
          </cell>
          <cell r="AI176" t="str">
            <v>50BC03JPP3</v>
          </cell>
          <cell r="AJ176" t="str">
            <v>50BC03JPP3</v>
          </cell>
          <cell r="AO176" t="str">
            <v>B</v>
          </cell>
          <cell r="AP176" t="str">
            <v>6</v>
          </cell>
          <cell r="AQ176" t="str">
            <v>F</v>
          </cell>
          <cell r="AS176" t="str">
            <v>1.15</v>
          </cell>
          <cell r="AT176" t="str">
            <v>93.6</v>
          </cell>
          <cell r="AV176" t="b">
            <v>0</v>
          </cell>
          <cell r="GK176" t="str">
            <v>ORD #1LA02864SE41</v>
          </cell>
          <cell r="HD176" t="str">
            <v>Repair Shop</v>
          </cell>
          <cell r="HT176" t="b">
            <v>0</v>
          </cell>
          <cell r="HU176" t="str">
            <v>VALERO REFINING CO. BENICIA</v>
          </cell>
        </row>
        <row r="177">
          <cell r="A177">
            <v>5620</v>
          </cell>
          <cell r="B177" t="str">
            <v>VEM1525</v>
          </cell>
          <cell r="D177" t="str">
            <v>VALERO</v>
          </cell>
          <cell r="F177" t="str">
            <v>RELIANCE</v>
          </cell>
          <cell r="G177" t="str">
            <v>B435281</v>
          </cell>
          <cell r="H177" t="str">
            <v>B435281-010</v>
          </cell>
          <cell r="I177" t="str">
            <v>286T</v>
          </cell>
          <cell r="K177" t="str">
            <v>30</v>
          </cell>
          <cell r="L177" t="str">
            <v>1765</v>
          </cell>
          <cell r="M177" t="str">
            <v>P</v>
          </cell>
          <cell r="N177" t="str">
            <v>442</v>
          </cell>
          <cell r="P177" t="str">
            <v>TEFC</v>
          </cell>
          <cell r="R177" t="str">
            <v>Continuous</v>
          </cell>
          <cell r="U177" t="str">
            <v>40</v>
          </cell>
          <cell r="V177" t="str">
            <v>3</v>
          </cell>
          <cell r="W177" t="str">
            <v>6-60</v>
          </cell>
          <cell r="X177" t="str">
            <v>460</v>
          </cell>
          <cell r="Y177" t="str">
            <v>36.1</v>
          </cell>
          <cell r="AA177" t="str">
            <v>F1</v>
          </cell>
          <cell r="AD177" t="str">
            <v>0</v>
          </cell>
          <cell r="AG177" t="str">
            <v>HP</v>
          </cell>
          <cell r="AI177" t="str">
            <v>50RU03M30X</v>
          </cell>
          <cell r="AJ177" t="str">
            <v>50BC03J30X</v>
          </cell>
          <cell r="AO177" t="str">
            <v>B</v>
          </cell>
          <cell r="AP177" t="str">
            <v>G</v>
          </cell>
          <cell r="AQ177" t="str">
            <v>F</v>
          </cell>
          <cell r="AS177" t="str">
            <v>1.00</v>
          </cell>
          <cell r="AV177" t="b">
            <v>0</v>
          </cell>
          <cell r="HD177" t="str">
            <v>Repair Shop</v>
          </cell>
          <cell r="HT177" t="b">
            <v>0</v>
          </cell>
          <cell r="HU177" t="str">
            <v>VALERO REFINING CO. BENICIA</v>
          </cell>
        </row>
        <row r="178">
          <cell r="A178">
            <v>5619</v>
          </cell>
          <cell r="B178" t="str">
            <v>VEM1524</v>
          </cell>
          <cell r="D178" t="str">
            <v>VALERO</v>
          </cell>
          <cell r="F178" t="str">
            <v>Baldor</v>
          </cell>
          <cell r="H178" t="str">
            <v>Z1301140012</v>
          </cell>
          <cell r="I178" t="str">
            <v>254T</v>
          </cell>
          <cell r="K178" t="str">
            <v>15</v>
          </cell>
          <cell r="L178" t="str">
            <v>1765</v>
          </cell>
          <cell r="P178" t="str">
            <v>TEFC</v>
          </cell>
          <cell r="R178" t="str">
            <v>Continuous</v>
          </cell>
          <cell r="U178" t="str">
            <v>40</v>
          </cell>
          <cell r="V178" t="str">
            <v>3</v>
          </cell>
          <cell r="W178" t="str">
            <v>60</v>
          </cell>
          <cell r="X178" t="str">
            <v>230/460</v>
          </cell>
          <cell r="Y178" t="str">
            <v>36.2/18.1</v>
          </cell>
          <cell r="AA178" t="str">
            <v>F1</v>
          </cell>
          <cell r="AG178" t="str">
            <v>HP</v>
          </cell>
          <cell r="AI178" t="str">
            <v>6309</v>
          </cell>
          <cell r="AJ178" t="str">
            <v>6309</v>
          </cell>
          <cell r="AO178" t="str">
            <v>A</v>
          </cell>
          <cell r="AP178" t="str">
            <v>H</v>
          </cell>
          <cell r="AQ178" t="str">
            <v>F</v>
          </cell>
          <cell r="AR178" t="str">
            <v>83</v>
          </cell>
          <cell r="AS178" t="str">
            <v>1.15</v>
          </cell>
          <cell r="AT178" t="str">
            <v>92.4</v>
          </cell>
          <cell r="AU178" t="str">
            <v>09J371Z910</v>
          </cell>
          <cell r="AV178" t="b">
            <v>0</v>
          </cell>
          <cell r="EW178" t="str">
            <v>ECP2333T</v>
          </cell>
          <cell r="HD178" t="str">
            <v>Repair Shop</v>
          </cell>
          <cell r="HT178" t="b">
            <v>0</v>
          </cell>
          <cell r="HU178" t="str">
            <v>VALERO REFINING CO. BENICIA</v>
          </cell>
        </row>
        <row r="179">
          <cell r="A179">
            <v>5618</v>
          </cell>
          <cell r="B179" t="str">
            <v>VEM1523</v>
          </cell>
          <cell r="D179" t="str">
            <v>CONHAGEN</v>
          </cell>
          <cell r="AG179" t="str">
            <v>HP</v>
          </cell>
          <cell r="AV179" t="b">
            <v>0</v>
          </cell>
          <cell r="HD179" t="str">
            <v>Repair Shop</v>
          </cell>
          <cell r="HT179" t="b">
            <v>0</v>
          </cell>
          <cell r="HU179" t="str">
            <v>ALFRED CONHAGEN CO. OF CA</v>
          </cell>
        </row>
        <row r="180">
          <cell r="A180">
            <v>5617</v>
          </cell>
          <cell r="B180" t="str">
            <v>VEM1522</v>
          </cell>
          <cell r="D180" t="str">
            <v>SANDUSTRIAL</v>
          </cell>
          <cell r="AD180" t="str">
            <v>0</v>
          </cell>
          <cell r="AG180" t="str">
            <v>HP</v>
          </cell>
          <cell r="AV180" t="b">
            <v>0</v>
          </cell>
          <cell r="HD180" t="str">
            <v>Repair Shop</v>
          </cell>
          <cell r="HT180" t="b">
            <v>0</v>
          </cell>
          <cell r="HU180" t="str">
            <v>SANDUSTRIAL</v>
          </cell>
        </row>
        <row r="181">
          <cell r="A181">
            <v>5616</v>
          </cell>
          <cell r="B181" t="str">
            <v>VEM1521</v>
          </cell>
          <cell r="D181" t="str">
            <v>P66</v>
          </cell>
          <cell r="F181" t="str">
            <v>Siemens</v>
          </cell>
          <cell r="I181" t="str">
            <v>254T</v>
          </cell>
          <cell r="K181" t="str">
            <v>15</v>
          </cell>
          <cell r="L181" t="str">
            <v>3520</v>
          </cell>
          <cell r="M181" t="str">
            <v>RGZECH</v>
          </cell>
          <cell r="P181" t="str">
            <v>TEFC</v>
          </cell>
          <cell r="R181" t="str">
            <v>Continuous</v>
          </cell>
          <cell r="U181" t="str">
            <v>40</v>
          </cell>
          <cell r="V181" t="str">
            <v>3</v>
          </cell>
          <cell r="W181" t="str">
            <v>60</v>
          </cell>
          <cell r="X181" t="str">
            <v>230/460</v>
          </cell>
          <cell r="Y181" t="str">
            <v>34/17</v>
          </cell>
          <cell r="AA181" t="str">
            <v>F1</v>
          </cell>
          <cell r="AG181" t="str">
            <v>HP</v>
          </cell>
          <cell r="AI181" t="str">
            <v>45BC02JPPS</v>
          </cell>
          <cell r="AJ181" t="str">
            <v>40BC02JPPS</v>
          </cell>
          <cell r="AO181" t="str">
            <v>B</v>
          </cell>
          <cell r="AP181" t="str">
            <v>G</v>
          </cell>
          <cell r="AQ181" t="str">
            <v>F</v>
          </cell>
          <cell r="AS181" t="str">
            <v>1.15</v>
          </cell>
          <cell r="AT181" t="str">
            <v>91.0</v>
          </cell>
          <cell r="AV181" t="b">
            <v>0</v>
          </cell>
          <cell r="GK181" t="str">
            <v>ORD #51-391-563 LR01882-01</v>
          </cell>
          <cell r="HD181" t="str">
            <v>Repair Shop</v>
          </cell>
          <cell r="HT181" t="b">
            <v>0</v>
          </cell>
          <cell r="HU181" t="str">
            <v>PHILLIPS 66</v>
          </cell>
        </row>
        <row r="182">
          <cell r="A182">
            <v>5615</v>
          </cell>
          <cell r="B182" t="str">
            <v>VEM1520</v>
          </cell>
          <cell r="D182" t="str">
            <v>P66</v>
          </cell>
          <cell r="F182" t="str">
            <v>GE</v>
          </cell>
          <cell r="G182" t="str">
            <v>5KS215SS408</v>
          </cell>
          <cell r="I182" t="str">
            <v>215T</v>
          </cell>
          <cell r="K182" t="str">
            <v>10</v>
          </cell>
          <cell r="L182" t="str">
            <v>3530</v>
          </cell>
          <cell r="M182" t="str">
            <v>KS</v>
          </cell>
          <cell r="P182" t="str">
            <v>TEFC</v>
          </cell>
          <cell r="R182" t="str">
            <v>Continuous</v>
          </cell>
          <cell r="U182" t="str">
            <v>40</v>
          </cell>
          <cell r="V182" t="str">
            <v>3</v>
          </cell>
          <cell r="W182" t="str">
            <v>60</v>
          </cell>
          <cell r="X182" t="str">
            <v>460</v>
          </cell>
          <cell r="Y182" t="str">
            <v>11.6</v>
          </cell>
          <cell r="AA182" t="str">
            <v>F1</v>
          </cell>
          <cell r="AG182" t="str">
            <v>HP</v>
          </cell>
          <cell r="AI182" t="str">
            <v>40BC2J3</v>
          </cell>
          <cell r="AJ182" t="str">
            <v>40BC02J3</v>
          </cell>
          <cell r="AO182" t="str">
            <v>B-TE</v>
          </cell>
          <cell r="AP182" t="str">
            <v>H</v>
          </cell>
          <cell r="AQ182" t="str">
            <v>F</v>
          </cell>
          <cell r="AR182" t="str">
            <v>90.5</v>
          </cell>
          <cell r="AS182" t="str">
            <v>1.0</v>
          </cell>
          <cell r="AT182" t="str">
            <v>91.0</v>
          </cell>
          <cell r="AV182" t="b">
            <v>0</v>
          </cell>
          <cell r="HD182" t="str">
            <v>Repair Shop</v>
          </cell>
          <cell r="HT182" t="b">
            <v>0</v>
          </cell>
          <cell r="HU182" t="str">
            <v>PHILLIPS 66</v>
          </cell>
        </row>
        <row r="183">
          <cell r="A183">
            <v>5614</v>
          </cell>
          <cell r="B183" t="str">
            <v>VEM1519</v>
          </cell>
          <cell r="D183" t="str">
            <v>P66</v>
          </cell>
          <cell r="F183" t="str">
            <v>Siemens</v>
          </cell>
          <cell r="G183" t="str">
            <v>113</v>
          </cell>
          <cell r="I183" t="str">
            <v>256T</v>
          </cell>
          <cell r="K183" t="str">
            <v>20</v>
          </cell>
          <cell r="L183" t="str">
            <v>1760</v>
          </cell>
          <cell r="M183" t="str">
            <v>RGZECH</v>
          </cell>
          <cell r="P183" t="str">
            <v>TEFC</v>
          </cell>
          <cell r="R183" t="str">
            <v>Continuous</v>
          </cell>
          <cell r="U183" t="str">
            <v>40</v>
          </cell>
          <cell r="V183" t="str">
            <v>3</v>
          </cell>
          <cell r="W183" t="str">
            <v>60</v>
          </cell>
          <cell r="X183" t="str">
            <v>460</v>
          </cell>
          <cell r="Y183" t="str">
            <v>22.7</v>
          </cell>
          <cell r="AA183" t="str">
            <v>F1</v>
          </cell>
          <cell r="AG183" t="str">
            <v>HP</v>
          </cell>
          <cell r="AI183" t="str">
            <v>45BC02JPP3</v>
          </cell>
          <cell r="AJ183" t="str">
            <v>40BC02JPP3</v>
          </cell>
          <cell r="AO183" t="str">
            <v>B</v>
          </cell>
          <cell r="AP183" t="str">
            <v>G</v>
          </cell>
          <cell r="AQ183" t="str">
            <v>F</v>
          </cell>
          <cell r="AS183" t="str">
            <v>1.15</v>
          </cell>
          <cell r="AT183" t="str">
            <v>92.4</v>
          </cell>
          <cell r="AV183" t="b">
            <v>0</v>
          </cell>
          <cell r="GK183" t="str">
            <v>ORD #1-5141-LR46047-01</v>
          </cell>
          <cell r="HD183" t="str">
            <v>Repair Shop</v>
          </cell>
          <cell r="HT183" t="b">
            <v>0</v>
          </cell>
          <cell r="HU183" t="str">
            <v>PHILLIPS 66</v>
          </cell>
        </row>
        <row r="184">
          <cell r="A184">
            <v>5613</v>
          </cell>
          <cell r="B184" t="str">
            <v>VEM1518</v>
          </cell>
          <cell r="D184" t="str">
            <v>JAFEC</v>
          </cell>
          <cell r="F184" t="str">
            <v>SEW-EURODRIVE</v>
          </cell>
          <cell r="G184" t="str">
            <v>KHF127 DVE250M4/BMG/HF</v>
          </cell>
          <cell r="H184" t="str">
            <v>01.1846576201.0001.13</v>
          </cell>
          <cell r="I184" t="str">
            <v>250M</v>
          </cell>
          <cell r="K184" t="str">
            <v>55</v>
          </cell>
          <cell r="L184" t="str">
            <v>1475/137</v>
          </cell>
          <cell r="P184" t="str">
            <v>TEFC</v>
          </cell>
          <cell r="R184" t="str">
            <v>Continuous</v>
          </cell>
          <cell r="U184" t="str">
            <v>40</v>
          </cell>
          <cell r="V184" t="str">
            <v>3</v>
          </cell>
          <cell r="W184" t="str">
            <v>50</v>
          </cell>
          <cell r="X184" t="str">
            <v>277/480</v>
          </cell>
          <cell r="Y184" t="str">
            <v>47.09/85</v>
          </cell>
          <cell r="AA184" t="str">
            <v>Vertical</v>
          </cell>
          <cell r="AD184" t="str">
            <v>-1</v>
          </cell>
          <cell r="AG184" t="str">
            <v>KW</v>
          </cell>
          <cell r="AQ184" t="str">
            <v>F</v>
          </cell>
          <cell r="AR184" t="str">
            <v>.83</v>
          </cell>
          <cell r="AS184" t="str">
            <v>2.1</v>
          </cell>
          <cell r="AT184" t="str">
            <v>93.6</v>
          </cell>
          <cell r="AV184" t="b">
            <v>0</v>
          </cell>
          <cell r="HD184" t="str">
            <v>Repair Shop</v>
          </cell>
          <cell r="HT184" t="b">
            <v>0</v>
          </cell>
          <cell r="HU184" t="str">
            <v>Jafec USA</v>
          </cell>
        </row>
        <row r="185">
          <cell r="A185">
            <v>5612</v>
          </cell>
          <cell r="B185" t="str">
            <v>VEM1517</v>
          </cell>
          <cell r="D185" t="str">
            <v>VALLEJOSAN</v>
          </cell>
          <cell r="F185" t="str">
            <v>Flygt</v>
          </cell>
          <cell r="H185" t="str">
            <v>43-44-6BC/1</v>
          </cell>
          <cell r="K185" t="str">
            <v>149</v>
          </cell>
          <cell r="L185" t="str">
            <v>1185</v>
          </cell>
          <cell r="R185" t="str">
            <v>Continuous</v>
          </cell>
          <cell r="V185" t="str">
            <v>3</v>
          </cell>
          <cell r="W185" t="str">
            <v>60</v>
          </cell>
          <cell r="X185" t="str">
            <v>460</v>
          </cell>
          <cell r="Y185" t="str">
            <v>244</v>
          </cell>
          <cell r="AD185" t="str">
            <v>-1</v>
          </cell>
          <cell r="AG185" t="str">
            <v>KW</v>
          </cell>
          <cell r="AV185" t="b">
            <v>0</v>
          </cell>
          <cell r="HD185" t="str">
            <v>Repair Shop</v>
          </cell>
          <cell r="HT185" t="b">
            <v>0</v>
          </cell>
          <cell r="HU185" t="str">
            <v>VALLEJO FLOOD &amp; WASTEWATER DISTRICT</v>
          </cell>
        </row>
        <row r="186">
          <cell r="A186">
            <v>5611</v>
          </cell>
          <cell r="B186" t="str">
            <v>VEM1516</v>
          </cell>
          <cell r="D186" t="str">
            <v>HALLWINES</v>
          </cell>
          <cell r="F186" t="str">
            <v>Nidec</v>
          </cell>
          <cell r="K186" t="str">
            <v>25</v>
          </cell>
          <cell r="L186" t="str">
            <v>1775</v>
          </cell>
          <cell r="P186" t="str">
            <v>TENV</v>
          </cell>
          <cell r="R186" t="str">
            <v>Continuous</v>
          </cell>
          <cell r="U186" t="str">
            <v>40</v>
          </cell>
          <cell r="V186" t="str">
            <v>3</v>
          </cell>
          <cell r="W186" t="str">
            <v>60</v>
          </cell>
          <cell r="X186" t="str">
            <v>230/460</v>
          </cell>
          <cell r="Y186" t="str">
            <v>60/29.8</v>
          </cell>
          <cell r="AA186" t="str">
            <v>F1</v>
          </cell>
          <cell r="AD186" t="str">
            <v>0</v>
          </cell>
          <cell r="AG186" t="str">
            <v>HP</v>
          </cell>
          <cell r="AI186" t="str">
            <v>6310 RS</v>
          </cell>
          <cell r="AJ186" t="str">
            <v>6310RS</v>
          </cell>
          <cell r="AO186" t="str">
            <v>B</v>
          </cell>
          <cell r="AQ186" t="str">
            <v>F</v>
          </cell>
          <cell r="AR186" t="str">
            <v>83.9</v>
          </cell>
          <cell r="AS186" t="str">
            <v>1.15</v>
          </cell>
          <cell r="AT186" t="str">
            <v>93.6</v>
          </cell>
          <cell r="AV186" t="b">
            <v>0</v>
          </cell>
          <cell r="EX186" t="str">
            <v>X06-708750-0001-GT-01</v>
          </cell>
          <cell r="HD186" t="str">
            <v>Repair Shop</v>
          </cell>
          <cell r="HT186" t="b">
            <v>0</v>
          </cell>
          <cell r="HU186" t="str">
            <v>Hall Wines</v>
          </cell>
        </row>
        <row r="187">
          <cell r="A187">
            <v>5610</v>
          </cell>
          <cell r="B187" t="str">
            <v>VEM1515</v>
          </cell>
          <cell r="D187" t="str">
            <v>CONHAGEN</v>
          </cell>
          <cell r="F187" t="str">
            <v>GE</v>
          </cell>
          <cell r="G187" t="str">
            <v>5K6226XK5A</v>
          </cell>
          <cell r="H187" t="str">
            <v>MDJ1211402</v>
          </cell>
          <cell r="I187" t="str">
            <v>215TPZ</v>
          </cell>
          <cell r="K187" t="str">
            <v>10</v>
          </cell>
          <cell r="L187" t="str">
            <v>3510</v>
          </cell>
          <cell r="M187" t="str">
            <v>K</v>
          </cell>
          <cell r="P187" t="str">
            <v>TEFC</v>
          </cell>
          <cell r="R187" t="str">
            <v>Continuous</v>
          </cell>
          <cell r="U187" t="str">
            <v>75</v>
          </cell>
          <cell r="V187" t="str">
            <v>3</v>
          </cell>
          <cell r="W187" t="str">
            <v>60</v>
          </cell>
          <cell r="X187" t="str">
            <v>460</v>
          </cell>
          <cell r="Y187" t="str">
            <v>13</v>
          </cell>
          <cell r="AA187" t="str">
            <v>Vertical</v>
          </cell>
          <cell r="AG187" t="str">
            <v>HP</v>
          </cell>
          <cell r="AI187" t="str">
            <v>5903493P9</v>
          </cell>
          <cell r="AJ187" t="str">
            <v>629A210DRP1</v>
          </cell>
          <cell r="AO187" t="str">
            <v>B</v>
          </cell>
          <cell r="AP187" t="str">
            <v>H</v>
          </cell>
          <cell r="AS187" t="str">
            <v>1.0</v>
          </cell>
          <cell r="AV187" t="b">
            <v>0</v>
          </cell>
          <cell r="AX187" t="str">
            <v>2</v>
          </cell>
          <cell r="HD187" t="str">
            <v>Repair Shop</v>
          </cell>
          <cell r="HT187" t="b">
            <v>0</v>
          </cell>
          <cell r="HU187" t="str">
            <v>ALFRED CONHAGEN CO. OF CA</v>
          </cell>
        </row>
        <row r="188">
          <cell r="A188">
            <v>5609</v>
          </cell>
          <cell r="B188" t="str">
            <v>VEM1514</v>
          </cell>
          <cell r="D188" t="str">
            <v>P66</v>
          </cell>
          <cell r="F188" t="str">
            <v>Reliance</v>
          </cell>
          <cell r="I188" t="str">
            <v>365T</v>
          </cell>
          <cell r="K188" t="str">
            <v>75</v>
          </cell>
          <cell r="L188" t="str">
            <v>1780</v>
          </cell>
          <cell r="M188" t="str">
            <v>P</v>
          </cell>
          <cell r="P188" t="str">
            <v>TEFC</v>
          </cell>
          <cell r="R188" t="str">
            <v>Continuous</v>
          </cell>
          <cell r="U188" t="str">
            <v>40</v>
          </cell>
          <cell r="V188" t="str">
            <v>3</v>
          </cell>
          <cell r="W188" t="str">
            <v>60</v>
          </cell>
          <cell r="X188" t="str">
            <v>460</v>
          </cell>
          <cell r="Y188" t="str">
            <v>85.4</v>
          </cell>
          <cell r="AA188" t="str">
            <v>F1</v>
          </cell>
          <cell r="AG188" t="str">
            <v>HP</v>
          </cell>
          <cell r="AI188" t="str">
            <v>65BC03X30X26</v>
          </cell>
          <cell r="AJ188" t="str">
            <v>65BC03X30X26</v>
          </cell>
          <cell r="AO188" t="str">
            <v>B</v>
          </cell>
          <cell r="AP188" t="str">
            <v>G</v>
          </cell>
          <cell r="AQ188" t="str">
            <v>F</v>
          </cell>
          <cell r="AR188" t="str">
            <v>8606</v>
          </cell>
          <cell r="AS188" t="str">
            <v>1.00</v>
          </cell>
          <cell r="AT188" t="str">
            <v>95.0</v>
          </cell>
          <cell r="AV188" t="b">
            <v>0</v>
          </cell>
          <cell r="EX188" t="str">
            <v>2MLF37002-G3-SP</v>
          </cell>
          <cell r="HD188" t="str">
            <v>Repair Shop</v>
          </cell>
          <cell r="HT188" t="b">
            <v>0</v>
          </cell>
          <cell r="HU188" t="str">
            <v>PHILLIPS 66</v>
          </cell>
        </row>
        <row r="189">
          <cell r="A189">
            <v>5606</v>
          </cell>
          <cell r="B189" t="str">
            <v>VEM1511</v>
          </cell>
          <cell r="D189" t="str">
            <v>CONHAGEN</v>
          </cell>
          <cell r="AG189" t="str">
            <v>HP</v>
          </cell>
          <cell r="AV189" t="b">
            <v>0</v>
          </cell>
          <cell r="HD189" t="str">
            <v>Repair Shop</v>
          </cell>
          <cell r="HT189" t="b">
            <v>0</v>
          </cell>
          <cell r="HU189" t="str">
            <v>ALFRED CONHAGEN CO. OF CA</v>
          </cell>
        </row>
        <row r="190">
          <cell r="A190">
            <v>5605</v>
          </cell>
          <cell r="B190" t="str">
            <v>VEM1510</v>
          </cell>
          <cell r="D190" t="str">
            <v>TESORO</v>
          </cell>
          <cell r="F190" t="str">
            <v>Century</v>
          </cell>
          <cell r="H190" t="str">
            <v>CB01</v>
          </cell>
          <cell r="I190" t="str">
            <v>286TDZ</v>
          </cell>
          <cell r="K190" t="str">
            <v>35-35</v>
          </cell>
          <cell r="L190" t="str">
            <v>1770-3530</v>
          </cell>
          <cell r="M190" t="str">
            <v>C0G6A</v>
          </cell>
          <cell r="P190" t="str">
            <v>ODP</v>
          </cell>
          <cell r="R190" t="str">
            <v>Intermittant</v>
          </cell>
          <cell r="U190" t="str">
            <v>40</v>
          </cell>
          <cell r="V190" t="str">
            <v>3</v>
          </cell>
          <cell r="W190" t="str">
            <v>60-120</v>
          </cell>
          <cell r="X190" t="str">
            <v>460-460</v>
          </cell>
          <cell r="Y190" t="str">
            <v>39.5-38.5</v>
          </cell>
          <cell r="AA190" t="str">
            <v>F1</v>
          </cell>
          <cell r="AD190" t="str">
            <v>0</v>
          </cell>
          <cell r="AG190" t="str">
            <v>HP</v>
          </cell>
          <cell r="AI190" t="str">
            <v>311SF</v>
          </cell>
          <cell r="AJ190" t="str">
            <v>312SF</v>
          </cell>
          <cell r="AO190" t="str">
            <v>A</v>
          </cell>
          <cell r="AQ190" t="str">
            <v>H</v>
          </cell>
          <cell r="AS190" t="str">
            <v>1.00</v>
          </cell>
          <cell r="AV190" t="b">
            <v>0</v>
          </cell>
          <cell r="GK190" t="str">
            <v>PART #8-378820-40</v>
          </cell>
          <cell r="HD190" t="str">
            <v>Repair Shop</v>
          </cell>
          <cell r="HT190" t="b">
            <v>0</v>
          </cell>
          <cell r="HU190" t="str">
            <v>TESORO REFINING &amp; MARKETING</v>
          </cell>
        </row>
        <row r="191">
          <cell r="A191">
            <v>5604</v>
          </cell>
          <cell r="B191" t="str">
            <v>VEM1481</v>
          </cell>
          <cell r="D191" t="str">
            <v>EDF RENEWABLES</v>
          </cell>
          <cell r="F191" t="str">
            <v>LUST</v>
          </cell>
          <cell r="G191" t="str">
            <v>FGVH 112LL-4-D-F-D-G</v>
          </cell>
          <cell r="H191" t="str">
            <v>000464203</v>
          </cell>
          <cell r="K191" t="str">
            <v>4,4/9,6</v>
          </cell>
          <cell r="L191" t="str">
            <v>1400/920</v>
          </cell>
          <cell r="P191" t="str">
            <v>Forced Vent</v>
          </cell>
          <cell r="R191" t="str">
            <v>Continuous</v>
          </cell>
          <cell r="U191" t="str">
            <v>50</v>
          </cell>
          <cell r="W191" t="str">
            <v>50/60</v>
          </cell>
          <cell r="AA191" t="str">
            <v>Vertical</v>
          </cell>
          <cell r="AD191" t="str">
            <v>-1</v>
          </cell>
          <cell r="AG191" t="str">
            <v>KW</v>
          </cell>
          <cell r="AQ191" t="str">
            <v>H</v>
          </cell>
          <cell r="AV191" t="b">
            <v>0</v>
          </cell>
          <cell r="EP191" t="str">
            <v>288</v>
          </cell>
          <cell r="EQ191" t="str">
            <v>18/56</v>
          </cell>
          <cell r="ER191" t="str">
            <v>.76</v>
          </cell>
          <cell r="GK191" t="str">
            <v>681-00107</v>
          </cell>
          <cell r="HD191" t="str">
            <v>Repair Shop</v>
          </cell>
          <cell r="HT191" t="b">
            <v>0</v>
          </cell>
          <cell r="HU191" t="str">
            <v>EDF RENEWABLES</v>
          </cell>
        </row>
        <row r="192">
          <cell r="A192">
            <v>5603</v>
          </cell>
          <cell r="B192" t="str">
            <v>VEM0186</v>
          </cell>
          <cell r="D192" t="str">
            <v>EDF RENEWABLES</v>
          </cell>
          <cell r="F192" t="str">
            <v>LUST</v>
          </cell>
          <cell r="G192" t="str">
            <v>FGVH 112LL-4-D-F-D-G</v>
          </cell>
          <cell r="H192" t="str">
            <v>000464203</v>
          </cell>
          <cell r="K192" t="str">
            <v>4,4/9,6</v>
          </cell>
          <cell r="L192" t="str">
            <v>1400/920</v>
          </cell>
          <cell r="P192" t="str">
            <v>Forced Vent</v>
          </cell>
          <cell r="R192" t="str">
            <v>Continuous</v>
          </cell>
          <cell r="U192" t="str">
            <v>50</v>
          </cell>
          <cell r="W192" t="str">
            <v>50/60</v>
          </cell>
          <cell r="AA192" t="str">
            <v>Vertical</v>
          </cell>
          <cell r="AD192" t="str">
            <v>-1</v>
          </cell>
          <cell r="AG192" t="str">
            <v>KW</v>
          </cell>
          <cell r="AQ192" t="str">
            <v>H</v>
          </cell>
          <cell r="AV192" t="b">
            <v>0</v>
          </cell>
          <cell r="EP192" t="str">
            <v>288</v>
          </cell>
          <cell r="EQ192" t="str">
            <v>18/56</v>
          </cell>
          <cell r="ER192" t="str">
            <v>288</v>
          </cell>
          <cell r="ES192" t="str">
            <v>.76</v>
          </cell>
          <cell r="GK192" t="str">
            <v>681-00107</v>
          </cell>
          <cell r="HD192" t="str">
            <v>Repair Shop</v>
          </cell>
          <cell r="HT192" t="b">
            <v>0</v>
          </cell>
          <cell r="HU192" t="str">
            <v>EDF RENEWABLES</v>
          </cell>
        </row>
        <row r="193">
          <cell r="A193">
            <v>5602</v>
          </cell>
          <cell r="B193" t="str">
            <v>VEM0185</v>
          </cell>
          <cell r="D193" t="str">
            <v>EDF RENEWABLES</v>
          </cell>
          <cell r="F193" t="str">
            <v>LUST</v>
          </cell>
          <cell r="G193" t="str">
            <v>FGVH 112LL-4-D-F-D-G</v>
          </cell>
          <cell r="H193" t="str">
            <v>000477288</v>
          </cell>
          <cell r="K193" t="str">
            <v>4,4/9,6</v>
          </cell>
          <cell r="L193" t="str">
            <v>1400/920</v>
          </cell>
          <cell r="P193" t="str">
            <v>Forced Vent</v>
          </cell>
          <cell r="R193" t="str">
            <v>Continuous</v>
          </cell>
          <cell r="U193" t="str">
            <v>50</v>
          </cell>
          <cell r="W193" t="str">
            <v>50/60</v>
          </cell>
          <cell r="AA193" t="str">
            <v>Vertical</v>
          </cell>
          <cell r="AD193" t="str">
            <v>-1</v>
          </cell>
          <cell r="AG193" t="str">
            <v>HP</v>
          </cell>
          <cell r="AQ193" t="str">
            <v>H</v>
          </cell>
          <cell r="AV193" t="b">
            <v>0</v>
          </cell>
          <cell r="EP193" t="str">
            <v>288</v>
          </cell>
          <cell r="EQ193" t="str">
            <v>18/56</v>
          </cell>
          <cell r="ER193" t="str">
            <v>288</v>
          </cell>
          <cell r="ES193" t="str">
            <v>.76</v>
          </cell>
          <cell r="GK193" t="str">
            <v>681-00107</v>
          </cell>
          <cell r="HD193" t="str">
            <v>Repair Shop</v>
          </cell>
          <cell r="HT193" t="b">
            <v>0</v>
          </cell>
          <cell r="HU193" t="str">
            <v>EDF RENEWABLES</v>
          </cell>
        </row>
        <row r="194">
          <cell r="A194">
            <v>5601</v>
          </cell>
          <cell r="B194" t="str">
            <v>VEM1509</v>
          </cell>
          <cell r="D194" t="str">
            <v>INTEGRATED</v>
          </cell>
          <cell r="F194" t="str">
            <v>Westinghouse</v>
          </cell>
          <cell r="G194" t="str">
            <v>TBFC</v>
          </cell>
          <cell r="H194" t="str">
            <v>67A67996</v>
          </cell>
          <cell r="I194" t="str">
            <v>256TPZ</v>
          </cell>
          <cell r="K194" t="str">
            <v>20</v>
          </cell>
          <cell r="L194" t="str">
            <v>3505</v>
          </cell>
          <cell r="R194" t="str">
            <v>Continuous</v>
          </cell>
          <cell r="U194" t="str">
            <v>40</v>
          </cell>
          <cell r="V194" t="str">
            <v>3</v>
          </cell>
          <cell r="W194" t="str">
            <v>60</v>
          </cell>
          <cell r="X194" t="str">
            <v>460</v>
          </cell>
          <cell r="Y194" t="str">
            <v>23.4</v>
          </cell>
          <cell r="AA194" t="str">
            <v>Vertical</v>
          </cell>
          <cell r="AD194" t="str">
            <v>0</v>
          </cell>
          <cell r="AG194" t="str">
            <v>HP</v>
          </cell>
          <cell r="AI194" t="str">
            <v>2736D30C02</v>
          </cell>
          <cell r="AJ194" t="str">
            <v>2736D20004</v>
          </cell>
          <cell r="AQ194" t="str">
            <v>B</v>
          </cell>
          <cell r="AS194" t="str">
            <v>1.0</v>
          </cell>
          <cell r="AV194" t="b">
            <v>0</v>
          </cell>
          <cell r="HD194" t="str">
            <v>Repair Shop</v>
          </cell>
          <cell r="HT194" t="b">
            <v>0</v>
          </cell>
          <cell r="HU194" t="str">
            <v>INTEGRATED TURBO MACHINERY, INC.</v>
          </cell>
        </row>
        <row r="195">
          <cell r="A195">
            <v>5600</v>
          </cell>
          <cell r="B195" t="str">
            <v>VEM1508</v>
          </cell>
          <cell r="D195" t="str">
            <v>VALERO</v>
          </cell>
          <cell r="F195" t="str">
            <v>Baldor</v>
          </cell>
          <cell r="I195" t="str">
            <v>324T</v>
          </cell>
          <cell r="K195" t="str">
            <v>40</v>
          </cell>
          <cell r="L195" t="str">
            <v>1775</v>
          </cell>
          <cell r="M195" t="str">
            <v>P</v>
          </cell>
          <cell r="N195" t="str">
            <v>690</v>
          </cell>
          <cell r="P195" t="str">
            <v>TEFC</v>
          </cell>
          <cell r="R195" t="str">
            <v>Continuous</v>
          </cell>
          <cell r="U195" t="str">
            <v>40</v>
          </cell>
          <cell r="V195" t="str">
            <v>3</v>
          </cell>
          <cell r="W195" t="str">
            <v>6-60</v>
          </cell>
          <cell r="X195" t="str">
            <v>460</v>
          </cell>
          <cell r="Y195" t="str">
            <v>47.7</v>
          </cell>
          <cell r="AA195" t="str">
            <v>F1</v>
          </cell>
          <cell r="AG195" t="str">
            <v>HP</v>
          </cell>
          <cell r="AI195" t="str">
            <v>55RU03M30X</v>
          </cell>
          <cell r="AJ195" t="str">
            <v>55BC03J30X</v>
          </cell>
          <cell r="AO195" t="str">
            <v>B</v>
          </cell>
          <cell r="AP195" t="str">
            <v>G</v>
          </cell>
          <cell r="AS195" t="str">
            <v>1.00</v>
          </cell>
          <cell r="AV195" t="b">
            <v>0</v>
          </cell>
          <cell r="HD195" t="str">
            <v>Repair Shop</v>
          </cell>
          <cell r="HT195" t="b">
            <v>0</v>
          </cell>
          <cell r="HU195" t="str">
            <v>VALERO REFINING CO. BENICIA</v>
          </cell>
        </row>
        <row r="196">
          <cell r="A196">
            <v>5599</v>
          </cell>
          <cell r="B196" t="str">
            <v>VEM1507</v>
          </cell>
          <cell r="D196" t="str">
            <v>FRFLD-SUISUN</v>
          </cell>
          <cell r="F196" t="str">
            <v>GE</v>
          </cell>
          <cell r="G196" t="str">
            <v>5K6267XH707A</v>
          </cell>
          <cell r="H196" t="str">
            <v>AMJ121101</v>
          </cell>
          <cell r="I196" t="str">
            <v>B404TP16</v>
          </cell>
          <cell r="K196" t="str">
            <v>50</v>
          </cell>
          <cell r="L196" t="str">
            <v>1170</v>
          </cell>
          <cell r="M196" t="str">
            <v>K</v>
          </cell>
          <cell r="P196" t="str">
            <v>WP1</v>
          </cell>
          <cell r="R196" t="str">
            <v>Continuous</v>
          </cell>
          <cell r="V196" t="str">
            <v>3</v>
          </cell>
          <cell r="W196" t="str">
            <v>60</v>
          </cell>
          <cell r="X196" t="str">
            <v>230-460</v>
          </cell>
          <cell r="Y196" t="str">
            <v>135.6/67.8</v>
          </cell>
          <cell r="AA196" t="str">
            <v>Vertical</v>
          </cell>
          <cell r="AG196" t="str">
            <v>HP</v>
          </cell>
          <cell r="AO196" t="str">
            <v>B</v>
          </cell>
          <cell r="AP196" t="str">
            <v>G</v>
          </cell>
          <cell r="AS196" t="str">
            <v>1.15</v>
          </cell>
          <cell r="AV196" t="b">
            <v>0</v>
          </cell>
          <cell r="HD196" t="str">
            <v>Repair Shop</v>
          </cell>
          <cell r="HT196" t="b">
            <v>0</v>
          </cell>
          <cell r="HU196" t="str">
            <v>FAIRFIELD-SUISUN SEWER DISTRICT</v>
          </cell>
        </row>
        <row r="197">
          <cell r="A197">
            <v>5598</v>
          </cell>
          <cell r="B197" t="str">
            <v>VEM1506</v>
          </cell>
          <cell r="D197" t="str">
            <v>FRFLD-SUISUN</v>
          </cell>
          <cell r="F197" t="str">
            <v>NIDEC</v>
          </cell>
          <cell r="G197" t="str">
            <v>BF89</v>
          </cell>
          <cell r="I197" t="str">
            <v>286TPH</v>
          </cell>
          <cell r="K197" t="str">
            <v>20.00</v>
          </cell>
          <cell r="L197" t="str">
            <v>1170</v>
          </cell>
          <cell r="M197" t="str">
            <v>AU</v>
          </cell>
          <cell r="N197" t="str">
            <v>325</v>
          </cell>
          <cell r="P197" t="str">
            <v>WP1</v>
          </cell>
          <cell r="R197" t="str">
            <v>Continuous</v>
          </cell>
          <cell r="U197" t="str">
            <v>40</v>
          </cell>
          <cell r="V197" t="str">
            <v>3</v>
          </cell>
          <cell r="W197" t="str">
            <v>60</v>
          </cell>
          <cell r="X197" t="str">
            <v>230-460</v>
          </cell>
          <cell r="Y197" t="str">
            <v>50.00/25.20</v>
          </cell>
          <cell r="AA197" t="str">
            <v>Vertical</v>
          </cell>
          <cell r="AG197" t="str">
            <v>HP</v>
          </cell>
          <cell r="AI197" t="str">
            <v>6210-2ZJC3</v>
          </cell>
          <cell r="AJ197" t="str">
            <v>731GBEF</v>
          </cell>
          <cell r="AO197" t="str">
            <v>B</v>
          </cell>
          <cell r="AP197" t="str">
            <v>F</v>
          </cell>
          <cell r="AQ197" t="str">
            <v>F</v>
          </cell>
          <cell r="AR197" t="str">
            <v>84.1</v>
          </cell>
          <cell r="AS197" t="str">
            <v>1.15</v>
          </cell>
          <cell r="AT197" t="str">
            <v>88.5</v>
          </cell>
          <cell r="AV197" t="b">
            <v>0</v>
          </cell>
          <cell r="EW197" t="str">
            <v>H020S3BLG</v>
          </cell>
          <cell r="HD197" t="str">
            <v>Repair Shop</v>
          </cell>
          <cell r="HT197" t="b">
            <v>0</v>
          </cell>
          <cell r="HU197" t="str">
            <v>FAIRFIELD-SUISUN SEWER DISTRICT</v>
          </cell>
        </row>
        <row r="198">
          <cell r="A198">
            <v>5597</v>
          </cell>
          <cell r="B198" t="str">
            <v>VEM1505</v>
          </cell>
          <cell r="D198" t="str">
            <v>DUBSAN</v>
          </cell>
          <cell r="AG198" t="str">
            <v>HP</v>
          </cell>
          <cell r="AV198" t="b">
            <v>0</v>
          </cell>
          <cell r="HD198" t="str">
            <v>Repair Shop</v>
          </cell>
          <cell r="HT198" t="b">
            <v>0</v>
          </cell>
          <cell r="HU198" t="str">
            <v>DUBLIN SAN RAMON SERVICES DISTRICT</v>
          </cell>
        </row>
        <row r="199">
          <cell r="A199">
            <v>5596</v>
          </cell>
          <cell r="B199" t="str">
            <v>VEM1504</v>
          </cell>
          <cell r="D199" t="str">
            <v>FRFLD-SUISUN</v>
          </cell>
          <cell r="AD199" t="str">
            <v>0</v>
          </cell>
          <cell r="AG199" t="str">
            <v>HP</v>
          </cell>
          <cell r="AV199" t="b">
            <v>0</v>
          </cell>
          <cell r="HD199" t="str">
            <v>Repair Shop</v>
          </cell>
          <cell r="HT199" t="b">
            <v>0</v>
          </cell>
          <cell r="HU199" t="str">
            <v>FAIRFIELD-SUISUN SEWER DISTRICT</v>
          </cell>
        </row>
        <row r="200">
          <cell r="A200">
            <v>5595</v>
          </cell>
          <cell r="B200" t="str">
            <v>VEM1503</v>
          </cell>
          <cell r="D200" t="str">
            <v>FRFLD-SUISUN</v>
          </cell>
          <cell r="F200" t="str">
            <v>US Motors</v>
          </cell>
          <cell r="H200" t="str">
            <v>352605</v>
          </cell>
          <cell r="I200" t="str">
            <v>A365UP</v>
          </cell>
          <cell r="K200" t="str">
            <v>30</v>
          </cell>
          <cell r="L200" t="str">
            <v>1200</v>
          </cell>
          <cell r="M200" t="str">
            <v>PU-3</v>
          </cell>
          <cell r="P200" t="str">
            <v>TEFC</v>
          </cell>
          <cell r="R200" t="str">
            <v>Continuous</v>
          </cell>
          <cell r="U200" t="str">
            <v>40</v>
          </cell>
          <cell r="V200" t="str">
            <v>3</v>
          </cell>
          <cell r="W200" t="str">
            <v>60</v>
          </cell>
          <cell r="X200" t="str">
            <v>220/440</v>
          </cell>
          <cell r="Y200" t="str">
            <v>78/30</v>
          </cell>
          <cell r="AA200" t="str">
            <v>Vertical</v>
          </cell>
          <cell r="AG200" t="str">
            <v>HP</v>
          </cell>
          <cell r="AI200" t="str">
            <v>722M</v>
          </cell>
          <cell r="AJ200" t="str">
            <v>6211</v>
          </cell>
          <cell r="AO200" t="str">
            <v>B</v>
          </cell>
          <cell r="AP200" t="str">
            <v>F</v>
          </cell>
          <cell r="AV200" t="b">
            <v>0</v>
          </cell>
          <cell r="HD200" t="str">
            <v>Repair Shop</v>
          </cell>
          <cell r="HT200" t="b">
            <v>0</v>
          </cell>
          <cell r="HU200" t="str">
            <v>FAIRFIELD-SUISUN SEWER DISTRICT</v>
          </cell>
        </row>
        <row r="201">
          <cell r="A201">
            <v>5594</v>
          </cell>
          <cell r="B201" t="str">
            <v>VEM1502</v>
          </cell>
          <cell r="D201" t="str">
            <v>CONHAGEN</v>
          </cell>
          <cell r="AG201" t="str">
            <v>HP</v>
          </cell>
          <cell r="AV201" t="b">
            <v>0</v>
          </cell>
          <cell r="HD201" t="str">
            <v>Repair Shop</v>
          </cell>
          <cell r="HT201" t="b">
            <v>0</v>
          </cell>
          <cell r="HU201" t="str">
            <v>ALFRED CONHAGEN CO. OF CA</v>
          </cell>
        </row>
        <row r="202">
          <cell r="A202">
            <v>5593</v>
          </cell>
          <cell r="B202" t="str">
            <v>VEM1501</v>
          </cell>
          <cell r="D202" t="str">
            <v>P66</v>
          </cell>
          <cell r="F202" t="str">
            <v>Marathon</v>
          </cell>
          <cell r="G202" t="str">
            <v>TVA143TTTN6576BAP</v>
          </cell>
          <cell r="H202" t="str">
            <v>C0565457-01/25-08</v>
          </cell>
          <cell r="I202" t="str">
            <v>143T</v>
          </cell>
          <cell r="K202" t="str">
            <v>3/4</v>
          </cell>
          <cell r="L202" t="str">
            <v>1140</v>
          </cell>
          <cell r="M202" t="str">
            <v>TTS</v>
          </cell>
          <cell r="P202" t="str">
            <v>TENV</v>
          </cell>
          <cell r="R202" t="str">
            <v>Continuous</v>
          </cell>
          <cell r="U202" t="str">
            <v>40</v>
          </cell>
          <cell r="V202" t="str">
            <v>3</v>
          </cell>
          <cell r="W202" t="str">
            <v>60</v>
          </cell>
          <cell r="X202" t="str">
            <v>460</v>
          </cell>
          <cell r="Y202" t="str">
            <v>1.4</v>
          </cell>
          <cell r="AA202" t="str">
            <v>F1</v>
          </cell>
          <cell r="AD202" t="str">
            <v>0</v>
          </cell>
          <cell r="AG202" t="str">
            <v>HP</v>
          </cell>
          <cell r="AI202" t="str">
            <v>6205</v>
          </cell>
          <cell r="AJ202" t="str">
            <v>6203</v>
          </cell>
          <cell r="AO202" t="str">
            <v>B</v>
          </cell>
          <cell r="AP202" t="str">
            <v>K</v>
          </cell>
          <cell r="AQ202" t="str">
            <v>F3</v>
          </cell>
          <cell r="AS202" t="str">
            <v>1.15</v>
          </cell>
          <cell r="AT202" t="str">
            <v>80</v>
          </cell>
          <cell r="AV202" t="b">
            <v>0</v>
          </cell>
          <cell r="HD202" t="str">
            <v>Repair Shop</v>
          </cell>
          <cell r="HT202" t="b">
            <v>0</v>
          </cell>
          <cell r="HU202" t="str">
            <v>PHILLIPS 66</v>
          </cell>
        </row>
        <row r="203">
          <cell r="A203">
            <v>5592</v>
          </cell>
          <cell r="B203" t="str">
            <v>VEM1500</v>
          </cell>
          <cell r="D203" t="str">
            <v>CONHAGEN</v>
          </cell>
          <cell r="F203" t="str">
            <v>Westinghouse</v>
          </cell>
          <cell r="H203" t="str">
            <v>CV7103727002</v>
          </cell>
          <cell r="I203" t="str">
            <v>365T</v>
          </cell>
          <cell r="K203" t="str">
            <v>75</v>
          </cell>
          <cell r="L203" t="str">
            <v>1775</v>
          </cell>
          <cell r="M203" t="str">
            <v>AEHH8B</v>
          </cell>
          <cell r="N203" t="str">
            <v>913</v>
          </cell>
          <cell r="P203" t="str">
            <v>TEFC</v>
          </cell>
          <cell r="R203" t="str">
            <v>Continuous</v>
          </cell>
          <cell r="U203" t="str">
            <v>40</v>
          </cell>
          <cell r="V203" t="str">
            <v>3</v>
          </cell>
          <cell r="W203" t="str">
            <v>60</v>
          </cell>
          <cell r="X203" t="str">
            <v>460</v>
          </cell>
          <cell r="Y203" t="str">
            <v>85.1</v>
          </cell>
          <cell r="AA203" t="str">
            <v>F1</v>
          </cell>
          <cell r="AG203" t="str">
            <v>HP</v>
          </cell>
          <cell r="AI203" t="str">
            <v>6313ZC3</v>
          </cell>
          <cell r="AJ203" t="str">
            <v>6213ZC3</v>
          </cell>
          <cell r="AO203" t="str">
            <v>B</v>
          </cell>
          <cell r="AP203" t="str">
            <v>G</v>
          </cell>
          <cell r="AQ203" t="str">
            <v>F</v>
          </cell>
          <cell r="AS203" t="str">
            <v>1.15</v>
          </cell>
          <cell r="AT203" t="str">
            <v>95.4</v>
          </cell>
          <cell r="AV203" t="b">
            <v>0</v>
          </cell>
          <cell r="AX203" t="str">
            <v>4</v>
          </cell>
          <cell r="EW203" t="str">
            <v>APH07504TE4-S41</v>
          </cell>
          <cell r="HD203" t="str">
            <v>Repair Shop</v>
          </cell>
          <cell r="HT203" t="b">
            <v>0</v>
          </cell>
          <cell r="HU203" t="str">
            <v>ALFRED CONHAGEN CO. OF CA</v>
          </cell>
        </row>
        <row r="204">
          <cell r="A204">
            <v>5591</v>
          </cell>
          <cell r="B204" t="str">
            <v>VEM1499</v>
          </cell>
          <cell r="D204" t="str">
            <v>UNICO</v>
          </cell>
          <cell r="F204" t="str">
            <v>FAIRBANKS MORSE</v>
          </cell>
          <cell r="H204" t="str">
            <v>1923358-1</v>
          </cell>
          <cell r="I204" t="str">
            <v>250T</v>
          </cell>
          <cell r="K204" t="str">
            <v>24.1</v>
          </cell>
          <cell r="L204" t="str">
            <v>1140</v>
          </cell>
          <cell r="M204" t="str">
            <v>LK</v>
          </cell>
          <cell r="P204" t="str">
            <v>SUB</v>
          </cell>
          <cell r="R204" t="str">
            <v>Continuous</v>
          </cell>
          <cell r="U204" t="str">
            <v>40</v>
          </cell>
          <cell r="V204" t="str">
            <v>3</v>
          </cell>
          <cell r="W204" t="str">
            <v>60</v>
          </cell>
          <cell r="X204" t="str">
            <v>230</v>
          </cell>
          <cell r="Y204" t="str">
            <v>65.6</v>
          </cell>
          <cell r="AA204" t="str">
            <v>Vertical</v>
          </cell>
          <cell r="AG204" t="str">
            <v>HP</v>
          </cell>
          <cell r="AO204" t="str">
            <v>B</v>
          </cell>
          <cell r="AP204" t="str">
            <v>G</v>
          </cell>
          <cell r="AQ204" t="str">
            <v>F</v>
          </cell>
          <cell r="AS204" t="str">
            <v>1.15</v>
          </cell>
          <cell r="AV204" t="b">
            <v>0</v>
          </cell>
          <cell r="EX204" t="str">
            <v>U025C2256D2X 1132 A</v>
          </cell>
          <cell r="HD204" t="str">
            <v>Repair Shop</v>
          </cell>
          <cell r="HT204" t="b">
            <v>0</v>
          </cell>
          <cell r="HU204" t="str">
            <v>UNICO MECHANICAL CORP.</v>
          </cell>
        </row>
        <row r="205">
          <cell r="A205">
            <v>5590</v>
          </cell>
          <cell r="B205" t="str">
            <v>VEM1498</v>
          </cell>
          <cell r="D205" t="str">
            <v>UNICO</v>
          </cell>
          <cell r="F205" t="str">
            <v>US Motors</v>
          </cell>
          <cell r="I205" t="str">
            <v>404T DP</v>
          </cell>
          <cell r="K205" t="str">
            <v>50</v>
          </cell>
          <cell r="L205" t="str">
            <v>875</v>
          </cell>
          <cell r="M205" t="str">
            <v>R</v>
          </cell>
          <cell r="P205" t="str">
            <v>TEFC</v>
          </cell>
          <cell r="R205" t="str">
            <v>Continuous</v>
          </cell>
          <cell r="U205" t="str">
            <v>40</v>
          </cell>
          <cell r="V205" t="str">
            <v>3</v>
          </cell>
          <cell r="W205" t="str">
            <v>60</v>
          </cell>
          <cell r="X205" t="str">
            <v>460</v>
          </cell>
          <cell r="Y205" t="str">
            <v>6707</v>
          </cell>
          <cell r="AA205" t="str">
            <v>F1</v>
          </cell>
          <cell r="AG205" t="str">
            <v>HP</v>
          </cell>
          <cell r="AI205" t="str">
            <v>5215-H</v>
          </cell>
          <cell r="AJ205" t="str">
            <v>6212-2Z-J</v>
          </cell>
          <cell r="AO205" t="str">
            <v>B</v>
          </cell>
          <cell r="AP205" t="str">
            <v>F</v>
          </cell>
          <cell r="AQ205" t="str">
            <v>BV</v>
          </cell>
          <cell r="AS205" t="str">
            <v>1.15</v>
          </cell>
          <cell r="AT205" t="str">
            <v>88.5</v>
          </cell>
          <cell r="AV205" t="b">
            <v>0</v>
          </cell>
          <cell r="EX205" t="str">
            <v>N05N0850133R-1</v>
          </cell>
          <cell r="HD205" t="str">
            <v>Repair Shop</v>
          </cell>
          <cell r="HT205" t="b">
            <v>0</v>
          </cell>
          <cell r="HU205" t="str">
            <v>UNICO MECHANICAL CORP.</v>
          </cell>
        </row>
        <row r="206">
          <cell r="A206">
            <v>5589</v>
          </cell>
          <cell r="B206" t="str">
            <v>VEM1497</v>
          </cell>
          <cell r="D206" t="str">
            <v>CONHAGEN</v>
          </cell>
          <cell r="F206" t="str">
            <v>Siemens</v>
          </cell>
          <cell r="H206" t="str">
            <v>E12T0003P 3</v>
          </cell>
          <cell r="I206" t="str">
            <v>213 LP</v>
          </cell>
          <cell r="K206" t="str">
            <v>7.5</v>
          </cell>
          <cell r="L206" t="str">
            <v>3515</v>
          </cell>
          <cell r="M206" t="str">
            <v>RGZVILESD</v>
          </cell>
          <cell r="N206" t="str">
            <v>185</v>
          </cell>
          <cell r="P206" t="str">
            <v>TEFC</v>
          </cell>
          <cell r="R206" t="str">
            <v>Continuous</v>
          </cell>
          <cell r="U206" t="str">
            <v>40</v>
          </cell>
          <cell r="V206" t="str">
            <v>3</v>
          </cell>
          <cell r="W206" t="str">
            <v>60</v>
          </cell>
          <cell r="X206" t="str">
            <v>230/460</v>
          </cell>
          <cell r="Y206" t="str">
            <v>17.6/8.8</v>
          </cell>
          <cell r="AA206" t="str">
            <v>Vertical</v>
          </cell>
          <cell r="AD206" t="str">
            <v>0</v>
          </cell>
          <cell r="AG206" t="str">
            <v>HP</v>
          </cell>
          <cell r="AI206" t="str">
            <v>45BC0213</v>
          </cell>
          <cell r="AJ206" t="str">
            <v>45BT03MR3</v>
          </cell>
          <cell r="AO206" t="str">
            <v>B</v>
          </cell>
          <cell r="AP206" t="str">
            <v>H</v>
          </cell>
          <cell r="AQ206" t="str">
            <v>F</v>
          </cell>
          <cell r="AS206" t="str">
            <v>1.15</v>
          </cell>
          <cell r="AT206" t="str">
            <v>87.5</v>
          </cell>
          <cell r="AV206" t="b">
            <v>0</v>
          </cell>
          <cell r="HD206" t="str">
            <v>Repair Shop</v>
          </cell>
          <cell r="HT206" t="b">
            <v>0</v>
          </cell>
          <cell r="HU206" t="str">
            <v>ALFRED CONHAGEN CO. OF CA</v>
          </cell>
        </row>
        <row r="207">
          <cell r="A207">
            <v>5588</v>
          </cell>
          <cell r="B207" t="str">
            <v>VEM1496</v>
          </cell>
          <cell r="D207" t="str">
            <v>CONHAGEN</v>
          </cell>
          <cell r="AG207" t="str">
            <v>HP</v>
          </cell>
          <cell r="AV207" t="b">
            <v>0</v>
          </cell>
          <cell r="HD207" t="str">
            <v>Repair Shop</v>
          </cell>
          <cell r="HT207" t="b">
            <v>0</v>
          </cell>
          <cell r="HU207" t="str">
            <v>ALFRED CONHAGEN CO. OF CA</v>
          </cell>
        </row>
        <row r="208">
          <cell r="A208">
            <v>5587</v>
          </cell>
          <cell r="B208" t="str">
            <v>VEM1495</v>
          </cell>
          <cell r="D208" t="str">
            <v>VALLEJOSAN</v>
          </cell>
          <cell r="F208" t="str">
            <v>Reliance</v>
          </cell>
          <cell r="I208" t="str">
            <v>180TC</v>
          </cell>
          <cell r="K208" t="str">
            <v>5</v>
          </cell>
          <cell r="L208" t="str">
            <v>1750</v>
          </cell>
          <cell r="M208" t="str">
            <v>P</v>
          </cell>
          <cell r="P208" t="str">
            <v>TEFC</v>
          </cell>
          <cell r="R208" t="str">
            <v>Continuous</v>
          </cell>
          <cell r="U208" t="str">
            <v>40</v>
          </cell>
          <cell r="V208" t="str">
            <v>3</v>
          </cell>
          <cell r="W208" t="str">
            <v>60</v>
          </cell>
          <cell r="X208" t="str">
            <v>20/460</v>
          </cell>
          <cell r="Y208" t="str">
            <v>12.2/6.1</v>
          </cell>
          <cell r="AA208" t="str">
            <v>Vertical</v>
          </cell>
          <cell r="AD208" t="str">
            <v>0</v>
          </cell>
          <cell r="AG208" t="str">
            <v>HP</v>
          </cell>
          <cell r="AI208" t="str">
            <v>30BC02J3CX</v>
          </cell>
          <cell r="AJ208" t="str">
            <v>25BC02J3CX</v>
          </cell>
          <cell r="AO208" t="str">
            <v>B</v>
          </cell>
          <cell r="AP208" t="str">
            <v>J</v>
          </cell>
          <cell r="AQ208" t="str">
            <v>F</v>
          </cell>
          <cell r="AS208" t="str">
            <v>1.15</v>
          </cell>
          <cell r="AT208" t="str">
            <v>88.5</v>
          </cell>
          <cell r="AV208" t="b">
            <v>0</v>
          </cell>
          <cell r="BY208" t="str">
            <v>29</v>
          </cell>
          <cell r="BZ208" t="str">
            <v>1750</v>
          </cell>
          <cell r="CB208" t="str">
            <v>4300 inch pounds</v>
          </cell>
          <cell r="EX208" t="str">
            <v>P1803813A-VW</v>
          </cell>
          <cell r="HD208" t="str">
            <v>Repair Shop</v>
          </cell>
          <cell r="HT208" t="b">
            <v>0</v>
          </cell>
          <cell r="HU208" t="str">
            <v>VALLEJO FLOOD &amp; WASTEWATER DISTRICT</v>
          </cell>
        </row>
        <row r="209">
          <cell r="A209">
            <v>5586</v>
          </cell>
          <cell r="B209" t="str">
            <v>VEM1494</v>
          </cell>
          <cell r="D209" t="str">
            <v>P66</v>
          </cell>
          <cell r="F209" t="str">
            <v>US Motors</v>
          </cell>
          <cell r="H209" t="str">
            <v>P4286542</v>
          </cell>
          <cell r="I209" t="str">
            <v>184</v>
          </cell>
          <cell r="K209" t="str">
            <v>3/4</v>
          </cell>
          <cell r="L209" t="str">
            <v>900</v>
          </cell>
          <cell r="M209" t="str">
            <v>EN</v>
          </cell>
          <cell r="P209" t="str">
            <v>TEFC</v>
          </cell>
          <cell r="R209" t="str">
            <v>Continuous</v>
          </cell>
          <cell r="V209" t="str">
            <v>3</v>
          </cell>
          <cell r="W209" t="str">
            <v>60</v>
          </cell>
          <cell r="X209" t="str">
            <v>460</v>
          </cell>
          <cell r="Y209" t="str">
            <v>1.7</v>
          </cell>
          <cell r="AA209" t="str">
            <v>F1</v>
          </cell>
          <cell r="AG209" t="str">
            <v>HP</v>
          </cell>
          <cell r="AO209" t="str">
            <v>B</v>
          </cell>
          <cell r="AP209" t="str">
            <v>L</v>
          </cell>
          <cell r="AS209" t="str">
            <v>1.0</v>
          </cell>
          <cell r="AV209" t="b">
            <v>0</v>
          </cell>
          <cell r="HD209" t="str">
            <v>Repair Shop</v>
          </cell>
          <cell r="HT209" t="b">
            <v>0</v>
          </cell>
          <cell r="HU209" t="str">
            <v>PHILLIPS 66</v>
          </cell>
        </row>
        <row r="210">
          <cell r="A210">
            <v>5585</v>
          </cell>
          <cell r="B210" t="str">
            <v>VEM1493</v>
          </cell>
          <cell r="D210" t="str">
            <v>CONHAGEN</v>
          </cell>
          <cell r="AG210" t="str">
            <v>HP</v>
          </cell>
          <cell r="AV210" t="b">
            <v>0</v>
          </cell>
          <cell r="HD210" t="str">
            <v>Repair Shop</v>
          </cell>
          <cell r="HT210" t="b">
            <v>0</v>
          </cell>
          <cell r="HU210" t="str">
            <v>ALFRED CONHAGEN CO. OF CA</v>
          </cell>
        </row>
        <row r="211">
          <cell r="A211">
            <v>5584</v>
          </cell>
          <cell r="B211" t="str">
            <v>VEM1492</v>
          </cell>
          <cell r="D211" t="str">
            <v>DORMATECH</v>
          </cell>
          <cell r="F211" t="str">
            <v>Baldor</v>
          </cell>
          <cell r="H211" t="str">
            <v>F1610271269</v>
          </cell>
          <cell r="I211" t="str">
            <v>184TC</v>
          </cell>
          <cell r="K211" t="str">
            <v>5</v>
          </cell>
          <cell r="L211" t="str">
            <v>3500</v>
          </cell>
          <cell r="P211" t="str">
            <v>TEFC</v>
          </cell>
          <cell r="R211" t="str">
            <v>Continuous</v>
          </cell>
          <cell r="U211" t="str">
            <v>40</v>
          </cell>
          <cell r="V211" t="str">
            <v>3</v>
          </cell>
          <cell r="W211" t="str">
            <v>60</v>
          </cell>
          <cell r="X211" t="str">
            <v>208-230/460</v>
          </cell>
          <cell r="Y211" t="str">
            <v>12.2-11.2/5.6</v>
          </cell>
          <cell r="AA211" t="str">
            <v>F1</v>
          </cell>
          <cell r="AD211" t="str">
            <v>0</v>
          </cell>
          <cell r="AG211" t="str">
            <v>HP</v>
          </cell>
          <cell r="AI211" t="str">
            <v>6307</v>
          </cell>
          <cell r="AJ211" t="str">
            <v>6205</v>
          </cell>
          <cell r="AO211" t="str">
            <v>B</v>
          </cell>
          <cell r="AP211" t="str">
            <v>M</v>
          </cell>
          <cell r="AQ211" t="str">
            <v>F</v>
          </cell>
          <cell r="AR211" t="str">
            <v>93</v>
          </cell>
          <cell r="AS211" t="str">
            <v>1.15</v>
          </cell>
          <cell r="AT211" t="str">
            <v>89.5</v>
          </cell>
          <cell r="AU211" t="str">
            <v>06F266W18G1</v>
          </cell>
          <cell r="AV211" t="b">
            <v>0</v>
          </cell>
          <cell r="BN211" t="str">
            <v>CR32-1-1A-G-A-E-HQQE</v>
          </cell>
          <cell r="EW211" t="str">
            <v>85600H12</v>
          </cell>
          <cell r="HD211" t="str">
            <v>Repair Shop</v>
          </cell>
          <cell r="HT211" t="b">
            <v>0</v>
          </cell>
          <cell r="HU211" t="str">
            <v>DORMATECH</v>
          </cell>
        </row>
        <row r="212">
          <cell r="A212">
            <v>5583</v>
          </cell>
          <cell r="B212" t="str">
            <v>VEM1491</v>
          </cell>
          <cell r="D212" t="str">
            <v>VEOLIA RIO VIST</v>
          </cell>
          <cell r="AD212" t="str">
            <v>0</v>
          </cell>
          <cell r="AG212" t="str">
            <v>HP</v>
          </cell>
          <cell r="AV212" t="b">
            <v>0</v>
          </cell>
          <cell r="HD212" t="str">
            <v>Repair Shop</v>
          </cell>
          <cell r="HT212" t="b">
            <v>0</v>
          </cell>
          <cell r="HU212" t="str">
            <v>VEOLIA</v>
          </cell>
        </row>
        <row r="213">
          <cell r="A213">
            <v>5582</v>
          </cell>
          <cell r="B213" t="str">
            <v>VEM1490</v>
          </cell>
          <cell r="D213" t="str">
            <v>VALERO</v>
          </cell>
          <cell r="F213" t="str">
            <v>Siemens</v>
          </cell>
          <cell r="H213" t="str">
            <v>A16517-01-1</v>
          </cell>
          <cell r="I213" t="str">
            <v>509SY</v>
          </cell>
          <cell r="K213" t="str">
            <v>250</v>
          </cell>
          <cell r="L213" t="str">
            <v>1786</v>
          </cell>
          <cell r="M213" t="str">
            <v>CZ</v>
          </cell>
          <cell r="P213" t="str">
            <v>TEFC</v>
          </cell>
          <cell r="R213" t="str">
            <v>Continuous</v>
          </cell>
          <cell r="U213" t="str">
            <v>47</v>
          </cell>
          <cell r="V213" t="str">
            <v>3</v>
          </cell>
          <cell r="W213" t="str">
            <v>60</v>
          </cell>
          <cell r="X213" t="str">
            <v>4000</v>
          </cell>
          <cell r="Y213" t="str">
            <v>34.7</v>
          </cell>
          <cell r="AA213" t="str">
            <v>F1</v>
          </cell>
          <cell r="AG213" t="str">
            <v>HP</v>
          </cell>
          <cell r="AI213" t="str">
            <v>52-354-035-501</v>
          </cell>
          <cell r="AJ213" t="str">
            <v>52-354-035-501</v>
          </cell>
          <cell r="AO213" t="str">
            <v>A</v>
          </cell>
          <cell r="AP213" t="str">
            <v>G</v>
          </cell>
          <cell r="AQ213" t="str">
            <v>F</v>
          </cell>
          <cell r="AS213" t="str">
            <v>1.15</v>
          </cell>
          <cell r="AV213" t="b">
            <v>0</v>
          </cell>
          <cell r="HD213" t="str">
            <v>Repair Shop</v>
          </cell>
          <cell r="HT213" t="b">
            <v>0</v>
          </cell>
          <cell r="HU213" t="str">
            <v>VALERO REFINING CO. BENICIA</v>
          </cell>
        </row>
        <row r="214">
          <cell r="A214">
            <v>5581</v>
          </cell>
          <cell r="B214" t="str">
            <v>VEM1489</v>
          </cell>
          <cell r="D214" t="str">
            <v>P66</v>
          </cell>
          <cell r="F214" t="str">
            <v>Siemens</v>
          </cell>
          <cell r="H214" t="str">
            <v>C2-E15T0037NPI 001</v>
          </cell>
          <cell r="I214" t="str">
            <v>405 TS</v>
          </cell>
          <cell r="K214" t="str">
            <v>100</v>
          </cell>
          <cell r="L214" t="str">
            <v>3570</v>
          </cell>
          <cell r="M214" t="str">
            <v>SD100 IEEE</v>
          </cell>
          <cell r="N214" t="str">
            <v>1100</v>
          </cell>
          <cell r="P214" t="str">
            <v>TEFC</v>
          </cell>
          <cell r="R214" t="str">
            <v>Continuous</v>
          </cell>
          <cell r="U214" t="str">
            <v>40</v>
          </cell>
          <cell r="V214" t="str">
            <v>3</v>
          </cell>
          <cell r="W214" t="str">
            <v>60</v>
          </cell>
          <cell r="X214" t="str">
            <v>460</v>
          </cell>
          <cell r="Y214" t="str">
            <v>108.0</v>
          </cell>
          <cell r="AA214" t="str">
            <v>F1</v>
          </cell>
          <cell r="AD214" t="str">
            <v>0</v>
          </cell>
          <cell r="AG214" t="str">
            <v>HP</v>
          </cell>
          <cell r="AI214" t="str">
            <v>80BC03-JP3</v>
          </cell>
          <cell r="AJ214" t="str">
            <v>80BC03JP3</v>
          </cell>
          <cell r="AO214" t="str">
            <v>B</v>
          </cell>
          <cell r="AP214" t="str">
            <v>6</v>
          </cell>
          <cell r="AQ214" t="str">
            <v>F</v>
          </cell>
          <cell r="AS214" t="str">
            <v>1.15</v>
          </cell>
          <cell r="AT214" t="str">
            <v>94.1</v>
          </cell>
          <cell r="AV214" t="b">
            <v>0</v>
          </cell>
          <cell r="GK214" t="str">
            <v>PART #1LE24214BA212AA3</v>
          </cell>
          <cell r="HD214" t="str">
            <v>Repair Shop</v>
          </cell>
          <cell r="HT214" t="b">
            <v>0</v>
          </cell>
          <cell r="HU214" t="str">
            <v>PHILLIPS 66</v>
          </cell>
        </row>
        <row r="215">
          <cell r="A215">
            <v>5580</v>
          </cell>
          <cell r="B215" t="str">
            <v>FE1047</v>
          </cell>
          <cell r="D215" t="str">
            <v>NAPARECYCLING</v>
          </cell>
          <cell r="AG215" t="str">
            <v>HP</v>
          </cell>
          <cell r="AV215" t="b">
            <v>0</v>
          </cell>
          <cell r="HD215" t="str">
            <v>Field Service</v>
          </cell>
          <cell r="HT215" t="b">
            <v>0</v>
          </cell>
          <cell r="HU215" t="str">
            <v>NAPA RECYCLING &amp; WASTE</v>
          </cell>
        </row>
        <row r="216">
          <cell r="A216">
            <v>5578</v>
          </cell>
          <cell r="B216" t="str">
            <v>VEM1487</v>
          </cell>
          <cell r="D216" t="str">
            <v>VALLEJOSAN</v>
          </cell>
          <cell r="AD216" t="str">
            <v>0</v>
          </cell>
          <cell r="AG216" t="str">
            <v>HP</v>
          </cell>
          <cell r="AV216" t="b">
            <v>0</v>
          </cell>
          <cell r="FB216" t="str">
            <v>1200</v>
          </cell>
          <cell r="FC216" t="str">
            <v>1200</v>
          </cell>
          <cell r="FD216" t="str">
            <v>4160/2400</v>
          </cell>
          <cell r="FE216" t="str">
            <v>3</v>
          </cell>
          <cell r="FF216" t="str">
            <v>60</v>
          </cell>
          <cell r="FM216" t="str">
            <v>BWNL4345</v>
          </cell>
          <cell r="GV216" t="str">
            <v>208</v>
          </cell>
          <cell r="HD216" t="str">
            <v>Repair Shop</v>
          </cell>
          <cell r="HT216" t="b">
            <v>0</v>
          </cell>
          <cell r="HU216" t="str">
            <v>VALLEJO FLOOD &amp; WASTEWATER DISTRICT</v>
          </cell>
        </row>
        <row r="217">
          <cell r="A217">
            <v>5577</v>
          </cell>
          <cell r="B217" t="str">
            <v>VEM1486</v>
          </cell>
          <cell r="D217" t="str">
            <v>CONHAGEN</v>
          </cell>
          <cell r="F217" t="str">
            <v>Reliance</v>
          </cell>
          <cell r="I217" t="str">
            <v>324LP</v>
          </cell>
          <cell r="K217" t="str">
            <v>40</v>
          </cell>
          <cell r="L217" t="str">
            <v>1775</v>
          </cell>
          <cell r="M217" t="str">
            <v>P</v>
          </cell>
          <cell r="N217" t="str">
            <v>738</v>
          </cell>
          <cell r="P217" t="str">
            <v>TEFC</v>
          </cell>
          <cell r="R217" t="str">
            <v>Continuous</v>
          </cell>
          <cell r="U217" t="str">
            <v>40</v>
          </cell>
          <cell r="V217" t="str">
            <v>3</v>
          </cell>
          <cell r="W217" t="str">
            <v>60</v>
          </cell>
          <cell r="X217" t="str">
            <v>230/460</v>
          </cell>
          <cell r="Y217" t="str">
            <v>95.4/47.7</v>
          </cell>
          <cell r="AA217" t="str">
            <v>Vertical</v>
          </cell>
          <cell r="AD217" t="str">
            <v>0</v>
          </cell>
          <cell r="AG217" t="str">
            <v>HP</v>
          </cell>
          <cell r="AI217" t="str">
            <v>65BC02JP30X</v>
          </cell>
          <cell r="AJ217" t="str">
            <v>45BT03JR00X</v>
          </cell>
          <cell r="AO217" t="str">
            <v>B</v>
          </cell>
          <cell r="AP217" t="str">
            <v>G</v>
          </cell>
          <cell r="AQ217" t="str">
            <v>F</v>
          </cell>
          <cell r="AR217" t="str">
            <v>83.3</v>
          </cell>
          <cell r="AS217" t="str">
            <v>1.15</v>
          </cell>
          <cell r="AT217" t="str">
            <v>94.1</v>
          </cell>
          <cell r="AV217" t="b">
            <v>0</v>
          </cell>
          <cell r="EX217" t="str">
            <v>6408845 G001 GF</v>
          </cell>
          <cell r="HD217" t="str">
            <v>Repair Shop</v>
          </cell>
          <cell r="HT217" t="b">
            <v>0</v>
          </cell>
          <cell r="HU217" t="str">
            <v>ALFRED CONHAGEN CO. OF CA</v>
          </cell>
        </row>
        <row r="218">
          <cell r="A218">
            <v>5576</v>
          </cell>
          <cell r="B218" t="str">
            <v>VEM1485</v>
          </cell>
          <cell r="D218" t="str">
            <v>CONHAGEN</v>
          </cell>
          <cell r="F218" t="str">
            <v>Reliance</v>
          </cell>
          <cell r="I218" t="str">
            <v>254LP</v>
          </cell>
          <cell r="K218" t="str">
            <v>15</v>
          </cell>
          <cell r="L218" t="str">
            <v>3535</v>
          </cell>
          <cell r="M218" t="str">
            <v>P</v>
          </cell>
          <cell r="P218" t="str">
            <v>TEFC</v>
          </cell>
          <cell r="R218" t="str">
            <v>Continuous</v>
          </cell>
          <cell r="U218" t="str">
            <v>40</v>
          </cell>
          <cell r="V218" t="str">
            <v>3</v>
          </cell>
          <cell r="W218" t="str">
            <v>60</v>
          </cell>
          <cell r="X218" t="str">
            <v>460</v>
          </cell>
          <cell r="Y218" t="str">
            <v>17.4</v>
          </cell>
          <cell r="AA218" t="str">
            <v>Vertical</v>
          </cell>
          <cell r="AD218" t="str">
            <v>-1</v>
          </cell>
          <cell r="AG218" t="str">
            <v>HP</v>
          </cell>
          <cell r="AI218" t="str">
            <v>45BC03X30X26</v>
          </cell>
          <cell r="AJ218" t="str">
            <v>40BT03XR00X26</v>
          </cell>
          <cell r="AO218" t="str">
            <v>B</v>
          </cell>
          <cell r="AP218" t="str">
            <v>C</v>
          </cell>
          <cell r="AQ218" t="str">
            <v>F</v>
          </cell>
          <cell r="AR218" t="str">
            <v>89.0</v>
          </cell>
          <cell r="AS218" t="str">
            <v>1.15</v>
          </cell>
          <cell r="AT218" t="str">
            <v>89.5</v>
          </cell>
          <cell r="AV218" t="b">
            <v>0</v>
          </cell>
          <cell r="EX218" t="str">
            <v>1MAF25445-G2-ON</v>
          </cell>
          <cell r="HD218" t="str">
            <v>Repair Shop</v>
          </cell>
          <cell r="HT218" t="b">
            <v>0</v>
          </cell>
          <cell r="HU218" t="str">
            <v>ALFRED CONHAGEN CO. OF CA</v>
          </cell>
        </row>
        <row r="219">
          <cell r="A219">
            <v>5575</v>
          </cell>
          <cell r="B219" t="str">
            <v>VEM1484</v>
          </cell>
          <cell r="D219" t="str">
            <v>UNICO</v>
          </cell>
          <cell r="F219" t="str">
            <v>ABS PUMPS</v>
          </cell>
          <cell r="K219" t="str">
            <v>51.4/46.9</v>
          </cell>
          <cell r="L219" t="str">
            <v>1171</v>
          </cell>
          <cell r="M219" t="str">
            <v>AFP 2073 ME 350/6-43.60</v>
          </cell>
          <cell r="P219" t="str">
            <v>SUB</v>
          </cell>
          <cell r="U219" t="str">
            <v>40</v>
          </cell>
          <cell r="V219" t="str">
            <v>3</v>
          </cell>
          <cell r="W219" t="str">
            <v>60</v>
          </cell>
          <cell r="X219" t="str">
            <v>460</v>
          </cell>
          <cell r="Y219" t="str">
            <v>57.9</v>
          </cell>
          <cell r="AD219" t="str">
            <v>0</v>
          </cell>
          <cell r="AG219" t="str">
            <v>HP</v>
          </cell>
          <cell r="AP219" t="str">
            <v>B</v>
          </cell>
          <cell r="AQ219" t="str">
            <v>F</v>
          </cell>
          <cell r="AV219" t="b">
            <v>0</v>
          </cell>
          <cell r="GK219" t="str">
            <v>PART # 09925127-000</v>
          </cell>
          <cell r="GL219" t="str">
            <v>PUMP-NO. 31703</v>
          </cell>
          <cell r="HD219" t="str">
            <v>Repair Shop</v>
          </cell>
          <cell r="HT219" t="b">
            <v>0</v>
          </cell>
          <cell r="HU219" t="str">
            <v>UNICO MECHANICAL CORP.</v>
          </cell>
        </row>
        <row r="220">
          <cell r="A220">
            <v>5574</v>
          </cell>
          <cell r="B220" t="str">
            <v>VEM1483</v>
          </cell>
          <cell r="D220" t="str">
            <v>UNICO</v>
          </cell>
          <cell r="F220" t="str">
            <v>ABS PUMPS</v>
          </cell>
          <cell r="K220" t="str">
            <v>51.4/46.9</v>
          </cell>
          <cell r="L220" t="str">
            <v>1171</v>
          </cell>
          <cell r="M220" t="str">
            <v>AFP 2073 ME 350/6-43.60</v>
          </cell>
          <cell r="P220" t="str">
            <v>SUB</v>
          </cell>
          <cell r="U220" t="str">
            <v>40</v>
          </cell>
          <cell r="V220" t="str">
            <v>3</v>
          </cell>
          <cell r="W220" t="str">
            <v>60</v>
          </cell>
          <cell r="X220" t="str">
            <v>460</v>
          </cell>
          <cell r="Y220" t="str">
            <v>57.9</v>
          </cell>
          <cell r="AD220" t="str">
            <v>0</v>
          </cell>
          <cell r="AG220" t="str">
            <v>HP</v>
          </cell>
          <cell r="AP220" t="str">
            <v>B</v>
          </cell>
          <cell r="AQ220" t="str">
            <v>F</v>
          </cell>
          <cell r="AV220" t="b">
            <v>0</v>
          </cell>
          <cell r="GK220" t="str">
            <v>PART # 09925127-000</v>
          </cell>
          <cell r="GL220" t="str">
            <v>PUMP-NO. 31703</v>
          </cell>
          <cell r="HD220" t="str">
            <v>Repair Shop</v>
          </cell>
          <cell r="HT220" t="b">
            <v>0</v>
          </cell>
          <cell r="HU220" t="str">
            <v>UNICO MECHANICAL CORP.</v>
          </cell>
        </row>
        <row r="221">
          <cell r="A221">
            <v>5573</v>
          </cell>
          <cell r="B221" t="str">
            <v>VEM1482</v>
          </cell>
          <cell r="D221" t="str">
            <v>CONHAGEN</v>
          </cell>
          <cell r="F221" t="str">
            <v>Reliance</v>
          </cell>
          <cell r="G221" t="str">
            <v>6404323</v>
          </cell>
          <cell r="I221" t="str">
            <v>213LPZ</v>
          </cell>
          <cell r="K221" t="str">
            <v>7.5</v>
          </cell>
          <cell r="L221" t="str">
            <v>3520</v>
          </cell>
          <cell r="M221" t="str">
            <v>P</v>
          </cell>
          <cell r="N221" t="str">
            <v>226</v>
          </cell>
          <cell r="P221" t="str">
            <v>TEFC</v>
          </cell>
          <cell r="R221" t="str">
            <v>Continuous</v>
          </cell>
          <cell r="U221" t="str">
            <v>40</v>
          </cell>
          <cell r="V221" t="str">
            <v>3</v>
          </cell>
          <cell r="W221" t="str">
            <v>60</v>
          </cell>
          <cell r="X221" t="str">
            <v>460</v>
          </cell>
          <cell r="Y221" t="str">
            <v>8.50</v>
          </cell>
          <cell r="AA221" t="str">
            <v>Vertical</v>
          </cell>
          <cell r="AG221" t="str">
            <v>HP</v>
          </cell>
          <cell r="AI221" t="str">
            <v>55BC02JP30X</v>
          </cell>
          <cell r="AJ221" t="str">
            <v>30BBT03JR00X</v>
          </cell>
          <cell r="AO221" t="str">
            <v>B</v>
          </cell>
          <cell r="AP221" t="str">
            <v>H</v>
          </cell>
          <cell r="AQ221" t="str">
            <v>F</v>
          </cell>
          <cell r="AR221" t="str">
            <v>92.1</v>
          </cell>
          <cell r="AS221" t="str">
            <v>1.15</v>
          </cell>
          <cell r="AT221" t="str">
            <v>90.2</v>
          </cell>
          <cell r="AV221" t="b">
            <v>0</v>
          </cell>
          <cell r="EX221" t="str">
            <v>6404323 G002</v>
          </cell>
          <cell r="HD221" t="str">
            <v>Repair Shop</v>
          </cell>
          <cell r="HT221" t="b">
            <v>0</v>
          </cell>
          <cell r="HU221" t="str">
            <v>ALFRED CONHAGEN CO. OF CA</v>
          </cell>
        </row>
        <row r="222">
          <cell r="A222">
            <v>5571</v>
          </cell>
          <cell r="B222" t="str">
            <v>VEM1480</v>
          </cell>
          <cell r="D222" t="str">
            <v>EDF RENEWABLES</v>
          </cell>
          <cell r="F222" t="str">
            <v>LUST</v>
          </cell>
          <cell r="G222" t="str">
            <v>FGVH 112LL-4-D-F-D-G</v>
          </cell>
          <cell r="H222" t="str">
            <v>000469226</v>
          </cell>
          <cell r="K222" t="str">
            <v>4,4/9,6</v>
          </cell>
          <cell r="L222" t="str">
            <v>1400/920</v>
          </cell>
          <cell r="P222" t="str">
            <v>Forced Vent</v>
          </cell>
          <cell r="R222" t="str">
            <v>Continuous</v>
          </cell>
          <cell r="U222" t="str">
            <v>50</v>
          </cell>
          <cell r="W222" t="str">
            <v>50/60</v>
          </cell>
          <cell r="AA222" t="str">
            <v>Vertical</v>
          </cell>
          <cell r="AD222" t="str">
            <v>-1</v>
          </cell>
          <cell r="AG222" t="str">
            <v>KW</v>
          </cell>
          <cell r="AQ222" t="str">
            <v>H</v>
          </cell>
          <cell r="AV222" t="b">
            <v>0</v>
          </cell>
          <cell r="EP222" t="str">
            <v>288</v>
          </cell>
          <cell r="EQ222" t="str">
            <v>18/56</v>
          </cell>
          <cell r="ER222" t="str">
            <v>288</v>
          </cell>
          <cell r="ES222" t="str">
            <v>.76</v>
          </cell>
          <cell r="GK222" t="str">
            <v>681-00107</v>
          </cell>
          <cell r="HD222" t="str">
            <v>Repair Shop</v>
          </cell>
          <cell r="HT222" t="b">
            <v>0</v>
          </cell>
          <cell r="HU222" t="str">
            <v>EDF RENEWABLES</v>
          </cell>
        </row>
        <row r="223">
          <cell r="A223">
            <v>5570</v>
          </cell>
          <cell r="B223" t="str">
            <v>VEM1478</v>
          </cell>
          <cell r="D223" t="str">
            <v>EDF RENEWABLES</v>
          </cell>
          <cell r="F223" t="str">
            <v>LUST</v>
          </cell>
          <cell r="G223" t="str">
            <v>FGVH 112LL-4-D-F-D-G</v>
          </cell>
          <cell r="H223" t="str">
            <v>000481603</v>
          </cell>
          <cell r="K223" t="str">
            <v>4,4/9,6</v>
          </cell>
          <cell r="L223" t="str">
            <v>1400/920</v>
          </cell>
          <cell r="P223" t="str">
            <v>Forced Vent</v>
          </cell>
          <cell r="R223" t="str">
            <v>Continuous</v>
          </cell>
          <cell r="U223" t="str">
            <v>50</v>
          </cell>
          <cell r="W223" t="str">
            <v>50/60</v>
          </cell>
          <cell r="AA223" t="str">
            <v>Vertical</v>
          </cell>
          <cell r="AD223" t="str">
            <v>-1</v>
          </cell>
          <cell r="AG223" t="str">
            <v>KW</v>
          </cell>
          <cell r="AQ223" t="str">
            <v>H</v>
          </cell>
          <cell r="AV223" t="b">
            <v>0</v>
          </cell>
          <cell r="EP223" t="str">
            <v>288</v>
          </cell>
          <cell r="EQ223" t="str">
            <v>18/56</v>
          </cell>
          <cell r="ER223" t="str">
            <v>288</v>
          </cell>
          <cell r="ES223" t="str">
            <v>.76</v>
          </cell>
          <cell r="GK223" t="str">
            <v>681-00107</v>
          </cell>
          <cell r="HD223" t="str">
            <v>Repair Shop</v>
          </cell>
          <cell r="HT223" t="b">
            <v>0</v>
          </cell>
          <cell r="HU223" t="str">
            <v>EDF RENEWABLES</v>
          </cell>
        </row>
        <row r="224">
          <cell r="A224">
            <v>5569</v>
          </cell>
          <cell r="B224" t="str">
            <v>VEM1479</v>
          </cell>
          <cell r="D224" t="str">
            <v>EDF RENEWABLES</v>
          </cell>
          <cell r="F224" t="str">
            <v>LUST</v>
          </cell>
          <cell r="G224" t="str">
            <v>FGVH 112LL-4-D-F-D-G</v>
          </cell>
          <cell r="H224" t="str">
            <v>000469655</v>
          </cell>
          <cell r="K224" t="str">
            <v>4,4/9,6</v>
          </cell>
          <cell r="L224" t="str">
            <v>1400/920</v>
          </cell>
          <cell r="P224" t="str">
            <v>Forced Vent</v>
          </cell>
          <cell r="R224" t="str">
            <v>Continuous</v>
          </cell>
          <cell r="U224" t="str">
            <v>50</v>
          </cell>
          <cell r="W224" t="str">
            <v>50/60</v>
          </cell>
          <cell r="AA224" t="str">
            <v>Vertical</v>
          </cell>
          <cell r="AD224" t="str">
            <v>-1</v>
          </cell>
          <cell r="AG224" t="str">
            <v>KW</v>
          </cell>
          <cell r="AQ224" t="str">
            <v>H</v>
          </cell>
          <cell r="AV224" t="b">
            <v>0</v>
          </cell>
          <cell r="EP224" t="str">
            <v>288</v>
          </cell>
          <cell r="EQ224" t="str">
            <v>18/56</v>
          </cell>
          <cell r="ER224" t="str">
            <v>288</v>
          </cell>
          <cell r="ES224" t="str">
            <v>.76</v>
          </cell>
          <cell r="GK224" t="str">
            <v>681-00107</v>
          </cell>
          <cell r="HD224" t="str">
            <v>Repair Shop</v>
          </cell>
          <cell r="HT224" t="b">
            <v>0</v>
          </cell>
          <cell r="HU224" t="str">
            <v>EDF RENEWABLES</v>
          </cell>
        </row>
        <row r="225">
          <cell r="A225">
            <v>5567</v>
          </cell>
          <cell r="B225" t="str">
            <v>VEM1477</v>
          </cell>
          <cell r="D225" t="str">
            <v>VALERO</v>
          </cell>
          <cell r="F225" t="str">
            <v>Siemens</v>
          </cell>
          <cell r="I225" t="str">
            <v>286T</v>
          </cell>
          <cell r="K225" t="str">
            <v>30</v>
          </cell>
          <cell r="L225" t="str">
            <v>1765</v>
          </cell>
          <cell r="M225" t="str">
            <v>R6ZESD</v>
          </cell>
          <cell r="P225" t="str">
            <v>TEFC</v>
          </cell>
          <cell r="R225" t="str">
            <v>Continuous</v>
          </cell>
          <cell r="U225" t="str">
            <v>40</v>
          </cell>
          <cell r="V225" t="str">
            <v>3</v>
          </cell>
          <cell r="W225" t="str">
            <v>60</v>
          </cell>
          <cell r="X225" t="str">
            <v>460</v>
          </cell>
          <cell r="Y225" t="str">
            <v>34.9</v>
          </cell>
          <cell r="AA225" t="str">
            <v>F1</v>
          </cell>
          <cell r="AG225" t="str">
            <v>HP</v>
          </cell>
          <cell r="AI225" t="str">
            <v>50BC03JPP3</v>
          </cell>
          <cell r="AJ225" t="str">
            <v>50BC03JPP3</v>
          </cell>
          <cell r="AO225" t="str">
            <v>B</v>
          </cell>
          <cell r="AP225" t="str">
            <v>6</v>
          </cell>
          <cell r="AQ225" t="str">
            <v>F</v>
          </cell>
          <cell r="AS225" t="str">
            <v>1.15</v>
          </cell>
          <cell r="AT225" t="str">
            <v>93.6</v>
          </cell>
          <cell r="AV225" t="b">
            <v>0</v>
          </cell>
          <cell r="GK225" t="str">
            <v>ORD NO. 1LA02864SE41</v>
          </cell>
          <cell r="HD225" t="str">
            <v>Repair Shop</v>
          </cell>
          <cell r="HT225" t="b">
            <v>0</v>
          </cell>
          <cell r="HU225" t="str">
            <v>VALERO REFINING CO. BENICIA</v>
          </cell>
        </row>
        <row r="226">
          <cell r="A226">
            <v>5566</v>
          </cell>
          <cell r="B226" t="str">
            <v>VEM1476</v>
          </cell>
          <cell r="D226" t="str">
            <v>VALERO</v>
          </cell>
          <cell r="F226" t="str">
            <v>Siemens</v>
          </cell>
          <cell r="H226" t="str">
            <v>H13T0045HP1 007</v>
          </cell>
          <cell r="I226" t="str">
            <v>284T</v>
          </cell>
          <cell r="K226" t="str">
            <v>25</v>
          </cell>
          <cell r="L226" t="str">
            <v>1775</v>
          </cell>
          <cell r="M226" t="str">
            <v>SD100 IEEE</v>
          </cell>
          <cell r="N226" t="str">
            <v>445</v>
          </cell>
          <cell r="P226" t="str">
            <v>TEFC</v>
          </cell>
          <cell r="R226" t="str">
            <v>Continuous</v>
          </cell>
          <cell r="U226" t="str">
            <v>40</v>
          </cell>
          <cell r="V226" t="str">
            <v>3</v>
          </cell>
          <cell r="W226" t="str">
            <v>60</v>
          </cell>
          <cell r="X226" t="str">
            <v>460</v>
          </cell>
          <cell r="Y226" t="str">
            <v>30.0</v>
          </cell>
          <cell r="AA226" t="str">
            <v>F1</v>
          </cell>
          <cell r="AG226" t="str">
            <v>HP</v>
          </cell>
          <cell r="AI226" t="str">
            <v>50BC03JP3</v>
          </cell>
          <cell r="AJ226" t="str">
            <v>50BC03JP3</v>
          </cell>
          <cell r="AO226" t="str">
            <v>B</v>
          </cell>
          <cell r="AP226" t="str">
            <v>6</v>
          </cell>
          <cell r="AQ226" t="str">
            <v>F</v>
          </cell>
          <cell r="AS226" t="str">
            <v>1.15</v>
          </cell>
          <cell r="AT226" t="str">
            <v>93.6</v>
          </cell>
          <cell r="AV226" t="b">
            <v>0</v>
          </cell>
          <cell r="GK226" t="str">
            <v>PART #1LE24212CB112AA3</v>
          </cell>
          <cell r="HD226" t="str">
            <v>Repair Shop</v>
          </cell>
          <cell r="HT226" t="b">
            <v>0</v>
          </cell>
          <cell r="HU226" t="str">
            <v>VALERO REFINING CO. BENICIA</v>
          </cell>
        </row>
        <row r="227">
          <cell r="A227">
            <v>5565</v>
          </cell>
          <cell r="B227" t="str">
            <v>VEM1475</v>
          </cell>
          <cell r="D227" t="str">
            <v>VALERO</v>
          </cell>
          <cell r="AG227" t="str">
            <v>HP</v>
          </cell>
          <cell r="AV227" t="b">
            <v>0</v>
          </cell>
          <cell r="HD227" t="str">
            <v>Repair Shop</v>
          </cell>
          <cell r="HT227" t="b">
            <v>0</v>
          </cell>
          <cell r="HU227" t="str">
            <v>VALERO REFINING CO. BENICIA</v>
          </cell>
        </row>
        <row r="228">
          <cell r="A228">
            <v>5564</v>
          </cell>
          <cell r="B228" t="str">
            <v>VEM1474</v>
          </cell>
          <cell r="D228" t="str">
            <v>P66</v>
          </cell>
          <cell r="AG228" t="str">
            <v>HP</v>
          </cell>
          <cell r="AV228" t="b">
            <v>0</v>
          </cell>
          <cell r="HD228" t="str">
            <v>Repair Shop</v>
          </cell>
          <cell r="HT228" t="b">
            <v>0</v>
          </cell>
          <cell r="HU228" t="str">
            <v>PHILLIPS 66</v>
          </cell>
        </row>
        <row r="229">
          <cell r="A229">
            <v>5562</v>
          </cell>
          <cell r="B229" t="str">
            <v>VEM1472</v>
          </cell>
          <cell r="D229" t="str">
            <v>EDF RENEWABLES</v>
          </cell>
          <cell r="F229" t="str">
            <v>LUST</v>
          </cell>
          <cell r="G229" t="str">
            <v>FGVH 112LL-4-D-F-D-G</v>
          </cell>
          <cell r="H229" t="str">
            <v>000477290</v>
          </cell>
          <cell r="K229" t="str">
            <v>4,4/9,6</v>
          </cell>
          <cell r="L229" t="str">
            <v>1400/920</v>
          </cell>
          <cell r="P229" t="str">
            <v>Forced Vent</v>
          </cell>
          <cell r="R229" t="str">
            <v>Continuous</v>
          </cell>
          <cell r="U229" t="str">
            <v>50</v>
          </cell>
          <cell r="W229" t="str">
            <v>50/60</v>
          </cell>
          <cell r="AA229" t="str">
            <v>Vertical</v>
          </cell>
          <cell r="AD229" t="str">
            <v>-1</v>
          </cell>
          <cell r="AG229" t="str">
            <v>KW</v>
          </cell>
          <cell r="AQ229" t="str">
            <v>H</v>
          </cell>
          <cell r="AV229" t="b">
            <v>0</v>
          </cell>
          <cell r="EP229" t="str">
            <v>288</v>
          </cell>
          <cell r="EQ229" t="str">
            <v>18/56</v>
          </cell>
          <cell r="ER229" t="str">
            <v>288</v>
          </cell>
          <cell r="ES229" t="str">
            <v>.76</v>
          </cell>
          <cell r="GK229" t="str">
            <v>681-00107</v>
          </cell>
          <cell r="HD229" t="str">
            <v>Repair Shop</v>
          </cell>
          <cell r="HT229" t="b">
            <v>0</v>
          </cell>
          <cell r="HU229" t="str">
            <v>EDF RENEWABLES</v>
          </cell>
        </row>
        <row r="230">
          <cell r="A230">
            <v>5561</v>
          </cell>
          <cell r="B230" t="str">
            <v>VEM1471</v>
          </cell>
          <cell r="D230" t="str">
            <v>EDF RENEWABLES</v>
          </cell>
          <cell r="F230" t="str">
            <v>LUST</v>
          </cell>
          <cell r="G230" t="str">
            <v>FGVH 112LL-4-D-F-D-G</v>
          </cell>
          <cell r="H230" t="str">
            <v>000477311</v>
          </cell>
          <cell r="K230" t="str">
            <v>4,4/9,6</v>
          </cell>
          <cell r="L230" t="str">
            <v>1400/920</v>
          </cell>
          <cell r="P230" t="str">
            <v>Forced Vent</v>
          </cell>
          <cell r="R230" t="str">
            <v>Continuous</v>
          </cell>
          <cell r="U230" t="str">
            <v>50</v>
          </cell>
          <cell r="W230" t="str">
            <v>50/60</v>
          </cell>
          <cell r="AA230" t="str">
            <v>Vertical</v>
          </cell>
          <cell r="AD230" t="str">
            <v>-1</v>
          </cell>
          <cell r="AG230" t="str">
            <v>KW</v>
          </cell>
          <cell r="AQ230" t="str">
            <v>H</v>
          </cell>
          <cell r="AV230" t="b">
            <v>0</v>
          </cell>
          <cell r="EP230" t="str">
            <v>288</v>
          </cell>
          <cell r="EQ230" t="str">
            <v>18/56</v>
          </cell>
          <cell r="ER230" t="str">
            <v>288</v>
          </cell>
          <cell r="ES230" t="str">
            <v>.76</v>
          </cell>
          <cell r="GK230" t="str">
            <v>681-00107</v>
          </cell>
          <cell r="HD230" t="str">
            <v>Repair Shop</v>
          </cell>
          <cell r="HT230" t="b">
            <v>0</v>
          </cell>
          <cell r="HU230" t="str">
            <v>EDF RENEWABLES</v>
          </cell>
        </row>
        <row r="231">
          <cell r="A231">
            <v>5560</v>
          </cell>
          <cell r="B231" t="str">
            <v>VEM1470</v>
          </cell>
          <cell r="D231" t="str">
            <v>EDF RENEWABLES</v>
          </cell>
          <cell r="F231" t="str">
            <v>LUST</v>
          </cell>
          <cell r="G231" t="str">
            <v>FGVH 112LL-4-D-F-D-G</v>
          </cell>
          <cell r="H231" t="str">
            <v>000474977</v>
          </cell>
          <cell r="K231" t="str">
            <v>4,4/9,6</v>
          </cell>
          <cell r="L231" t="str">
            <v>1400/920</v>
          </cell>
          <cell r="P231" t="str">
            <v>Forced Vent</v>
          </cell>
          <cell r="R231" t="str">
            <v>Continuous</v>
          </cell>
          <cell r="U231" t="str">
            <v>50</v>
          </cell>
          <cell r="W231" t="str">
            <v>50/60</v>
          </cell>
          <cell r="AA231" t="str">
            <v>Vertical</v>
          </cell>
          <cell r="AD231" t="str">
            <v>-1</v>
          </cell>
          <cell r="AG231" t="str">
            <v>KW</v>
          </cell>
          <cell r="AQ231" t="str">
            <v>H</v>
          </cell>
          <cell r="AV231" t="b">
            <v>0</v>
          </cell>
          <cell r="EP231" t="str">
            <v>288</v>
          </cell>
          <cell r="EQ231" t="str">
            <v>18/56</v>
          </cell>
          <cell r="ER231" t="str">
            <v>288</v>
          </cell>
          <cell r="ES231" t="str">
            <v>.76</v>
          </cell>
          <cell r="GK231" t="str">
            <v>681-00107</v>
          </cell>
          <cell r="HD231" t="str">
            <v>Repair Shop</v>
          </cell>
          <cell r="HT231" t="b">
            <v>0</v>
          </cell>
          <cell r="HU231" t="str">
            <v>EDF RENEWABLES</v>
          </cell>
        </row>
        <row r="232">
          <cell r="A232">
            <v>5559</v>
          </cell>
          <cell r="B232" t="str">
            <v>VEM1469</v>
          </cell>
          <cell r="D232" t="str">
            <v>EDF RENEWABLES</v>
          </cell>
          <cell r="F232" t="str">
            <v>LUST</v>
          </cell>
          <cell r="G232" t="str">
            <v>FGVH 112LL-4-D-F-D-G</v>
          </cell>
          <cell r="H232" t="str">
            <v>000477310</v>
          </cell>
          <cell r="K232" t="str">
            <v>4,4/9,6</v>
          </cell>
          <cell r="L232" t="str">
            <v>1400/920</v>
          </cell>
          <cell r="P232" t="str">
            <v>Forced Vent</v>
          </cell>
          <cell r="R232" t="str">
            <v>Continuous</v>
          </cell>
          <cell r="U232" t="str">
            <v>50</v>
          </cell>
          <cell r="W232" t="str">
            <v>50/60</v>
          </cell>
          <cell r="AA232" t="str">
            <v>Vertical</v>
          </cell>
          <cell r="AD232" t="str">
            <v>0</v>
          </cell>
          <cell r="AG232" t="str">
            <v>KW</v>
          </cell>
          <cell r="AQ232" t="str">
            <v>H</v>
          </cell>
          <cell r="AV232" t="b">
            <v>0</v>
          </cell>
          <cell r="EP232" t="str">
            <v>288</v>
          </cell>
          <cell r="EQ232" t="str">
            <v>18/56</v>
          </cell>
          <cell r="ER232" t="str">
            <v>288</v>
          </cell>
          <cell r="ES232" t="str">
            <v>.76</v>
          </cell>
          <cell r="GK232" t="str">
            <v>681-00107</v>
          </cell>
          <cell r="HD232" t="str">
            <v>Repair Shop</v>
          </cell>
          <cell r="HT232" t="b">
            <v>0</v>
          </cell>
          <cell r="HU232" t="str">
            <v>EDF RENEWABLES</v>
          </cell>
        </row>
        <row r="233">
          <cell r="A233">
            <v>5558</v>
          </cell>
          <cell r="B233" t="str">
            <v>VEM1468</v>
          </cell>
          <cell r="D233" t="str">
            <v>EDF RENEWABLES</v>
          </cell>
          <cell r="F233" t="str">
            <v>LUST</v>
          </cell>
          <cell r="G233" t="str">
            <v>FGVH 112LL-4-D-F-D-G</v>
          </cell>
          <cell r="H233" t="str">
            <v>000478063</v>
          </cell>
          <cell r="K233" t="str">
            <v>4,4/9,6</v>
          </cell>
          <cell r="L233" t="str">
            <v>1400/920</v>
          </cell>
          <cell r="P233" t="str">
            <v>Forced Vent</v>
          </cell>
          <cell r="R233" t="str">
            <v>Continuous</v>
          </cell>
          <cell r="U233" t="str">
            <v>50</v>
          </cell>
          <cell r="W233" t="str">
            <v>50/60</v>
          </cell>
          <cell r="AA233" t="str">
            <v>Vertical</v>
          </cell>
          <cell r="AD233" t="str">
            <v>-1</v>
          </cell>
          <cell r="AG233" t="str">
            <v>KW</v>
          </cell>
          <cell r="AQ233" t="str">
            <v>H</v>
          </cell>
          <cell r="AV233" t="b">
            <v>0</v>
          </cell>
          <cell r="EP233" t="str">
            <v>288</v>
          </cell>
          <cell r="EQ233" t="str">
            <v>18/56</v>
          </cell>
          <cell r="ER233" t="str">
            <v>288</v>
          </cell>
          <cell r="ES233" t="str">
            <v>.76</v>
          </cell>
          <cell r="GK233" t="str">
            <v>681-00107</v>
          </cell>
          <cell r="HD233" t="str">
            <v>Repair Shop</v>
          </cell>
          <cell r="HT233" t="b">
            <v>0</v>
          </cell>
          <cell r="HU233" t="str">
            <v>EDF RENEWABLES</v>
          </cell>
        </row>
        <row r="234">
          <cell r="A234">
            <v>5557</v>
          </cell>
          <cell r="B234" t="str">
            <v>VEM1467</v>
          </cell>
          <cell r="D234" t="str">
            <v>FRFLD-SUISUN</v>
          </cell>
          <cell r="AG234" t="str">
            <v>HP</v>
          </cell>
          <cell r="AV234" t="b">
            <v>0</v>
          </cell>
          <cell r="BY234" t="str">
            <v>2:1</v>
          </cell>
          <cell r="CC234" t="str">
            <v>900</v>
          </cell>
          <cell r="CE234" t="str">
            <v>300</v>
          </cell>
          <cell r="HD234" t="str">
            <v>Repair Shop</v>
          </cell>
          <cell r="HT234" t="b">
            <v>0</v>
          </cell>
          <cell r="HU234" t="str">
            <v>FAIRFIELD-SUISUN SEWER DISTRICT</v>
          </cell>
        </row>
        <row r="235">
          <cell r="A235">
            <v>5556</v>
          </cell>
          <cell r="B235" t="str">
            <v>VEM1466</v>
          </cell>
          <cell r="D235" t="str">
            <v>P66</v>
          </cell>
          <cell r="F235" t="str">
            <v>Emerson</v>
          </cell>
          <cell r="G235" t="str">
            <v>BJ09</v>
          </cell>
          <cell r="I235" t="str">
            <v>256T</v>
          </cell>
          <cell r="K235" t="str">
            <v>20</v>
          </cell>
          <cell r="L235" t="str">
            <v>1770</v>
          </cell>
          <cell r="M235" t="str">
            <v>CE</v>
          </cell>
          <cell r="N235" t="str">
            <v>340</v>
          </cell>
          <cell r="P235" t="str">
            <v>TEFC</v>
          </cell>
          <cell r="R235" t="str">
            <v>Continuous</v>
          </cell>
          <cell r="U235" t="str">
            <v>40</v>
          </cell>
          <cell r="V235" t="str">
            <v>3</v>
          </cell>
          <cell r="W235" t="str">
            <v>60</v>
          </cell>
          <cell r="X235" t="str">
            <v>460</v>
          </cell>
          <cell r="Y235" t="str">
            <v>23.80</v>
          </cell>
          <cell r="AA235" t="str">
            <v>F1</v>
          </cell>
          <cell r="AG235" t="str">
            <v>HP</v>
          </cell>
          <cell r="AI235" t="str">
            <v>45BC03J3</v>
          </cell>
          <cell r="AJ235" t="str">
            <v>45BC03J3</v>
          </cell>
          <cell r="AO235" t="str">
            <v>B</v>
          </cell>
          <cell r="AP235" t="str">
            <v>G</v>
          </cell>
          <cell r="AQ235" t="str">
            <v>F</v>
          </cell>
          <cell r="AR235" t="str">
            <v>84.6</v>
          </cell>
          <cell r="AS235" t="str">
            <v>1.15</v>
          </cell>
          <cell r="AT235" t="str">
            <v>93.0</v>
          </cell>
          <cell r="AV235" t="b">
            <v>0</v>
          </cell>
          <cell r="EW235" t="str">
            <v>8P20P2C</v>
          </cell>
          <cell r="EX235" t="str">
            <v>K03-BJ09-M</v>
          </cell>
          <cell r="HD235" t="str">
            <v>Repair Shop</v>
          </cell>
          <cell r="HT235" t="b">
            <v>0</v>
          </cell>
          <cell r="HU235" t="str">
            <v>PHILLIPS 66</v>
          </cell>
        </row>
        <row r="236">
          <cell r="A236">
            <v>5555</v>
          </cell>
          <cell r="B236" t="str">
            <v>VEM1465</v>
          </cell>
          <cell r="D236" t="str">
            <v>P66</v>
          </cell>
          <cell r="F236" t="str">
            <v>US Motors</v>
          </cell>
          <cell r="G236" t="str">
            <v>R-1732-01-268</v>
          </cell>
          <cell r="I236" t="str">
            <v>284T</v>
          </cell>
          <cell r="K236" t="str">
            <v>25</v>
          </cell>
          <cell r="L236" t="str">
            <v>1760</v>
          </cell>
          <cell r="M236" t="str">
            <v>T</v>
          </cell>
          <cell r="P236" t="str">
            <v>TEFC</v>
          </cell>
          <cell r="R236" t="str">
            <v>Continuous</v>
          </cell>
          <cell r="U236" t="str">
            <v>40</v>
          </cell>
          <cell r="V236" t="str">
            <v>3</v>
          </cell>
          <cell r="W236" t="str">
            <v>60</v>
          </cell>
          <cell r="X236" t="str">
            <v>230/460</v>
          </cell>
          <cell r="Y236" t="str">
            <v>62/31</v>
          </cell>
          <cell r="AA236" t="str">
            <v>F1</v>
          </cell>
          <cell r="AG236" t="str">
            <v>HP</v>
          </cell>
          <cell r="AI236" t="str">
            <v>50BC03X3</v>
          </cell>
          <cell r="AJ236" t="str">
            <v>50BC02X3</v>
          </cell>
          <cell r="AO236" t="str">
            <v>B</v>
          </cell>
          <cell r="AP236" t="str">
            <v>G</v>
          </cell>
          <cell r="AQ236" t="str">
            <v>B</v>
          </cell>
          <cell r="AS236" t="str">
            <v>1.0</v>
          </cell>
          <cell r="AV236" t="b">
            <v>0</v>
          </cell>
          <cell r="HD236" t="str">
            <v>Repair Shop</v>
          </cell>
          <cell r="HT236" t="b">
            <v>0</v>
          </cell>
          <cell r="HU236" t="str">
            <v>PHILLIPS 66</v>
          </cell>
        </row>
        <row r="237">
          <cell r="A237">
            <v>5554</v>
          </cell>
          <cell r="B237" t="str">
            <v>VEM1464</v>
          </cell>
          <cell r="D237" t="str">
            <v>P66</v>
          </cell>
          <cell r="F237" t="str">
            <v>CORRO-DUTY</v>
          </cell>
          <cell r="H237" t="str">
            <v>P4231673</v>
          </cell>
          <cell r="I237" t="str">
            <v>284T</v>
          </cell>
          <cell r="K237" t="str">
            <v>25</v>
          </cell>
          <cell r="L237" t="str">
            <v>1760</v>
          </cell>
          <cell r="M237" t="str">
            <v>TC</v>
          </cell>
          <cell r="P237" t="str">
            <v>TEFC</v>
          </cell>
          <cell r="R237" t="str">
            <v>Continuous</v>
          </cell>
          <cell r="U237" t="str">
            <v>40</v>
          </cell>
          <cell r="V237" t="str">
            <v>3</v>
          </cell>
          <cell r="W237" t="str">
            <v>60</v>
          </cell>
          <cell r="X237" t="str">
            <v>230/460</v>
          </cell>
          <cell r="Y237" t="str">
            <v>62/31</v>
          </cell>
          <cell r="AA237" t="str">
            <v>F1</v>
          </cell>
          <cell r="AD237" t="str">
            <v>0</v>
          </cell>
          <cell r="AG237" t="str">
            <v>HP</v>
          </cell>
          <cell r="AI237" t="str">
            <v>50BC03X3</v>
          </cell>
          <cell r="AJ237" t="str">
            <v>50BC02X3</v>
          </cell>
          <cell r="AO237" t="str">
            <v>B</v>
          </cell>
          <cell r="AP237" t="str">
            <v>G</v>
          </cell>
          <cell r="AQ237" t="str">
            <v>B</v>
          </cell>
          <cell r="AS237" t="str">
            <v>1.0</v>
          </cell>
          <cell r="AV237" t="b">
            <v>0</v>
          </cell>
          <cell r="HD237" t="str">
            <v>Repair Shop</v>
          </cell>
          <cell r="HT237" t="b">
            <v>0</v>
          </cell>
          <cell r="HU237" t="str">
            <v>PHILLIPS 66</v>
          </cell>
        </row>
        <row r="238">
          <cell r="A238">
            <v>5553</v>
          </cell>
          <cell r="B238" t="str">
            <v>VEM1463</v>
          </cell>
          <cell r="D238" t="str">
            <v>P66</v>
          </cell>
          <cell r="F238" t="str">
            <v>Reliance</v>
          </cell>
          <cell r="I238" t="str">
            <v>0256T</v>
          </cell>
          <cell r="K238" t="str">
            <v>20</v>
          </cell>
          <cell r="L238" t="str">
            <v>1765</v>
          </cell>
          <cell r="M238" t="str">
            <v>P</v>
          </cell>
          <cell r="P238" t="str">
            <v>TEFC</v>
          </cell>
          <cell r="R238" t="str">
            <v>Continuous</v>
          </cell>
          <cell r="U238" t="str">
            <v>40</v>
          </cell>
          <cell r="V238" t="str">
            <v>3</v>
          </cell>
          <cell r="W238" t="str">
            <v>60</v>
          </cell>
          <cell r="X238" t="str">
            <v>460</v>
          </cell>
          <cell r="Y238" t="str">
            <v>24.0</v>
          </cell>
          <cell r="AA238" t="str">
            <v>F1</v>
          </cell>
          <cell r="AG238" t="str">
            <v>HP</v>
          </cell>
          <cell r="AI238" t="str">
            <v>45BC03J30X</v>
          </cell>
          <cell r="AJ238" t="str">
            <v>45BC03J30X</v>
          </cell>
          <cell r="AO238" t="str">
            <v>B</v>
          </cell>
          <cell r="AP238" t="str">
            <v>G</v>
          </cell>
          <cell r="AQ238" t="str">
            <v>F</v>
          </cell>
          <cell r="AS238" t="str">
            <v>1.15</v>
          </cell>
          <cell r="AT238" t="str">
            <v>93.0</v>
          </cell>
          <cell r="AV238" t="b">
            <v>0</v>
          </cell>
          <cell r="EX238" t="str">
            <v>HM421183-016-AK</v>
          </cell>
          <cell r="HD238" t="str">
            <v>Repair Shop</v>
          </cell>
          <cell r="HT238" t="b">
            <v>0</v>
          </cell>
          <cell r="HU238" t="str">
            <v>PHILLIPS 66</v>
          </cell>
        </row>
        <row r="239">
          <cell r="A239">
            <v>5552</v>
          </cell>
          <cell r="B239" t="str">
            <v>VEM1462</v>
          </cell>
          <cell r="D239" t="str">
            <v>P66</v>
          </cell>
          <cell r="F239" t="str">
            <v>CORRO-DUTY</v>
          </cell>
          <cell r="I239" t="str">
            <v>254T</v>
          </cell>
          <cell r="K239" t="str">
            <v>15</v>
          </cell>
          <cell r="L239" t="str">
            <v>3500</v>
          </cell>
          <cell r="M239" t="str">
            <v>TC</v>
          </cell>
          <cell r="P239" t="str">
            <v>TEFC</v>
          </cell>
          <cell r="R239" t="str">
            <v>Continuous</v>
          </cell>
          <cell r="U239" t="str">
            <v>40</v>
          </cell>
          <cell r="V239" t="str">
            <v>3</v>
          </cell>
          <cell r="W239" t="str">
            <v>60</v>
          </cell>
          <cell r="X239" t="str">
            <v>230/460</v>
          </cell>
          <cell r="Y239" t="str">
            <v>37.5/18.8</v>
          </cell>
          <cell r="AA239" t="str">
            <v>F1</v>
          </cell>
          <cell r="AG239" t="str">
            <v>HP</v>
          </cell>
          <cell r="AI239" t="str">
            <v>45BC03X3</v>
          </cell>
          <cell r="AJ239" t="str">
            <v>35BC02X3</v>
          </cell>
          <cell r="AO239" t="str">
            <v>B</v>
          </cell>
          <cell r="AP239" t="str">
            <v>G</v>
          </cell>
          <cell r="AS239" t="str">
            <v>1.0</v>
          </cell>
          <cell r="AV239" t="b">
            <v>0</v>
          </cell>
          <cell r="GK239" t="str">
            <v>R-4660-00-270</v>
          </cell>
          <cell r="HD239" t="str">
            <v>Repair Shop</v>
          </cell>
          <cell r="HT239" t="b">
            <v>0</v>
          </cell>
          <cell r="HU239" t="str">
            <v>PHILLIPS 66</v>
          </cell>
        </row>
        <row r="240">
          <cell r="A240">
            <v>5551</v>
          </cell>
          <cell r="B240" t="str">
            <v>VEM1461</v>
          </cell>
          <cell r="D240" t="str">
            <v>P66</v>
          </cell>
          <cell r="F240" t="str">
            <v>Reliance</v>
          </cell>
          <cell r="I240" t="str">
            <v>256T</v>
          </cell>
          <cell r="K240" t="str">
            <v>20</v>
          </cell>
          <cell r="L240" t="str">
            <v>1760</v>
          </cell>
          <cell r="M240" t="str">
            <v>P</v>
          </cell>
          <cell r="P240" t="str">
            <v>EXP</v>
          </cell>
          <cell r="R240" t="str">
            <v>Continuous</v>
          </cell>
          <cell r="U240" t="str">
            <v>40</v>
          </cell>
          <cell r="V240" t="str">
            <v>3</v>
          </cell>
          <cell r="W240" t="str">
            <v>60</v>
          </cell>
          <cell r="X240" t="str">
            <v>460</v>
          </cell>
          <cell r="Y240" t="str">
            <v>23.5</v>
          </cell>
          <cell r="AA240" t="str">
            <v>F1</v>
          </cell>
          <cell r="AG240" t="str">
            <v>HP</v>
          </cell>
          <cell r="AI240" t="str">
            <v>45BC03J30X</v>
          </cell>
          <cell r="AJ240" t="str">
            <v>45BC03J30X</v>
          </cell>
          <cell r="AO240" t="str">
            <v>B</v>
          </cell>
          <cell r="AP240" t="str">
            <v>G</v>
          </cell>
          <cell r="AQ240" t="str">
            <v>F</v>
          </cell>
          <cell r="AR240" t="str">
            <v>86.0</v>
          </cell>
          <cell r="AS240" t="str">
            <v>1.15</v>
          </cell>
          <cell r="AT240" t="str">
            <v>92.4</v>
          </cell>
          <cell r="AV240" t="b">
            <v>0</v>
          </cell>
          <cell r="EX240" t="str">
            <v>P256540J G1 XS</v>
          </cell>
          <cell r="HD240" t="str">
            <v>Repair Shop</v>
          </cell>
          <cell r="HT240" t="b">
            <v>0</v>
          </cell>
          <cell r="HU240" t="str">
            <v>PHILLIPS 66</v>
          </cell>
        </row>
        <row r="241">
          <cell r="A241">
            <v>5550</v>
          </cell>
          <cell r="B241" t="str">
            <v>VEM1460</v>
          </cell>
          <cell r="D241" t="str">
            <v>P66</v>
          </cell>
          <cell r="F241" t="str">
            <v>Siemens</v>
          </cell>
          <cell r="G241" t="str">
            <v>044</v>
          </cell>
          <cell r="I241" t="str">
            <v>405TS</v>
          </cell>
          <cell r="K241" t="str">
            <v>100</v>
          </cell>
          <cell r="L241" t="str">
            <v>3570</v>
          </cell>
          <cell r="M241" t="str">
            <v>RGZECH</v>
          </cell>
          <cell r="P241" t="str">
            <v>TEFC</v>
          </cell>
          <cell r="R241" t="str">
            <v>Continuous</v>
          </cell>
          <cell r="U241" t="str">
            <v>40</v>
          </cell>
          <cell r="V241" t="str">
            <v>3</v>
          </cell>
          <cell r="W241" t="str">
            <v>60</v>
          </cell>
          <cell r="X241" t="str">
            <v>460</v>
          </cell>
          <cell r="Y241" t="str">
            <v>111</v>
          </cell>
          <cell r="AA241" t="str">
            <v>F1</v>
          </cell>
          <cell r="AG241" t="str">
            <v>HP</v>
          </cell>
          <cell r="AI241" t="str">
            <v>65BC03JPP3</v>
          </cell>
          <cell r="AJ241" t="str">
            <v>65BC03JPP3</v>
          </cell>
          <cell r="AO241" t="str">
            <v>B</v>
          </cell>
          <cell r="AP241" t="str">
            <v>G</v>
          </cell>
          <cell r="AQ241" t="str">
            <v>F</v>
          </cell>
          <cell r="AS241" t="str">
            <v>1.15</v>
          </cell>
          <cell r="AT241" t="str">
            <v>94.1</v>
          </cell>
          <cell r="AV241" t="b">
            <v>0</v>
          </cell>
          <cell r="GK241" t="str">
            <v>1-5141-LR48428-01</v>
          </cell>
          <cell r="HD241" t="str">
            <v>Repair Shop</v>
          </cell>
          <cell r="HT241" t="b">
            <v>0</v>
          </cell>
          <cell r="HU241" t="str">
            <v>PHILLIPS 66</v>
          </cell>
        </row>
        <row r="242">
          <cell r="A242">
            <v>5549</v>
          </cell>
          <cell r="B242" t="str">
            <v>VEM1459</v>
          </cell>
          <cell r="D242" t="str">
            <v>P66</v>
          </cell>
          <cell r="F242" t="str">
            <v>Siemens</v>
          </cell>
          <cell r="G242" t="str">
            <v>024</v>
          </cell>
          <cell r="I242" t="str">
            <v>326TS</v>
          </cell>
          <cell r="K242" t="str">
            <v>50</v>
          </cell>
          <cell r="L242" t="str">
            <v>3545</v>
          </cell>
          <cell r="M242" t="str">
            <v>R6ZECH</v>
          </cell>
          <cell r="P242" t="str">
            <v>TEFC</v>
          </cell>
          <cell r="R242" t="str">
            <v>Continuous</v>
          </cell>
          <cell r="U242" t="str">
            <v>40</v>
          </cell>
          <cell r="V242" t="str">
            <v>3</v>
          </cell>
          <cell r="W242" t="str">
            <v>60</v>
          </cell>
          <cell r="X242" t="str">
            <v>460</v>
          </cell>
          <cell r="Y242" t="str">
            <v>56</v>
          </cell>
          <cell r="AA242" t="str">
            <v>F1</v>
          </cell>
          <cell r="AG242" t="str">
            <v>HP</v>
          </cell>
          <cell r="AI242" t="str">
            <v>33BC02JPP3</v>
          </cell>
          <cell r="AJ242" t="str">
            <v>55BC02JPP3</v>
          </cell>
          <cell r="AO242" t="str">
            <v>B</v>
          </cell>
          <cell r="AP242" t="str">
            <v>6</v>
          </cell>
          <cell r="AQ242" t="str">
            <v>F</v>
          </cell>
          <cell r="AS242" t="str">
            <v>1.15</v>
          </cell>
          <cell r="AT242" t="str">
            <v>91.7</v>
          </cell>
          <cell r="AV242" t="b">
            <v>0</v>
          </cell>
          <cell r="GK242" t="str">
            <v>1-5141-LR48406-03</v>
          </cell>
          <cell r="HD242" t="str">
            <v>Repair Shop</v>
          </cell>
          <cell r="HT242" t="b">
            <v>0</v>
          </cell>
          <cell r="HU242" t="str">
            <v>PHILLIPS 66</v>
          </cell>
        </row>
        <row r="243">
          <cell r="A243">
            <v>5548</v>
          </cell>
          <cell r="B243" t="str">
            <v>VEM1458</v>
          </cell>
          <cell r="D243" t="str">
            <v>CONHAGEN</v>
          </cell>
          <cell r="F243" t="str">
            <v>GE</v>
          </cell>
          <cell r="G243" t="str">
            <v>SKS254SAE6022</v>
          </cell>
          <cell r="H243" t="str">
            <v>DDET105B01</v>
          </cell>
          <cell r="I243" t="str">
            <v>L254TP10</v>
          </cell>
          <cell r="K243" t="str">
            <v>15</v>
          </cell>
          <cell r="L243" t="str">
            <v>1770</v>
          </cell>
          <cell r="M243" t="str">
            <v>KS</v>
          </cell>
          <cell r="P243" t="str">
            <v>TEFC</v>
          </cell>
          <cell r="R243" t="str">
            <v>Continuous</v>
          </cell>
          <cell r="U243" t="str">
            <v>40</v>
          </cell>
          <cell r="V243" t="str">
            <v>3</v>
          </cell>
          <cell r="W243" t="str">
            <v>60</v>
          </cell>
          <cell r="X243" t="str">
            <v>460</v>
          </cell>
          <cell r="Y243" t="str">
            <v>17.8</v>
          </cell>
          <cell r="AA243" t="str">
            <v>Vertical</v>
          </cell>
          <cell r="AG243" t="str">
            <v>HP</v>
          </cell>
          <cell r="AI243" t="str">
            <v>7309</v>
          </cell>
          <cell r="AJ243" t="str">
            <v>6209-2ZC3</v>
          </cell>
          <cell r="AO243" t="str">
            <v>B</v>
          </cell>
          <cell r="AP243" t="str">
            <v>6</v>
          </cell>
          <cell r="AQ243" t="str">
            <v>F</v>
          </cell>
          <cell r="AR243" t="str">
            <v>85.5</v>
          </cell>
          <cell r="AS243" t="str">
            <v>1.15</v>
          </cell>
          <cell r="AT243" t="str">
            <v>92.4</v>
          </cell>
          <cell r="AV243" t="b">
            <v>0</v>
          </cell>
          <cell r="HD243" t="str">
            <v>Repair Shop</v>
          </cell>
          <cell r="HT243" t="b">
            <v>0</v>
          </cell>
          <cell r="HU243" t="str">
            <v>ALFRED CONHAGEN CO. OF CA</v>
          </cell>
        </row>
        <row r="244">
          <cell r="A244">
            <v>5547</v>
          </cell>
          <cell r="B244" t="str">
            <v>VEM1457</v>
          </cell>
          <cell r="D244" t="str">
            <v>CONHAGEN</v>
          </cell>
          <cell r="F244" t="str">
            <v>GE</v>
          </cell>
          <cell r="G244" t="str">
            <v>5KS254SAE6022</v>
          </cell>
          <cell r="H244" t="str">
            <v>BDT042B03</v>
          </cell>
          <cell r="I244" t="str">
            <v>L254TP10</v>
          </cell>
          <cell r="K244" t="str">
            <v>15</v>
          </cell>
          <cell r="L244" t="str">
            <v>1770</v>
          </cell>
          <cell r="M244" t="str">
            <v>KS</v>
          </cell>
          <cell r="P244" t="str">
            <v>TEFC</v>
          </cell>
          <cell r="R244" t="str">
            <v>Continuous</v>
          </cell>
          <cell r="U244" t="str">
            <v>40</v>
          </cell>
          <cell r="V244" t="str">
            <v>3</v>
          </cell>
          <cell r="W244" t="str">
            <v>60</v>
          </cell>
          <cell r="X244" t="str">
            <v>460</v>
          </cell>
          <cell r="Y244" t="str">
            <v>17.8</v>
          </cell>
          <cell r="AA244" t="str">
            <v>F1</v>
          </cell>
          <cell r="AD244" t="str">
            <v>0</v>
          </cell>
          <cell r="AG244" t="str">
            <v>HP</v>
          </cell>
          <cell r="AI244" t="str">
            <v>7309</v>
          </cell>
          <cell r="AJ244" t="str">
            <v>6209-22C3</v>
          </cell>
          <cell r="AO244" t="str">
            <v>B</v>
          </cell>
          <cell r="AP244" t="str">
            <v>6</v>
          </cell>
          <cell r="AQ244" t="str">
            <v>F</v>
          </cell>
          <cell r="AR244" t="str">
            <v>85.5</v>
          </cell>
          <cell r="AS244" t="str">
            <v>1.15</v>
          </cell>
          <cell r="AT244" t="str">
            <v>92.4</v>
          </cell>
          <cell r="AV244" t="b">
            <v>0</v>
          </cell>
          <cell r="HD244" t="str">
            <v>Repair Shop</v>
          </cell>
          <cell r="HT244" t="b">
            <v>0</v>
          </cell>
          <cell r="HU244" t="str">
            <v>ALFRED CONHAGEN CO. OF CA</v>
          </cell>
        </row>
        <row r="245">
          <cell r="A245">
            <v>5546</v>
          </cell>
          <cell r="B245" t="str">
            <v>VEM1456</v>
          </cell>
          <cell r="D245" t="str">
            <v>CONHAGEN</v>
          </cell>
          <cell r="F245" t="str">
            <v>Siemens</v>
          </cell>
          <cell r="H245" t="str">
            <v>M05T0004P 3</v>
          </cell>
          <cell r="I245" t="str">
            <v>215 LP</v>
          </cell>
          <cell r="K245" t="str">
            <v>10</v>
          </cell>
          <cell r="L245" t="str">
            <v>3505</v>
          </cell>
          <cell r="M245" t="str">
            <v>RGZVILESD</v>
          </cell>
          <cell r="N245" t="str">
            <v>291</v>
          </cell>
          <cell r="P245" t="str">
            <v>TEFC</v>
          </cell>
          <cell r="R245" t="str">
            <v>Continuous</v>
          </cell>
          <cell r="U245" t="str">
            <v>40</v>
          </cell>
          <cell r="V245" t="str">
            <v>3</v>
          </cell>
          <cell r="W245" t="str">
            <v>60</v>
          </cell>
          <cell r="X245" t="str">
            <v>230 VY/460 Y</v>
          </cell>
          <cell r="Y245" t="str">
            <v>23.0/11.5</v>
          </cell>
          <cell r="AA245" t="str">
            <v>Vertical</v>
          </cell>
          <cell r="AD245" t="str">
            <v>0</v>
          </cell>
          <cell r="AG245" t="str">
            <v>HP</v>
          </cell>
          <cell r="AI245" t="str">
            <v>45BC0213</v>
          </cell>
          <cell r="AJ245" t="str">
            <v>45BT03MR3</v>
          </cell>
          <cell r="AO245" t="str">
            <v>B</v>
          </cell>
          <cell r="AP245" t="str">
            <v>H</v>
          </cell>
          <cell r="AQ245" t="str">
            <v>F</v>
          </cell>
          <cell r="AS245" t="str">
            <v>1.15</v>
          </cell>
          <cell r="AT245" t="str">
            <v>88.5</v>
          </cell>
          <cell r="AV245" t="b">
            <v>0</v>
          </cell>
          <cell r="HD245" t="str">
            <v>Repair Shop</v>
          </cell>
          <cell r="HT245" t="b">
            <v>0</v>
          </cell>
          <cell r="HU245" t="str">
            <v>ALFRED CONHAGEN CO. OF CA</v>
          </cell>
        </row>
        <row r="246">
          <cell r="A246">
            <v>5545</v>
          </cell>
          <cell r="B246" t="str">
            <v>VEM1455</v>
          </cell>
          <cell r="D246" t="str">
            <v>VALLEYAIR</v>
          </cell>
          <cell r="AG246" t="str">
            <v>HP</v>
          </cell>
          <cell r="AV246" t="b">
            <v>0</v>
          </cell>
          <cell r="FB246" t="str">
            <v>75</v>
          </cell>
          <cell r="FC246" t="str">
            <v>1820</v>
          </cell>
          <cell r="FD246" t="str">
            <v>208</v>
          </cell>
          <cell r="FE246" t="str">
            <v>3</v>
          </cell>
          <cell r="FF246" t="str">
            <v>60</v>
          </cell>
          <cell r="HD246" t="str">
            <v>Repair Shop</v>
          </cell>
          <cell r="HT246" t="b">
            <v>0</v>
          </cell>
          <cell r="HU246" t="str">
            <v>Valley Air Mechanical</v>
          </cell>
        </row>
        <row r="247">
          <cell r="A247">
            <v>5544</v>
          </cell>
          <cell r="B247" t="str">
            <v>VEM1454</v>
          </cell>
          <cell r="D247" t="str">
            <v>CONHAGEN</v>
          </cell>
          <cell r="F247" t="str">
            <v>Siemens</v>
          </cell>
          <cell r="H247" t="str">
            <v>A13TG4090694-11 1</v>
          </cell>
          <cell r="I247" t="str">
            <v>326 HP</v>
          </cell>
          <cell r="K247" t="str">
            <v>50</v>
          </cell>
          <cell r="L247" t="str">
            <v>3530</v>
          </cell>
          <cell r="M247" t="str">
            <v>RGZVESD</v>
          </cell>
          <cell r="P247" t="str">
            <v>TEFC</v>
          </cell>
          <cell r="R247" t="str">
            <v>Continuous</v>
          </cell>
          <cell r="U247" t="str">
            <v>40</v>
          </cell>
          <cell r="V247" t="str">
            <v>3</v>
          </cell>
          <cell r="W247" t="str">
            <v>60</v>
          </cell>
          <cell r="X247" t="str">
            <v>460</v>
          </cell>
          <cell r="Y247" t="str">
            <v>55.0</v>
          </cell>
          <cell r="AA247" t="str">
            <v>Vertical</v>
          </cell>
          <cell r="AG247" t="str">
            <v>HP</v>
          </cell>
          <cell r="AI247" t="str">
            <v>60BC03JPP3</v>
          </cell>
          <cell r="AJ247" t="str">
            <v>60BC03JP3</v>
          </cell>
          <cell r="AO247" t="str">
            <v>B</v>
          </cell>
          <cell r="AP247" t="str">
            <v>G</v>
          </cell>
          <cell r="AQ247" t="str">
            <v>B</v>
          </cell>
          <cell r="AS247" t="str">
            <v>1.15</v>
          </cell>
          <cell r="AT247" t="str">
            <v>92.4</v>
          </cell>
          <cell r="AV247" t="b">
            <v>0</v>
          </cell>
          <cell r="HD247" t="str">
            <v>Repair Shop</v>
          </cell>
          <cell r="HT247" t="b">
            <v>0</v>
          </cell>
          <cell r="HU247" t="str">
            <v>ALFRED CONHAGEN CO. OF CA</v>
          </cell>
        </row>
        <row r="248">
          <cell r="A248">
            <v>5543</v>
          </cell>
          <cell r="B248" t="str">
            <v>VEM1453</v>
          </cell>
          <cell r="D248" t="str">
            <v>VALLEJOSAN</v>
          </cell>
          <cell r="F248" t="str">
            <v>LIMITORQUE</v>
          </cell>
          <cell r="G248" t="str">
            <v>M40-V00-039</v>
          </cell>
          <cell r="H248" t="str">
            <v>43890031-3365</v>
          </cell>
          <cell r="K248" t="str">
            <v>42</v>
          </cell>
          <cell r="L248" t="str">
            <v>1725</v>
          </cell>
          <cell r="P248" t="str">
            <v>EXP</v>
          </cell>
          <cell r="R248" t="str">
            <v>Intermittant</v>
          </cell>
          <cell r="W248" t="str">
            <v>60</v>
          </cell>
          <cell r="X248" t="str">
            <v>230/460</v>
          </cell>
          <cell r="Y248" t="str">
            <v>3.0/1.50</v>
          </cell>
          <cell r="AA248" t="str">
            <v>Other</v>
          </cell>
          <cell r="AG248" t="str">
            <v>HP</v>
          </cell>
          <cell r="AQ248" t="str">
            <v>F</v>
          </cell>
          <cell r="AV248" t="b">
            <v>0</v>
          </cell>
          <cell r="HD248" t="str">
            <v>Repair Shop</v>
          </cell>
          <cell r="HT248" t="b">
            <v>0</v>
          </cell>
          <cell r="HU248" t="str">
            <v>VALLEJO FLOOD &amp; WASTEWATER DISTRICT</v>
          </cell>
        </row>
        <row r="249">
          <cell r="A249">
            <v>5542</v>
          </cell>
          <cell r="B249" t="str">
            <v>VEM1452</v>
          </cell>
          <cell r="D249" t="str">
            <v>P66CARBON</v>
          </cell>
          <cell r="F249" t="str">
            <v>SEW-EURODRIVE</v>
          </cell>
          <cell r="K249" t="str">
            <v>15</v>
          </cell>
          <cell r="L249" t="str">
            <v>1740</v>
          </cell>
          <cell r="M249" t="str">
            <v>DFV160M4</v>
          </cell>
          <cell r="P249" t="str">
            <v>TEFC</v>
          </cell>
          <cell r="R249" t="str">
            <v>Continuous</v>
          </cell>
          <cell r="U249" t="str">
            <v>40</v>
          </cell>
          <cell r="V249" t="str">
            <v>3</v>
          </cell>
          <cell r="W249" t="str">
            <v>60</v>
          </cell>
          <cell r="X249" t="str">
            <v>230/460</v>
          </cell>
          <cell r="Y249" t="str">
            <v>40.8/20.4</v>
          </cell>
          <cell r="AA249" t="str">
            <v>F2</v>
          </cell>
          <cell r="AG249" t="str">
            <v>HP</v>
          </cell>
          <cell r="AO249" t="str">
            <v>B</v>
          </cell>
          <cell r="AP249" t="str">
            <v>G</v>
          </cell>
          <cell r="AQ249" t="str">
            <v>B</v>
          </cell>
          <cell r="AS249" t="str">
            <v>1.0</v>
          </cell>
          <cell r="AV249" t="b">
            <v>0</v>
          </cell>
          <cell r="BY249" t="str">
            <v>11.93</v>
          </cell>
          <cell r="BZ249" t="str">
            <v>1740</v>
          </cell>
          <cell r="CB249" t="str">
            <v>6490</v>
          </cell>
          <cell r="CD249" t="str">
            <v>R87DV160M4</v>
          </cell>
          <cell r="HD249" t="str">
            <v>Repair Shop</v>
          </cell>
          <cell r="HT249" t="b">
            <v>0</v>
          </cell>
          <cell r="HU249" t="str">
            <v>PHILLIPS 66 CARBON PLANT</v>
          </cell>
        </row>
        <row r="250">
          <cell r="A250">
            <v>5541</v>
          </cell>
          <cell r="B250" t="str">
            <v>VEM1451</v>
          </cell>
          <cell r="D250" t="str">
            <v>UNICO</v>
          </cell>
          <cell r="F250" t="str">
            <v>US Motors</v>
          </cell>
          <cell r="I250" t="str">
            <v>405T TE</v>
          </cell>
          <cell r="K250" t="str">
            <v>60</v>
          </cell>
          <cell r="L250" t="str">
            <v>875</v>
          </cell>
          <cell r="M250" t="str">
            <v>R</v>
          </cell>
          <cell r="P250" t="str">
            <v>TEFC</v>
          </cell>
          <cell r="R250" t="str">
            <v>Continuous</v>
          </cell>
          <cell r="U250" t="str">
            <v>40</v>
          </cell>
          <cell r="V250" t="str">
            <v>3</v>
          </cell>
          <cell r="W250" t="str">
            <v>60</v>
          </cell>
          <cell r="X250" t="str">
            <v>460</v>
          </cell>
          <cell r="Y250" t="str">
            <v>81</v>
          </cell>
          <cell r="AA250" t="str">
            <v>F1</v>
          </cell>
          <cell r="AG250" t="str">
            <v>HP</v>
          </cell>
          <cell r="AI250" t="str">
            <v>5215-H</v>
          </cell>
          <cell r="AJ250" t="str">
            <v>6212-2Z-J</v>
          </cell>
          <cell r="AO250" t="str">
            <v>B</v>
          </cell>
          <cell r="AP250" t="str">
            <v>F</v>
          </cell>
          <cell r="AQ250" t="str">
            <v>B</v>
          </cell>
          <cell r="AS250" t="str">
            <v>1.15</v>
          </cell>
          <cell r="AT250" t="str">
            <v>89.5</v>
          </cell>
          <cell r="AV250" t="b">
            <v>0</v>
          </cell>
          <cell r="EX250" t="str">
            <v>N05N0850113R-2</v>
          </cell>
          <cell r="HD250" t="str">
            <v>Repair Shop</v>
          </cell>
          <cell r="HT250" t="b">
            <v>0</v>
          </cell>
          <cell r="HU250" t="str">
            <v>UNICO MECHANICAL CORP.</v>
          </cell>
        </row>
        <row r="251">
          <cell r="A251">
            <v>5540</v>
          </cell>
          <cell r="B251" t="str">
            <v>VEM1450</v>
          </cell>
          <cell r="D251" t="str">
            <v>DISCOVERY</v>
          </cell>
          <cell r="F251" t="str">
            <v>Flygt</v>
          </cell>
          <cell r="V251" t="str">
            <v>3</v>
          </cell>
          <cell r="W251" t="str">
            <v>60</v>
          </cell>
          <cell r="AA251" t="str">
            <v>Vertical</v>
          </cell>
          <cell r="AD251" t="str">
            <v>0</v>
          </cell>
          <cell r="AV251" t="b">
            <v>0</v>
          </cell>
          <cell r="HD251" t="str">
            <v>Repair Shop</v>
          </cell>
          <cell r="HT251" t="b">
            <v>0</v>
          </cell>
          <cell r="HU251" t="str">
            <v>SIX FLAGS DISCOVERY KINGDOM</v>
          </cell>
        </row>
        <row r="252">
          <cell r="A252">
            <v>5539</v>
          </cell>
          <cell r="B252" t="str">
            <v>VEM1449</v>
          </cell>
          <cell r="D252" t="str">
            <v>CONHAGEN</v>
          </cell>
          <cell r="AG252" t="str">
            <v>HP</v>
          </cell>
          <cell r="AV252" t="b">
            <v>0</v>
          </cell>
          <cell r="HD252" t="str">
            <v>Repair Shop</v>
          </cell>
          <cell r="HT252" t="b">
            <v>0</v>
          </cell>
          <cell r="HU252" t="str">
            <v>ALFRED CONHAGEN CO. OF CA</v>
          </cell>
        </row>
        <row r="253">
          <cell r="A253">
            <v>5538</v>
          </cell>
          <cell r="B253" t="str">
            <v>VEM1448</v>
          </cell>
          <cell r="D253" t="str">
            <v>P66</v>
          </cell>
          <cell r="F253" t="str">
            <v>Reliance</v>
          </cell>
          <cell r="I253" t="str">
            <v>444T</v>
          </cell>
          <cell r="K253" t="str">
            <v>30/15</v>
          </cell>
          <cell r="L253" t="str">
            <v>893/445</v>
          </cell>
          <cell r="M253" t="str">
            <v>PM</v>
          </cell>
          <cell r="P253" t="str">
            <v>TEFC</v>
          </cell>
          <cell r="R253" t="str">
            <v>Continuous</v>
          </cell>
          <cell r="U253" t="str">
            <v>040</v>
          </cell>
          <cell r="V253" t="str">
            <v>3</v>
          </cell>
          <cell r="W253" t="str">
            <v>60/60</v>
          </cell>
          <cell r="X253" t="str">
            <v>460/460</v>
          </cell>
          <cell r="Y253" t="str">
            <v>40.4/40.5</v>
          </cell>
          <cell r="AA253" t="str">
            <v>F1</v>
          </cell>
          <cell r="AD253" t="str">
            <v>-1</v>
          </cell>
          <cell r="AG253" t="str">
            <v>HP</v>
          </cell>
          <cell r="AI253" t="str">
            <v>908C03J30X</v>
          </cell>
          <cell r="AJ253" t="str">
            <v>908C03J30X</v>
          </cell>
          <cell r="AP253" t="str">
            <v>J</v>
          </cell>
          <cell r="AQ253" t="str">
            <v>F</v>
          </cell>
          <cell r="AS253" t="str">
            <v>1.15</v>
          </cell>
          <cell r="AV253" t="b">
            <v>0</v>
          </cell>
          <cell r="EX253" t="str">
            <v>1MAF51512 G1 TR</v>
          </cell>
          <cell r="HD253" t="str">
            <v>Repair Shop</v>
          </cell>
          <cell r="HT253" t="b">
            <v>0</v>
          </cell>
          <cell r="HU253" t="str">
            <v>PHILLIPS 66</v>
          </cell>
        </row>
        <row r="254">
          <cell r="A254">
            <v>5537</v>
          </cell>
          <cell r="B254" t="str">
            <v>VEM1447</v>
          </cell>
          <cell r="D254" t="str">
            <v>P66</v>
          </cell>
          <cell r="F254" t="str">
            <v>Reliance</v>
          </cell>
          <cell r="I254" t="str">
            <v>14EB5008Z</v>
          </cell>
          <cell r="K254" t="str">
            <v>300</v>
          </cell>
          <cell r="L254" t="str">
            <v>1785</v>
          </cell>
          <cell r="M254" t="str">
            <v>P</v>
          </cell>
          <cell r="P254" t="str">
            <v>WP2</v>
          </cell>
          <cell r="R254" t="str">
            <v>Continuous</v>
          </cell>
          <cell r="U254" t="str">
            <v>40</v>
          </cell>
          <cell r="V254" t="str">
            <v>3</v>
          </cell>
          <cell r="W254" t="str">
            <v>60</v>
          </cell>
          <cell r="X254" t="str">
            <v>2300</v>
          </cell>
          <cell r="Y254" t="str">
            <v>68.1</v>
          </cell>
          <cell r="AA254" t="str">
            <v>F1</v>
          </cell>
          <cell r="AG254" t="str">
            <v>HP</v>
          </cell>
          <cell r="AP254" t="str">
            <v>G</v>
          </cell>
          <cell r="AQ254" t="str">
            <v>F</v>
          </cell>
          <cell r="AS254" t="str">
            <v>1.0</v>
          </cell>
          <cell r="AV254" t="b">
            <v>0</v>
          </cell>
          <cell r="EX254" t="str">
            <v>VAQ03796-A1-XP</v>
          </cell>
          <cell r="HD254" t="str">
            <v>Repair Shop</v>
          </cell>
          <cell r="HT254" t="b">
            <v>0</v>
          </cell>
          <cell r="HU254" t="str">
            <v>PHILLIPS 66</v>
          </cell>
        </row>
        <row r="255">
          <cell r="A255">
            <v>5536</v>
          </cell>
          <cell r="B255" t="str">
            <v>VEM1446</v>
          </cell>
          <cell r="D255" t="str">
            <v>INTEGRATED</v>
          </cell>
          <cell r="F255" t="str">
            <v>Siemens</v>
          </cell>
          <cell r="H255" t="str">
            <v>K06TO137P 2</v>
          </cell>
          <cell r="I255" t="str">
            <v>256HP</v>
          </cell>
          <cell r="K255" t="str">
            <v>20</v>
          </cell>
          <cell r="L255" t="str">
            <v>3525</v>
          </cell>
          <cell r="M255" t="str">
            <v>RGZESD</v>
          </cell>
          <cell r="N255" t="str">
            <v>308</v>
          </cell>
          <cell r="P255" t="str">
            <v>TEFC</v>
          </cell>
          <cell r="R255" t="str">
            <v>Continuous</v>
          </cell>
          <cell r="U255" t="str">
            <v>40</v>
          </cell>
          <cell r="V255" t="str">
            <v>3</v>
          </cell>
          <cell r="W255" t="str">
            <v>60</v>
          </cell>
          <cell r="X255" t="str">
            <v>230/460</v>
          </cell>
          <cell r="Y255" t="str">
            <v>46/23</v>
          </cell>
          <cell r="AA255" t="str">
            <v>Vertical</v>
          </cell>
          <cell r="AG255" t="str">
            <v>HP</v>
          </cell>
          <cell r="AI255" t="str">
            <v>45BC03J3</v>
          </cell>
          <cell r="AJ255" t="str">
            <v>45BC03J3</v>
          </cell>
          <cell r="AO255" t="str">
            <v>B</v>
          </cell>
          <cell r="AQ255" t="str">
            <v>F</v>
          </cell>
          <cell r="AS255" t="str">
            <v>1.15</v>
          </cell>
          <cell r="AT255" t="str">
            <v>88.5</v>
          </cell>
          <cell r="AV255" t="b">
            <v>0</v>
          </cell>
          <cell r="HD255" t="str">
            <v>Repair Shop</v>
          </cell>
          <cell r="HT255" t="b">
            <v>0</v>
          </cell>
          <cell r="HU255" t="str">
            <v>INTEGRATED TURBO MACHINERY, INC.</v>
          </cell>
        </row>
        <row r="256">
          <cell r="A256">
            <v>5535</v>
          </cell>
          <cell r="B256" t="str">
            <v>VEM1445</v>
          </cell>
          <cell r="D256" t="str">
            <v>VALERO</v>
          </cell>
          <cell r="F256" t="str">
            <v>LOUIS-ALLIS</v>
          </cell>
          <cell r="H256" t="str">
            <v>4269444001</v>
          </cell>
          <cell r="I256" t="str">
            <v>710CS</v>
          </cell>
          <cell r="K256" t="str">
            <v>350</v>
          </cell>
          <cell r="L256" t="str">
            <v>1775</v>
          </cell>
          <cell r="M256" t="str">
            <v>SPBFS</v>
          </cell>
          <cell r="N256" t="str">
            <v>3650</v>
          </cell>
          <cell r="R256" t="str">
            <v>Continuous</v>
          </cell>
          <cell r="U256" t="str">
            <v>90</v>
          </cell>
          <cell r="V256" t="str">
            <v>3</v>
          </cell>
          <cell r="W256" t="str">
            <v>60</v>
          </cell>
          <cell r="X256" t="str">
            <v>4000</v>
          </cell>
          <cell r="Y256" t="str">
            <v>46</v>
          </cell>
          <cell r="AA256" t="str">
            <v>F1</v>
          </cell>
          <cell r="AD256" t="str">
            <v>0</v>
          </cell>
          <cell r="AG256" t="str">
            <v>HP</v>
          </cell>
          <cell r="AI256" t="str">
            <v>SLV</v>
          </cell>
          <cell r="AJ256" t="str">
            <v>SLV</v>
          </cell>
          <cell r="AP256" t="str">
            <v>F</v>
          </cell>
          <cell r="AS256" t="str">
            <v>1.15</v>
          </cell>
          <cell r="AV256" t="b">
            <v>0</v>
          </cell>
          <cell r="HD256" t="str">
            <v>Repair Shop</v>
          </cell>
          <cell r="HT256" t="b">
            <v>0</v>
          </cell>
          <cell r="HU256" t="str">
            <v>VALERO REFINING CO. BENICIA</v>
          </cell>
        </row>
        <row r="257">
          <cell r="A257">
            <v>5534</v>
          </cell>
          <cell r="B257" t="str">
            <v>VEM1444</v>
          </cell>
          <cell r="D257" t="str">
            <v>60 APS</v>
          </cell>
          <cell r="AD257" t="str">
            <v>-1</v>
          </cell>
          <cell r="AG257" t="str">
            <v>HP</v>
          </cell>
          <cell r="AV257" t="b">
            <v>0</v>
          </cell>
          <cell r="HD257" t="str">
            <v>Repair Shop</v>
          </cell>
          <cell r="HT257" t="b">
            <v>0</v>
          </cell>
          <cell r="HU257" t="str">
            <v>60 APS  TRAVIS AFB</v>
          </cell>
        </row>
        <row r="258">
          <cell r="A258">
            <v>5533</v>
          </cell>
          <cell r="B258" t="str">
            <v>VEM1443</v>
          </cell>
          <cell r="D258" t="str">
            <v>60 APS</v>
          </cell>
          <cell r="F258" t="str">
            <v>Litton</v>
          </cell>
          <cell r="G258" t="str">
            <v>2A-72683 EH</v>
          </cell>
          <cell r="I258" t="str">
            <v>DS-7657</v>
          </cell>
          <cell r="L258" t="str">
            <v>1775</v>
          </cell>
          <cell r="P258" t="str">
            <v>Other</v>
          </cell>
          <cell r="R258" t="str">
            <v>POWER DECK</v>
          </cell>
          <cell r="U258" t="str">
            <v>40</v>
          </cell>
          <cell r="V258" t="str">
            <v>3</v>
          </cell>
          <cell r="W258" t="str">
            <v>60</v>
          </cell>
          <cell r="X258" t="str">
            <v>230/460</v>
          </cell>
          <cell r="Y258" t="str">
            <v>6.6/3.3</v>
          </cell>
          <cell r="AA258" t="str">
            <v>Other</v>
          </cell>
          <cell r="AD258" t="str">
            <v>0</v>
          </cell>
          <cell r="AP258" t="str">
            <v>L</v>
          </cell>
          <cell r="AQ258" t="str">
            <v>B</v>
          </cell>
          <cell r="AS258" t="str">
            <v>1.15</v>
          </cell>
          <cell r="AV258" t="b">
            <v>0</v>
          </cell>
          <cell r="HD258" t="str">
            <v>Repair Shop</v>
          </cell>
          <cell r="HT258" t="b">
            <v>0</v>
          </cell>
          <cell r="HU258" t="str">
            <v>60 APS  TRAVIS AFB</v>
          </cell>
        </row>
        <row r="259">
          <cell r="A259">
            <v>5532</v>
          </cell>
          <cell r="B259" t="str">
            <v>VEM1442</v>
          </cell>
          <cell r="D259" t="str">
            <v>60 APS</v>
          </cell>
          <cell r="F259" t="str">
            <v>LITTON</v>
          </cell>
          <cell r="G259" t="str">
            <v>2A-72683 EH</v>
          </cell>
          <cell r="I259" t="str">
            <v>DS-7657</v>
          </cell>
          <cell r="L259" t="str">
            <v>1725</v>
          </cell>
          <cell r="P259" t="str">
            <v>Other</v>
          </cell>
          <cell r="R259" t="str">
            <v>POWER DECK</v>
          </cell>
          <cell r="U259" t="str">
            <v>40</v>
          </cell>
          <cell r="V259" t="str">
            <v>3</v>
          </cell>
          <cell r="W259" t="str">
            <v>60</v>
          </cell>
          <cell r="X259" t="str">
            <v>230/460</v>
          </cell>
          <cell r="Y259" t="str">
            <v>6.6/3.3</v>
          </cell>
          <cell r="AA259" t="str">
            <v>Other</v>
          </cell>
          <cell r="AP259" t="str">
            <v>L</v>
          </cell>
          <cell r="AQ259" t="str">
            <v>B</v>
          </cell>
          <cell r="AS259" t="str">
            <v>1.15</v>
          </cell>
          <cell r="AV259" t="b">
            <v>0</v>
          </cell>
          <cell r="HD259" t="str">
            <v>Repair Shop</v>
          </cell>
          <cell r="HT259" t="b">
            <v>0</v>
          </cell>
          <cell r="HU259" t="str">
            <v>60 APS  TRAVIS AFB</v>
          </cell>
        </row>
        <row r="260">
          <cell r="A260">
            <v>5531</v>
          </cell>
          <cell r="B260" t="str">
            <v>VEM1441</v>
          </cell>
          <cell r="D260" t="str">
            <v>C&amp;H</v>
          </cell>
          <cell r="F260" t="str">
            <v>GE</v>
          </cell>
          <cell r="G260" t="str">
            <v>5KS449AL242</v>
          </cell>
          <cell r="H260" t="str">
            <v>EW224031</v>
          </cell>
          <cell r="I260" t="str">
            <v>449T</v>
          </cell>
          <cell r="K260" t="str">
            <v>250</v>
          </cell>
          <cell r="L260" t="str">
            <v>1790</v>
          </cell>
          <cell r="M260" t="str">
            <v>KS</v>
          </cell>
          <cell r="P260" t="str">
            <v>ODP</v>
          </cell>
          <cell r="R260" t="str">
            <v>Continuous</v>
          </cell>
          <cell r="U260" t="str">
            <v>40</v>
          </cell>
          <cell r="V260" t="str">
            <v>3</v>
          </cell>
          <cell r="W260" t="str">
            <v>60</v>
          </cell>
          <cell r="X260" t="str">
            <v>460</v>
          </cell>
          <cell r="Y260" t="str">
            <v>294</v>
          </cell>
          <cell r="AA260" t="str">
            <v>F1</v>
          </cell>
          <cell r="AD260" t="str">
            <v>-1</v>
          </cell>
          <cell r="AG260" t="str">
            <v>HP</v>
          </cell>
          <cell r="AI260" t="str">
            <v>90BL03JP</v>
          </cell>
          <cell r="AJ260" t="str">
            <v>70BC03.13</v>
          </cell>
          <cell r="AO260" t="str">
            <v>B DP</v>
          </cell>
          <cell r="AP260" t="str">
            <v>G</v>
          </cell>
          <cell r="AQ260" t="str">
            <v>F</v>
          </cell>
          <cell r="AR260" t="str">
            <v>83.0</v>
          </cell>
          <cell r="AS260" t="str">
            <v>1.15</v>
          </cell>
          <cell r="AT260" t="str">
            <v>95.8</v>
          </cell>
          <cell r="AV260" t="b">
            <v>0</v>
          </cell>
          <cell r="HD260" t="str">
            <v>Repair Shop</v>
          </cell>
          <cell r="HT260" t="b">
            <v>0</v>
          </cell>
          <cell r="HU260" t="str">
            <v>C &amp; H SUGAR CO.</v>
          </cell>
        </row>
        <row r="261">
          <cell r="A261">
            <v>5530</v>
          </cell>
          <cell r="B261" t="str">
            <v>VEM1440</v>
          </cell>
          <cell r="D261" t="str">
            <v>VALERO</v>
          </cell>
          <cell r="F261" t="str">
            <v>Louis-Allis</v>
          </cell>
          <cell r="H261" t="str">
            <v>773505001</v>
          </cell>
          <cell r="I261" t="str">
            <v>509UPS</v>
          </cell>
          <cell r="K261" t="str">
            <v>350</v>
          </cell>
          <cell r="L261" t="str">
            <v>1770</v>
          </cell>
          <cell r="M261" t="str">
            <v>WPX</v>
          </cell>
          <cell r="P261" t="str">
            <v>WP1</v>
          </cell>
          <cell r="R261" t="str">
            <v>Continuous</v>
          </cell>
          <cell r="U261" t="str">
            <v>60</v>
          </cell>
          <cell r="V261" t="str">
            <v>3</v>
          </cell>
          <cell r="X261" t="str">
            <v>4000</v>
          </cell>
          <cell r="Y261" t="str">
            <v>44.2</v>
          </cell>
          <cell r="AA261" t="str">
            <v>Vertical</v>
          </cell>
          <cell r="AD261" t="str">
            <v>0</v>
          </cell>
          <cell r="AG261" t="str">
            <v>HP</v>
          </cell>
          <cell r="AI261" t="str">
            <v>7322PDT</v>
          </cell>
          <cell r="AJ261" t="str">
            <v>220K</v>
          </cell>
          <cell r="AP261" t="str">
            <v>F</v>
          </cell>
          <cell r="AS261" t="str">
            <v>1.15</v>
          </cell>
          <cell r="AV261" t="b">
            <v>0</v>
          </cell>
          <cell r="HD261" t="str">
            <v>Repair Shop</v>
          </cell>
          <cell r="HT261" t="b">
            <v>0</v>
          </cell>
          <cell r="HU261" t="str">
            <v>VALERO REFINING CO. BENICIA</v>
          </cell>
        </row>
        <row r="262">
          <cell r="A262">
            <v>5529</v>
          </cell>
          <cell r="B262" t="str">
            <v>FE1046</v>
          </cell>
          <cell r="D262" t="str">
            <v>NAPARECYCLING</v>
          </cell>
          <cell r="AG262" t="str">
            <v>HP</v>
          </cell>
          <cell r="AV262" t="b">
            <v>0</v>
          </cell>
          <cell r="HD262" t="str">
            <v>Field Service</v>
          </cell>
          <cell r="HT262" t="b">
            <v>0</v>
          </cell>
          <cell r="HU262" t="str">
            <v>NAPA RECYCLING &amp; WASTE</v>
          </cell>
        </row>
        <row r="263">
          <cell r="A263">
            <v>5528</v>
          </cell>
          <cell r="B263" t="str">
            <v>FE1045</v>
          </cell>
          <cell r="D263" t="str">
            <v>NAPARECYCLING</v>
          </cell>
          <cell r="AD263" t="str">
            <v>-1</v>
          </cell>
          <cell r="AG263" t="str">
            <v>HP</v>
          </cell>
          <cell r="AV263" t="b">
            <v>0</v>
          </cell>
          <cell r="HD263" t="str">
            <v>Field Service</v>
          </cell>
          <cell r="HT263" t="b">
            <v>0</v>
          </cell>
          <cell r="HU263" t="str">
            <v>NAPA RECYCLING &amp; WASTE</v>
          </cell>
        </row>
        <row r="264">
          <cell r="A264">
            <v>5527</v>
          </cell>
          <cell r="B264" t="str">
            <v>VEM1439</v>
          </cell>
          <cell r="D264" t="str">
            <v>DISCOVERY</v>
          </cell>
          <cell r="F264" t="str">
            <v>EMS ELEKTRO-MASCHINE</v>
          </cell>
          <cell r="K264" t="str">
            <v>4.0</v>
          </cell>
          <cell r="L264" t="str">
            <v>1080</v>
          </cell>
          <cell r="V264" t="str">
            <v>3</v>
          </cell>
          <cell r="W264" t="str">
            <v>60</v>
          </cell>
          <cell r="X264" t="str">
            <v>460</v>
          </cell>
          <cell r="Y264" t="str">
            <v>1.4</v>
          </cell>
          <cell r="AG264" t="str">
            <v>KW</v>
          </cell>
          <cell r="AV264" t="b">
            <v>0</v>
          </cell>
          <cell r="CC264" t="str">
            <v>1400</v>
          </cell>
          <cell r="HD264" t="str">
            <v>Repair Shop</v>
          </cell>
          <cell r="HT264" t="b">
            <v>0</v>
          </cell>
          <cell r="HU264" t="str">
            <v>SIX FLAGS DISCOVERY KINGDOM</v>
          </cell>
        </row>
        <row r="265">
          <cell r="A265">
            <v>5526</v>
          </cell>
          <cell r="B265" t="str">
            <v>VEM1438</v>
          </cell>
          <cell r="D265" t="str">
            <v>CLEANHARBORS</v>
          </cell>
          <cell r="AD265" t="str">
            <v>0</v>
          </cell>
          <cell r="AG265" t="str">
            <v>HP</v>
          </cell>
          <cell r="AV265" t="b">
            <v>0</v>
          </cell>
          <cell r="HD265" t="str">
            <v>Repair Shop</v>
          </cell>
          <cell r="HT265" t="b">
            <v>0</v>
          </cell>
          <cell r="HU265" t="str">
            <v>CLEAN HARBORS</v>
          </cell>
        </row>
        <row r="266">
          <cell r="A266">
            <v>5525</v>
          </cell>
          <cell r="B266" t="str">
            <v>VEM1437</v>
          </cell>
          <cell r="D266" t="str">
            <v>P66CARBON</v>
          </cell>
          <cell r="F266" t="str">
            <v>Reliance</v>
          </cell>
          <cell r="K266" t="str">
            <v>3/4</v>
          </cell>
          <cell r="L266" t="str">
            <v>1725</v>
          </cell>
          <cell r="P266" t="str">
            <v>TEFC</v>
          </cell>
          <cell r="R266" t="str">
            <v>Continuous</v>
          </cell>
          <cell r="U266" t="str">
            <v>40</v>
          </cell>
          <cell r="V266" t="str">
            <v>3</v>
          </cell>
          <cell r="W266" t="str">
            <v>60</v>
          </cell>
          <cell r="X266" t="str">
            <v>230/460</v>
          </cell>
          <cell r="Y266" t="str">
            <v>3/1.5</v>
          </cell>
          <cell r="AD266" t="str">
            <v>-1</v>
          </cell>
          <cell r="AG266" t="str">
            <v>HP</v>
          </cell>
          <cell r="AO266" t="str">
            <v>B</v>
          </cell>
          <cell r="AV266" t="b">
            <v>0</v>
          </cell>
          <cell r="HD266" t="str">
            <v>Repair Shop</v>
          </cell>
          <cell r="HT266" t="b">
            <v>0</v>
          </cell>
          <cell r="HU266" t="str">
            <v>PHILLIPS 66 CARBON PLANT</v>
          </cell>
        </row>
        <row r="267">
          <cell r="A267">
            <v>5524</v>
          </cell>
          <cell r="B267" t="str">
            <v>VEM1436</v>
          </cell>
          <cell r="D267" t="str">
            <v>VALLEJOWATER</v>
          </cell>
          <cell r="F267" t="str">
            <v>US Motors</v>
          </cell>
          <cell r="I267" t="str">
            <v>254TP</v>
          </cell>
          <cell r="K267" t="str">
            <v>15</v>
          </cell>
          <cell r="L267" t="str">
            <v>3525</v>
          </cell>
          <cell r="M267" t="str">
            <v>TUCE</v>
          </cell>
          <cell r="P267" t="str">
            <v>TEFC</v>
          </cell>
          <cell r="R267" t="str">
            <v>Continuous</v>
          </cell>
          <cell r="U267" t="str">
            <v>40</v>
          </cell>
          <cell r="V267" t="str">
            <v>3</v>
          </cell>
          <cell r="W267" t="str">
            <v>60</v>
          </cell>
          <cell r="X267" t="str">
            <v>230/460</v>
          </cell>
          <cell r="Y267" t="str">
            <v>37/13.5</v>
          </cell>
          <cell r="AA267" t="str">
            <v>Vertical</v>
          </cell>
          <cell r="AG267" t="str">
            <v>HP</v>
          </cell>
          <cell r="AI267" t="str">
            <v>7310B-T</v>
          </cell>
          <cell r="AJ267" t="str">
            <v>6210-J/C3</v>
          </cell>
          <cell r="AO267" t="str">
            <v>B</v>
          </cell>
          <cell r="AQ267" t="str">
            <v>F</v>
          </cell>
          <cell r="AS267" t="str">
            <v>1.15</v>
          </cell>
          <cell r="AT267" t="str">
            <v>36.5</v>
          </cell>
          <cell r="AV267" t="b">
            <v>0</v>
          </cell>
          <cell r="EX267" t="str">
            <v>M22165/A12A2760635F</v>
          </cell>
          <cell r="HD267" t="str">
            <v>Repair Shop</v>
          </cell>
          <cell r="HT267" t="b">
            <v>0</v>
          </cell>
          <cell r="HU267" t="str">
            <v>CITY OF VALLEJO WATER TREATMENT</v>
          </cell>
        </row>
        <row r="268">
          <cell r="A268">
            <v>5522</v>
          </cell>
          <cell r="B268" t="str">
            <v>VEM1435</v>
          </cell>
          <cell r="D268" t="str">
            <v>C&amp;H</v>
          </cell>
          <cell r="F268" t="str">
            <v>Westinghouse</v>
          </cell>
          <cell r="G268" t="str">
            <v>ABFC</v>
          </cell>
          <cell r="H268" t="str">
            <v>6510</v>
          </cell>
          <cell r="I268" t="str">
            <v>215</v>
          </cell>
          <cell r="K268" t="str">
            <v>5</v>
          </cell>
          <cell r="L268" t="str">
            <v>1725</v>
          </cell>
          <cell r="P268" t="str">
            <v>TEFC</v>
          </cell>
          <cell r="R268" t="str">
            <v>Continuous</v>
          </cell>
          <cell r="U268" t="str">
            <v>40</v>
          </cell>
          <cell r="V268" t="str">
            <v>3</v>
          </cell>
          <cell r="W268" t="str">
            <v>60</v>
          </cell>
          <cell r="X268" t="str">
            <v>208-220/440</v>
          </cell>
          <cell r="Y268" t="str">
            <v>13-13.6/6.8</v>
          </cell>
          <cell r="AA268" t="str">
            <v>F1</v>
          </cell>
          <cell r="AD268" t="str">
            <v>-1</v>
          </cell>
          <cell r="AG268" t="str">
            <v>HP</v>
          </cell>
          <cell r="AI268" t="str">
            <v>6207</v>
          </cell>
          <cell r="AJ268" t="str">
            <v>6205</v>
          </cell>
          <cell r="AQ268" t="str">
            <v>A</v>
          </cell>
          <cell r="AS268" t="str">
            <v>1.0</v>
          </cell>
          <cell r="AV268" t="b">
            <v>0</v>
          </cell>
          <cell r="BY268" t="str">
            <v>17.1</v>
          </cell>
          <cell r="CE268" t="str">
            <v>5</v>
          </cell>
          <cell r="CH268" t="str">
            <v>NONE</v>
          </cell>
          <cell r="HD268" t="str">
            <v>Repair Shop</v>
          </cell>
          <cell r="HT268" t="b">
            <v>0</v>
          </cell>
          <cell r="HU268" t="str">
            <v>C &amp; H SUGAR CO.</v>
          </cell>
        </row>
        <row r="269">
          <cell r="A269">
            <v>5521</v>
          </cell>
          <cell r="B269" t="str">
            <v>VEM1434</v>
          </cell>
          <cell r="D269" t="str">
            <v>CONHAGEN</v>
          </cell>
          <cell r="F269" t="str">
            <v>Reliance</v>
          </cell>
          <cell r="I269" t="str">
            <v>326LP</v>
          </cell>
          <cell r="K269" t="str">
            <v>50</v>
          </cell>
          <cell r="L269" t="str">
            <v>1775</v>
          </cell>
          <cell r="M269" t="str">
            <v>P</v>
          </cell>
          <cell r="N269" t="str">
            <v>800</v>
          </cell>
          <cell r="P269" t="str">
            <v>TEFC</v>
          </cell>
          <cell r="R269" t="str">
            <v>Continuous</v>
          </cell>
          <cell r="U269" t="str">
            <v>40</v>
          </cell>
          <cell r="V269" t="str">
            <v>3</v>
          </cell>
          <cell r="W269" t="str">
            <v>60</v>
          </cell>
          <cell r="X269" t="str">
            <v>460</v>
          </cell>
          <cell r="Y269" t="str">
            <v>59.7</v>
          </cell>
          <cell r="AA269" t="str">
            <v>Vertical</v>
          </cell>
          <cell r="AD269" t="str">
            <v>0</v>
          </cell>
          <cell r="AG269" t="str">
            <v>HP</v>
          </cell>
          <cell r="AI269" t="str">
            <v>65BC02X30X26</v>
          </cell>
          <cell r="AJ269" t="str">
            <v>45BT03XR00X26</v>
          </cell>
          <cell r="AO269" t="str">
            <v>B</v>
          </cell>
          <cell r="AP269" t="str">
            <v>G</v>
          </cell>
          <cell r="AQ269" t="str">
            <v>F</v>
          </cell>
          <cell r="AS269" t="str">
            <v>1.15</v>
          </cell>
          <cell r="AV269" t="b">
            <v>0</v>
          </cell>
          <cell r="EX269" t="str">
            <v>1MAF30328-S1-TN</v>
          </cell>
          <cell r="HD269" t="str">
            <v>Repair Shop</v>
          </cell>
          <cell r="HT269" t="b">
            <v>0</v>
          </cell>
          <cell r="HU269" t="str">
            <v>ALFRED CONHAGEN CO. OF CA</v>
          </cell>
        </row>
        <row r="270">
          <cell r="A270">
            <v>5520</v>
          </cell>
          <cell r="B270" t="str">
            <v>VEM1433</v>
          </cell>
          <cell r="D270" t="str">
            <v>NOWELLSTEEL</v>
          </cell>
          <cell r="AG270" t="str">
            <v>HP</v>
          </cell>
          <cell r="AV270" t="b">
            <v>0</v>
          </cell>
          <cell r="HD270" t="str">
            <v>Repair Shop</v>
          </cell>
          <cell r="HT270" t="b">
            <v>0</v>
          </cell>
          <cell r="HU270" t="str">
            <v>Nowell Steel and Supply Co.INC.</v>
          </cell>
        </row>
        <row r="271">
          <cell r="A271">
            <v>5519</v>
          </cell>
          <cell r="B271" t="str">
            <v>VEM0167</v>
          </cell>
          <cell r="D271" t="str">
            <v>NORDBY</v>
          </cell>
          <cell r="AG271" t="str">
            <v>HP</v>
          </cell>
          <cell r="AV271" t="b">
            <v>0</v>
          </cell>
          <cell r="HT271" t="b">
            <v>0</v>
          </cell>
          <cell r="HU271" t="str">
            <v>NORDBY WINE CAVES</v>
          </cell>
        </row>
        <row r="272">
          <cell r="A272">
            <v>5518</v>
          </cell>
          <cell r="B272" t="str">
            <v>VEM1432</v>
          </cell>
          <cell r="D272" t="str">
            <v>VALLEJOSAN</v>
          </cell>
          <cell r="AG272" t="str">
            <v>HP</v>
          </cell>
          <cell r="AV272" t="b">
            <v>0</v>
          </cell>
          <cell r="HD272" t="str">
            <v>Repair Shop</v>
          </cell>
          <cell r="HT272" t="b">
            <v>0</v>
          </cell>
          <cell r="HU272" t="str">
            <v>VALLEJO FLOOD &amp; WASTEWATER DISTRICT</v>
          </cell>
        </row>
        <row r="273">
          <cell r="A273">
            <v>5517</v>
          </cell>
          <cell r="B273" t="str">
            <v>VEM1431</v>
          </cell>
          <cell r="D273" t="str">
            <v>VALERO</v>
          </cell>
          <cell r="F273" t="str">
            <v>Baldor</v>
          </cell>
          <cell r="I273" t="str">
            <v>286T</v>
          </cell>
          <cell r="K273" t="str">
            <v>30</v>
          </cell>
          <cell r="L273" t="str">
            <v>1770</v>
          </cell>
          <cell r="M273" t="str">
            <v>P</v>
          </cell>
          <cell r="P273" t="str">
            <v>TEFC</v>
          </cell>
          <cell r="R273" t="str">
            <v>Continuous</v>
          </cell>
          <cell r="U273" t="str">
            <v>40</v>
          </cell>
          <cell r="V273" t="str">
            <v>3</v>
          </cell>
          <cell r="W273" t="str">
            <v>60</v>
          </cell>
          <cell r="X273" t="str">
            <v>460</v>
          </cell>
          <cell r="Y273" t="str">
            <v>35.6</v>
          </cell>
          <cell r="AA273" t="str">
            <v>F1</v>
          </cell>
          <cell r="AG273" t="str">
            <v>HP</v>
          </cell>
          <cell r="AI273" t="str">
            <v>50BC03X30X26</v>
          </cell>
          <cell r="AJ273" t="str">
            <v>50BC03X30X26</v>
          </cell>
          <cell r="AO273" t="str">
            <v>B</v>
          </cell>
          <cell r="AP273" t="str">
            <v>G</v>
          </cell>
          <cell r="AQ273" t="str">
            <v>F</v>
          </cell>
          <cell r="AR273" t="str">
            <v>84.5</v>
          </cell>
          <cell r="AS273" t="str">
            <v>1.15</v>
          </cell>
          <cell r="AT273" t="str">
            <v>93</v>
          </cell>
          <cell r="AV273" t="b">
            <v>0</v>
          </cell>
          <cell r="EX273" t="str">
            <v>P28G3314F-G10-XK</v>
          </cell>
          <cell r="HD273" t="str">
            <v>Repair Shop</v>
          </cell>
          <cell r="HT273" t="b">
            <v>0</v>
          </cell>
          <cell r="HU273" t="str">
            <v>VALERO REFINING CO. BENICIA</v>
          </cell>
        </row>
        <row r="274">
          <cell r="A274">
            <v>5516</v>
          </cell>
          <cell r="B274" t="str">
            <v>VEM1430</v>
          </cell>
          <cell r="D274" t="str">
            <v>VALERO</v>
          </cell>
          <cell r="F274" t="str">
            <v>Baldor</v>
          </cell>
          <cell r="H274" t="str">
            <v>S9038893-001 003 CM</v>
          </cell>
          <cell r="I274" t="str">
            <v>286T</v>
          </cell>
          <cell r="K274" t="str">
            <v>30</v>
          </cell>
          <cell r="L274" t="str">
            <v>1765</v>
          </cell>
          <cell r="N274" t="str">
            <v>486</v>
          </cell>
          <cell r="P274" t="str">
            <v>TEFC</v>
          </cell>
          <cell r="R274" t="str">
            <v>Continuous</v>
          </cell>
          <cell r="U274" t="str">
            <v>40</v>
          </cell>
          <cell r="V274" t="str">
            <v>3</v>
          </cell>
          <cell r="W274" t="str">
            <v>60</v>
          </cell>
          <cell r="X274" t="str">
            <v>460</v>
          </cell>
          <cell r="Y274" t="str">
            <v>36.1</v>
          </cell>
          <cell r="AA274" t="str">
            <v>F1</v>
          </cell>
          <cell r="AG274" t="str">
            <v>HP</v>
          </cell>
          <cell r="AI274" t="str">
            <v>NU310</v>
          </cell>
          <cell r="AJ274" t="str">
            <v>6310</v>
          </cell>
          <cell r="AO274" t="str">
            <v>B</v>
          </cell>
          <cell r="AP274" t="str">
            <v>G</v>
          </cell>
          <cell r="AQ274" t="str">
            <v>F</v>
          </cell>
          <cell r="AR274" t="str">
            <v>83.1</v>
          </cell>
          <cell r="AS274" t="str">
            <v>1.10</v>
          </cell>
          <cell r="AT274" t="str">
            <v>94.2</v>
          </cell>
          <cell r="AU274" t="str">
            <v>P2863411B</v>
          </cell>
          <cell r="AV274" t="b">
            <v>0</v>
          </cell>
          <cell r="EW274" t="str">
            <v>ECP64104TR-4</v>
          </cell>
          <cell r="HD274" t="str">
            <v>Repair Shop</v>
          </cell>
          <cell r="HT274" t="b">
            <v>0</v>
          </cell>
          <cell r="HU274" t="str">
            <v>VALERO REFINING CO. BENICIA</v>
          </cell>
        </row>
        <row r="275">
          <cell r="A275">
            <v>5515</v>
          </cell>
          <cell r="B275" t="str">
            <v>VEM1429</v>
          </cell>
          <cell r="D275" t="str">
            <v>JELLY</v>
          </cell>
          <cell r="F275" t="str">
            <v>Baldor</v>
          </cell>
          <cell r="H275" t="str">
            <v>4960-1322</v>
          </cell>
          <cell r="I275" t="str">
            <v>324t</v>
          </cell>
          <cell r="K275" t="str">
            <v>20</v>
          </cell>
          <cell r="L275" t="str">
            <v>1180</v>
          </cell>
          <cell r="P275" t="str">
            <v>TEFC</v>
          </cell>
          <cell r="U275" t="str">
            <v>120</v>
          </cell>
          <cell r="V275" t="str">
            <v>3</v>
          </cell>
          <cell r="W275" t="str">
            <v>60</v>
          </cell>
          <cell r="X275" t="str">
            <v>460</v>
          </cell>
          <cell r="Y275" t="str">
            <v>24.5</v>
          </cell>
          <cell r="AA275" t="str">
            <v>F1</v>
          </cell>
          <cell r="AD275" t="str">
            <v>0</v>
          </cell>
          <cell r="AG275" t="str">
            <v>HP</v>
          </cell>
          <cell r="AI275" t="str">
            <v>6311</v>
          </cell>
          <cell r="AJ275" t="str">
            <v>6312</v>
          </cell>
          <cell r="AO275" t="str">
            <v>B</v>
          </cell>
          <cell r="AP275" t="str">
            <v>j</v>
          </cell>
          <cell r="AQ275" t="str">
            <v>H</v>
          </cell>
          <cell r="AS275" t="str">
            <v>1.00</v>
          </cell>
          <cell r="AT275" t="str">
            <v>93</v>
          </cell>
          <cell r="AU275" t="str">
            <v>12H013Z081</v>
          </cell>
          <cell r="AV275" t="b">
            <v>0</v>
          </cell>
          <cell r="HD275" t="str">
            <v>Repair Shop</v>
          </cell>
          <cell r="HT275" t="b">
            <v>0</v>
          </cell>
          <cell r="HU275" t="str">
            <v>JELLY BELLY CANDY CO.</v>
          </cell>
        </row>
        <row r="276">
          <cell r="A276">
            <v>5514</v>
          </cell>
          <cell r="B276" t="str">
            <v>VEM1428</v>
          </cell>
          <cell r="D276" t="str">
            <v>SIXFLAGSHURRICA</v>
          </cell>
          <cell r="F276" t="str">
            <v>Marathon</v>
          </cell>
          <cell r="L276" t="str">
            <v>1155</v>
          </cell>
          <cell r="M276" t="str">
            <v>TDR</v>
          </cell>
          <cell r="P276" t="str">
            <v>ODP</v>
          </cell>
          <cell r="R276" t="str">
            <v>Continuous</v>
          </cell>
          <cell r="V276" t="str">
            <v>3</v>
          </cell>
          <cell r="W276" t="str">
            <v>60</v>
          </cell>
          <cell r="X276" t="str">
            <v>230/460</v>
          </cell>
          <cell r="AA276" t="str">
            <v>Vertical</v>
          </cell>
          <cell r="AD276" t="str">
            <v>-1</v>
          </cell>
          <cell r="AG276" t="str">
            <v>HP</v>
          </cell>
          <cell r="AI276" t="str">
            <v>6312</v>
          </cell>
          <cell r="AJ276" t="str">
            <v>6311</v>
          </cell>
          <cell r="AO276" t="str">
            <v>B</v>
          </cell>
          <cell r="AV276" t="b">
            <v>0</v>
          </cell>
          <cell r="HD276" t="str">
            <v>Repair Shop</v>
          </cell>
          <cell r="HT276" t="b">
            <v>0</v>
          </cell>
          <cell r="HU276" t="str">
            <v>SIX FLAGS HURRICANE HARBOR CONCORD</v>
          </cell>
        </row>
        <row r="277">
          <cell r="A277">
            <v>5513</v>
          </cell>
          <cell r="B277" t="str">
            <v>VEM1427</v>
          </cell>
          <cell r="D277" t="str">
            <v>CONHAGEN</v>
          </cell>
          <cell r="AD277" t="str">
            <v>0</v>
          </cell>
          <cell r="AG277" t="str">
            <v>HP</v>
          </cell>
          <cell r="AV277" t="b">
            <v>0</v>
          </cell>
          <cell r="HD277" t="str">
            <v>Repair Shop</v>
          </cell>
          <cell r="HT277" t="b">
            <v>0</v>
          </cell>
          <cell r="HU277" t="str">
            <v>ALFRED CONHAGEN CO. OF CA</v>
          </cell>
        </row>
        <row r="278">
          <cell r="A278">
            <v>5512</v>
          </cell>
          <cell r="B278" t="str">
            <v>VEM1426</v>
          </cell>
          <cell r="D278" t="str">
            <v>VALLEJOSAN</v>
          </cell>
          <cell r="F278" t="str">
            <v>Marathon</v>
          </cell>
          <cell r="G278" t="str">
            <v>SJ 326TTFS7118AN W</v>
          </cell>
          <cell r="H278" t="str">
            <v>11-95666-8/22-03</v>
          </cell>
          <cell r="I278" t="str">
            <v>326T</v>
          </cell>
          <cell r="K278" t="str">
            <v>25</v>
          </cell>
          <cell r="L278" t="str">
            <v>880</v>
          </cell>
          <cell r="M278" t="str">
            <v>TFS</v>
          </cell>
          <cell r="P278" t="str">
            <v>TEFC</v>
          </cell>
          <cell r="R278" t="str">
            <v>Continuous</v>
          </cell>
          <cell r="U278" t="str">
            <v>65</v>
          </cell>
          <cell r="V278" t="str">
            <v>3</v>
          </cell>
          <cell r="W278" t="str">
            <v>60</v>
          </cell>
          <cell r="X278" t="str">
            <v>460</v>
          </cell>
          <cell r="Y278" t="str">
            <v>36.5</v>
          </cell>
          <cell r="AA278" t="str">
            <v>F1</v>
          </cell>
          <cell r="AD278" t="str">
            <v>0</v>
          </cell>
          <cell r="AG278" t="str">
            <v>HP</v>
          </cell>
          <cell r="AH278" t="str">
            <v>Thermal Overload</v>
          </cell>
          <cell r="AI278" t="str">
            <v>6312</v>
          </cell>
          <cell r="AJ278" t="str">
            <v>6311</v>
          </cell>
          <cell r="AO278" t="str">
            <v>B</v>
          </cell>
          <cell r="AP278" t="str">
            <v>G</v>
          </cell>
          <cell r="AQ278" t="str">
            <v>F</v>
          </cell>
          <cell r="AR278" t="str">
            <v>72</v>
          </cell>
          <cell r="AS278" t="str">
            <v>1.15</v>
          </cell>
          <cell r="AT278" t="str">
            <v>88.5</v>
          </cell>
          <cell r="AV278" t="b">
            <v>0</v>
          </cell>
          <cell r="HD278" t="str">
            <v>Repair Shop</v>
          </cell>
          <cell r="HT278" t="b">
            <v>0</v>
          </cell>
          <cell r="HU278" t="str">
            <v>VALLEJO FLOOD &amp; WASTEWATER DISTRICT</v>
          </cell>
        </row>
        <row r="279">
          <cell r="A279">
            <v>5511</v>
          </cell>
          <cell r="B279" t="str">
            <v>VEM1425</v>
          </cell>
          <cell r="D279" t="str">
            <v>SIERRA</v>
          </cell>
          <cell r="AD279" t="str">
            <v>0</v>
          </cell>
          <cell r="AG279" t="str">
            <v>HP</v>
          </cell>
          <cell r="AV279" t="b">
            <v>0</v>
          </cell>
          <cell r="HD279" t="str">
            <v>Repair Shop</v>
          </cell>
          <cell r="HT279" t="b">
            <v>0</v>
          </cell>
          <cell r="HU279" t="str">
            <v>SIERRA PROCES SYSTEMS</v>
          </cell>
        </row>
        <row r="280">
          <cell r="A280">
            <v>5510</v>
          </cell>
          <cell r="B280" t="str">
            <v>VEM1424</v>
          </cell>
          <cell r="D280" t="str">
            <v>BENICIAWASTE</v>
          </cell>
          <cell r="F280" t="str">
            <v>SEW-EURODRIVE</v>
          </cell>
          <cell r="H280" t="str">
            <v>87.744167601.0001.17.60</v>
          </cell>
          <cell r="K280" t="str">
            <v>7.5</v>
          </cell>
          <cell r="L280" t="str">
            <v>1800</v>
          </cell>
          <cell r="P280" t="str">
            <v>TEFC</v>
          </cell>
          <cell r="R280" t="str">
            <v>Continuous</v>
          </cell>
          <cell r="V280" t="str">
            <v>3</v>
          </cell>
          <cell r="W280" t="str">
            <v>60</v>
          </cell>
          <cell r="X280" t="str">
            <v>230/460</v>
          </cell>
          <cell r="Y280" t="str">
            <v>18.4/9.2</v>
          </cell>
          <cell r="AG280" t="str">
            <v>HP</v>
          </cell>
          <cell r="AO280" t="str">
            <v>A</v>
          </cell>
          <cell r="AS280" t="str">
            <v>1.15</v>
          </cell>
          <cell r="AV280" t="b">
            <v>0</v>
          </cell>
          <cell r="EW280" t="str">
            <v>KAF87 DRN132S4</v>
          </cell>
          <cell r="HD280" t="str">
            <v>Repair Shop</v>
          </cell>
          <cell r="HT280" t="b">
            <v>0</v>
          </cell>
          <cell r="HU280" t="str">
            <v>CITY OF BENICIA WASTE WATER</v>
          </cell>
        </row>
        <row r="281">
          <cell r="A281">
            <v>5509</v>
          </cell>
          <cell r="B281" t="str">
            <v>VEM1423</v>
          </cell>
          <cell r="D281" t="str">
            <v>C&amp;H</v>
          </cell>
          <cell r="F281" t="str">
            <v>ABB</v>
          </cell>
          <cell r="G281" t="str">
            <v>4503774700-10 2015</v>
          </cell>
          <cell r="H281" t="str">
            <v>3G1F1549302696</v>
          </cell>
          <cell r="K281" t="str">
            <v>250</v>
          </cell>
          <cell r="M281" t="str">
            <v>M3BP 315LKC 4</v>
          </cell>
          <cell r="N281" t="str">
            <v>1600kg</v>
          </cell>
          <cell r="P281" t="str">
            <v>TEFC</v>
          </cell>
          <cell r="R281" t="str">
            <v>Continuous</v>
          </cell>
          <cell r="U281" t="str">
            <v>50</v>
          </cell>
          <cell r="V281" t="str">
            <v>3</v>
          </cell>
          <cell r="W281" t="str">
            <v>80</v>
          </cell>
          <cell r="X281" t="str">
            <v>400</v>
          </cell>
          <cell r="Y281" t="str">
            <v>540</v>
          </cell>
          <cell r="AA281" t="str">
            <v>Vertical</v>
          </cell>
          <cell r="AG281" t="str">
            <v>KW</v>
          </cell>
          <cell r="AI281" t="str">
            <v>6316M/C3</v>
          </cell>
          <cell r="AJ281" t="str">
            <v>6316M/C4/VL0241</v>
          </cell>
          <cell r="AQ281" t="str">
            <v>F</v>
          </cell>
          <cell r="AS281" t="str">
            <v>1.0</v>
          </cell>
          <cell r="AV281" t="b">
            <v>0</v>
          </cell>
          <cell r="HD281" t="str">
            <v>Repair Shop</v>
          </cell>
          <cell r="HT281" t="b">
            <v>0</v>
          </cell>
          <cell r="HU281" t="str">
            <v>C &amp; H SUGAR CO.</v>
          </cell>
        </row>
        <row r="282">
          <cell r="A282">
            <v>5508</v>
          </cell>
          <cell r="B282" t="str">
            <v>VEM1422</v>
          </cell>
          <cell r="D282" t="str">
            <v>P66</v>
          </cell>
          <cell r="F282" t="str">
            <v>Reliance</v>
          </cell>
          <cell r="I282" t="str">
            <v>364T</v>
          </cell>
          <cell r="K282" t="str">
            <v>60</v>
          </cell>
          <cell r="L282" t="str">
            <v>1780</v>
          </cell>
          <cell r="M282" t="str">
            <v>P</v>
          </cell>
          <cell r="P282" t="str">
            <v>EXP</v>
          </cell>
          <cell r="R282" t="str">
            <v>Continuous</v>
          </cell>
          <cell r="U282" t="str">
            <v>40</v>
          </cell>
          <cell r="V282" t="str">
            <v>3</v>
          </cell>
          <cell r="W282" t="str">
            <v>60</v>
          </cell>
          <cell r="X282" t="str">
            <v>460</v>
          </cell>
          <cell r="Y282" t="str">
            <v>69.9</v>
          </cell>
          <cell r="AA282" t="str">
            <v>F1</v>
          </cell>
          <cell r="AD282" t="str">
            <v>0</v>
          </cell>
          <cell r="AF282" t="str">
            <v>L V786226</v>
          </cell>
          <cell r="AG282" t="str">
            <v>HP</v>
          </cell>
          <cell r="AH282" t="str">
            <v>120v/130w Heater</v>
          </cell>
          <cell r="AI282" t="str">
            <v>65BC03X30X26</v>
          </cell>
          <cell r="AJ282" t="str">
            <v>65BC03X30X26</v>
          </cell>
          <cell r="AO282" t="str">
            <v>B</v>
          </cell>
          <cell r="AP282" t="str">
            <v>F</v>
          </cell>
          <cell r="AR282" t="str">
            <v>85.1</v>
          </cell>
          <cell r="AS282" t="str">
            <v>1.0</v>
          </cell>
          <cell r="AT282" t="str">
            <v>94.5</v>
          </cell>
          <cell r="AV282" t="b">
            <v>0</v>
          </cell>
          <cell r="EX282" t="str">
            <v>1MAF36841-G1-VP</v>
          </cell>
          <cell r="GK282" t="str">
            <v>Temp Code T3C</v>
          </cell>
          <cell r="GZ282" t="str">
            <v>D</v>
          </cell>
          <cell r="HA282" t="str">
            <v>1</v>
          </cell>
          <cell r="HD282" t="str">
            <v>Repair Shop</v>
          </cell>
          <cell r="HT282" t="b">
            <v>0</v>
          </cell>
          <cell r="HU282" t="str">
            <v>PHILLIPS 66</v>
          </cell>
        </row>
        <row r="283">
          <cell r="A283">
            <v>5507</v>
          </cell>
          <cell r="B283" t="str">
            <v>FE1044</v>
          </cell>
          <cell r="D283" t="str">
            <v>DISCOVERY</v>
          </cell>
          <cell r="AG283" t="str">
            <v>HP</v>
          </cell>
          <cell r="AV283" t="b">
            <v>0</v>
          </cell>
          <cell r="HD283" t="str">
            <v>Field Service</v>
          </cell>
          <cell r="HT283" t="b">
            <v>0</v>
          </cell>
          <cell r="HU283" t="str">
            <v>SIX FLAGS DISCOVERY KINGDOM</v>
          </cell>
        </row>
        <row r="284">
          <cell r="A284">
            <v>5506</v>
          </cell>
          <cell r="B284" t="str">
            <v>VEM1421</v>
          </cell>
          <cell r="D284" t="str">
            <v>C&amp;H</v>
          </cell>
          <cell r="F284" t="str">
            <v>Westinghouse</v>
          </cell>
          <cell r="H284" t="str">
            <v>1S-58</v>
          </cell>
          <cell r="I284" t="str">
            <v>6833</v>
          </cell>
          <cell r="K284" t="str">
            <v>50</v>
          </cell>
          <cell r="L284" t="str">
            <v>600/1200</v>
          </cell>
          <cell r="P284" t="str">
            <v>ODP</v>
          </cell>
          <cell r="R284" t="str">
            <v>Continuous</v>
          </cell>
          <cell r="U284" t="str">
            <v>70</v>
          </cell>
          <cell r="V284" t="str">
            <v>3</v>
          </cell>
          <cell r="W284" t="str">
            <v>60</v>
          </cell>
          <cell r="X284" t="str">
            <v>440</v>
          </cell>
          <cell r="Y284" t="str">
            <v>180/220</v>
          </cell>
          <cell r="AA284" t="str">
            <v>Vertical</v>
          </cell>
          <cell r="AG284" t="str">
            <v>HP</v>
          </cell>
          <cell r="AV284" t="b">
            <v>0</v>
          </cell>
          <cell r="AX284" t="str">
            <v>12/6</v>
          </cell>
          <cell r="EY284" t="str">
            <v>19-N-1050</v>
          </cell>
          <cell r="HD284" t="str">
            <v>Repair Shop</v>
          </cell>
          <cell r="HT284" t="b">
            <v>0</v>
          </cell>
          <cell r="HU284" t="str">
            <v>C &amp; H SUGAR CO.</v>
          </cell>
        </row>
        <row r="285">
          <cell r="A285">
            <v>5505</v>
          </cell>
          <cell r="B285" t="str">
            <v>VEM1420</v>
          </cell>
          <cell r="D285" t="str">
            <v>C&amp;H</v>
          </cell>
          <cell r="F285" t="str">
            <v>ALLIS CHALMERS</v>
          </cell>
          <cell r="H285" t="str">
            <v>1-5110-07584-1-8</v>
          </cell>
          <cell r="I285" t="str">
            <v>30ES8</v>
          </cell>
          <cell r="K285" t="str">
            <v>50</v>
          </cell>
          <cell r="L285" t="str">
            <v>900/450</v>
          </cell>
          <cell r="M285" t="str">
            <v>AWVHS</v>
          </cell>
          <cell r="P285" t="str">
            <v>ODP</v>
          </cell>
          <cell r="R285" t="str">
            <v>Continuous</v>
          </cell>
          <cell r="U285" t="str">
            <v>100</v>
          </cell>
          <cell r="V285" t="str">
            <v>3</v>
          </cell>
          <cell r="W285" t="str">
            <v>60</v>
          </cell>
          <cell r="X285" t="str">
            <v>440</v>
          </cell>
          <cell r="Y285" t="str">
            <v>118/106</v>
          </cell>
          <cell r="AA285" t="str">
            <v>Vertical</v>
          </cell>
          <cell r="AG285" t="str">
            <v>HP</v>
          </cell>
          <cell r="AV285" t="b">
            <v>0</v>
          </cell>
          <cell r="AX285" t="str">
            <v>8/16</v>
          </cell>
          <cell r="HD285" t="str">
            <v>Repair Shop</v>
          </cell>
          <cell r="HT285" t="b">
            <v>0</v>
          </cell>
          <cell r="HU285" t="str">
            <v>C &amp; H SUGAR CO.</v>
          </cell>
        </row>
        <row r="286">
          <cell r="A286">
            <v>5504</v>
          </cell>
          <cell r="B286" t="str">
            <v>VEM1419</v>
          </cell>
          <cell r="D286" t="str">
            <v>FRFLD-SUISUN</v>
          </cell>
          <cell r="F286" t="str">
            <v>GE</v>
          </cell>
          <cell r="G286" t="str">
            <v>5K6277XH773A</v>
          </cell>
          <cell r="H286" t="str">
            <v>AMJ121123</v>
          </cell>
          <cell r="I286" t="str">
            <v>B444TP16</v>
          </cell>
          <cell r="K286" t="str">
            <v>75</v>
          </cell>
          <cell r="L286" t="str">
            <v>880</v>
          </cell>
          <cell r="M286" t="str">
            <v>K</v>
          </cell>
          <cell r="P286" t="str">
            <v>TEFC</v>
          </cell>
          <cell r="R286" t="str">
            <v>Continuous</v>
          </cell>
          <cell r="U286" t="str">
            <v>60</v>
          </cell>
          <cell r="V286" t="str">
            <v>3</v>
          </cell>
          <cell r="W286" t="str">
            <v>60</v>
          </cell>
          <cell r="X286" t="str">
            <v>230/460</v>
          </cell>
          <cell r="Y286" t="str">
            <v>188/94</v>
          </cell>
          <cell r="AA286" t="str">
            <v>Vertical</v>
          </cell>
          <cell r="AD286" t="str">
            <v>0</v>
          </cell>
          <cell r="AG286" t="str">
            <v>HP</v>
          </cell>
          <cell r="AI286" t="str">
            <v>629A226G00</v>
          </cell>
          <cell r="AJ286" t="str">
            <v>5903493P016</v>
          </cell>
          <cell r="AO286" t="str">
            <v>B</v>
          </cell>
          <cell r="AP286" t="str">
            <v>G</v>
          </cell>
          <cell r="AS286" t="str">
            <v>1.15</v>
          </cell>
          <cell r="AV286" t="b">
            <v>0</v>
          </cell>
          <cell r="HD286" t="str">
            <v>Repair Shop</v>
          </cell>
          <cell r="HT286" t="b">
            <v>0</v>
          </cell>
          <cell r="HU286" t="str">
            <v>FAIRFIELD-SUISUN SEWER DISTRICT</v>
          </cell>
        </row>
        <row r="287">
          <cell r="A287">
            <v>5503</v>
          </cell>
          <cell r="B287" t="str">
            <v>VEM1418</v>
          </cell>
          <cell r="D287" t="str">
            <v>TENCATE</v>
          </cell>
          <cell r="F287" t="str">
            <v>Baldor</v>
          </cell>
          <cell r="H287" t="str">
            <v>W1903144145</v>
          </cell>
          <cell r="I287" t="str">
            <v>184C</v>
          </cell>
          <cell r="K287" t="str">
            <v>3</v>
          </cell>
          <cell r="L287" t="str">
            <v>1800</v>
          </cell>
          <cell r="P287" t="str">
            <v>TEFC</v>
          </cell>
          <cell r="R287" t="str">
            <v>Continuous</v>
          </cell>
          <cell r="AG287" t="str">
            <v>HP</v>
          </cell>
          <cell r="AV287" t="b">
            <v>0</v>
          </cell>
          <cell r="EP287" t="str">
            <v>180</v>
          </cell>
          <cell r="EQ287" t="str">
            <v>9.5</v>
          </cell>
          <cell r="ER287" t="str">
            <v>200/100</v>
          </cell>
          <cell r="ES287" t="str">
            <v>.4/.8</v>
          </cell>
          <cell r="HD287" t="str">
            <v>Repair Shop</v>
          </cell>
          <cell r="HT287" t="b">
            <v>0</v>
          </cell>
          <cell r="HU287" t="str">
            <v>TENCATE</v>
          </cell>
        </row>
        <row r="288">
          <cell r="A288">
            <v>5502</v>
          </cell>
          <cell r="B288" t="str">
            <v>FE1043</v>
          </cell>
          <cell r="D288" t="str">
            <v>DISCOVERY</v>
          </cell>
          <cell r="AG288" t="str">
            <v>HP</v>
          </cell>
          <cell r="AV288" t="b">
            <v>0</v>
          </cell>
          <cell r="HD288" t="str">
            <v>Field Service</v>
          </cell>
          <cell r="HT288" t="b">
            <v>0</v>
          </cell>
          <cell r="HU288" t="str">
            <v>SIX FLAGS DISCOVERY KINGDOM</v>
          </cell>
        </row>
        <row r="289">
          <cell r="A289">
            <v>5501</v>
          </cell>
          <cell r="B289" t="str">
            <v>VEM1417</v>
          </cell>
          <cell r="D289" t="str">
            <v>TURBO</v>
          </cell>
          <cell r="F289" t="str">
            <v>Reliable Electric</v>
          </cell>
          <cell r="I289" t="str">
            <v>284LPH</v>
          </cell>
          <cell r="K289" t="str">
            <v>25</v>
          </cell>
          <cell r="L289" t="str">
            <v>1765</v>
          </cell>
          <cell r="M289" t="str">
            <v>P</v>
          </cell>
          <cell r="P289" t="str">
            <v>TEFC</v>
          </cell>
          <cell r="R289" t="str">
            <v>Continuous</v>
          </cell>
          <cell r="U289" t="str">
            <v>40</v>
          </cell>
          <cell r="V289" t="str">
            <v>3</v>
          </cell>
          <cell r="W289" t="str">
            <v>60</v>
          </cell>
          <cell r="X289" t="str">
            <v>230/460</v>
          </cell>
          <cell r="Y289" t="str">
            <v>64/32</v>
          </cell>
          <cell r="AA289" t="str">
            <v>Vertical</v>
          </cell>
          <cell r="AG289" t="str">
            <v>HP</v>
          </cell>
          <cell r="AI289" t="str">
            <v>60BC03XP30X26</v>
          </cell>
          <cell r="AJ289" t="str">
            <v>45BT03XR00X26</v>
          </cell>
          <cell r="AO289" t="str">
            <v>B</v>
          </cell>
          <cell r="AP289" t="str">
            <v>F</v>
          </cell>
          <cell r="AQ289" t="str">
            <v>F</v>
          </cell>
          <cell r="AS289" t="str">
            <v>1.15</v>
          </cell>
          <cell r="AT289" t="str">
            <v>87.5</v>
          </cell>
          <cell r="AV289" t="b">
            <v>0</v>
          </cell>
          <cell r="EX289" t="str">
            <v>P28G1350C-G2-Qp/MN8970</v>
          </cell>
          <cell r="GL289" t="str">
            <v>Terminal box no cord</v>
          </cell>
          <cell r="HD289" t="str">
            <v>Repair Shop</v>
          </cell>
          <cell r="HT289" t="b">
            <v>0</v>
          </cell>
          <cell r="HU289" t="str">
            <v>TURBO MACHINE</v>
          </cell>
        </row>
        <row r="290">
          <cell r="A290">
            <v>5500</v>
          </cell>
          <cell r="B290" t="str">
            <v>VEM1416</v>
          </cell>
          <cell r="D290" t="str">
            <v>CONHAGEN</v>
          </cell>
          <cell r="F290" t="str">
            <v>NIDEC</v>
          </cell>
          <cell r="G290" t="str">
            <v>17704085-100</v>
          </cell>
          <cell r="I290" t="str">
            <v>254T</v>
          </cell>
          <cell r="K290" t="str">
            <v>15/3.75</v>
          </cell>
          <cell r="L290" t="str">
            <v>3555/1780</v>
          </cell>
          <cell r="P290" t="str">
            <v>TEFC</v>
          </cell>
          <cell r="R290" t="str">
            <v>Continuous</v>
          </cell>
          <cell r="U290" t="str">
            <v>40</v>
          </cell>
          <cell r="V290" t="str">
            <v>3</v>
          </cell>
          <cell r="W290" t="str">
            <v>60</v>
          </cell>
          <cell r="X290" t="str">
            <v>460</v>
          </cell>
          <cell r="Y290" t="str">
            <v>18/6.2</v>
          </cell>
          <cell r="AA290" t="str">
            <v>F1</v>
          </cell>
          <cell r="AG290" t="str">
            <v>HP</v>
          </cell>
          <cell r="AI290" t="str">
            <v>63092ZJ/C3</v>
          </cell>
          <cell r="AJ290" t="str">
            <v>62072ZJ/C3</v>
          </cell>
          <cell r="AP290" t="str">
            <v>K</v>
          </cell>
          <cell r="AQ290" t="str">
            <v>F</v>
          </cell>
          <cell r="AS290" t="str">
            <v>1.15/1.15</v>
          </cell>
          <cell r="AV290" t="b">
            <v>0</v>
          </cell>
          <cell r="EX290" t="str">
            <v>Y 11 17704085-0001 M 0001</v>
          </cell>
          <cell r="GK290" t="str">
            <v>Terminal box no cord</v>
          </cell>
          <cell r="HD290" t="str">
            <v>Repair Shop</v>
          </cell>
          <cell r="HT290" t="b">
            <v>0</v>
          </cell>
          <cell r="HU290" t="str">
            <v>ALFRED CONHAGEN CO. OF CA</v>
          </cell>
        </row>
        <row r="291">
          <cell r="A291">
            <v>5499</v>
          </cell>
          <cell r="B291" t="str">
            <v>VEM1415</v>
          </cell>
          <cell r="D291" t="str">
            <v>UNICO</v>
          </cell>
          <cell r="F291" t="str">
            <v>Fairbanks</v>
          </cell>
          <cell r="H291" t="str">
            <v>126770-0</v>
          </cell>
          <cell r="I291" t="str">
            <v>210T</v>
          </cell>
          <cell r="K291" t="str">
            <v>15</v>
          </cell>
          <cell r="L291" t="str">
            <v>1151</v>
          </cell>
          <cell r="M291" t="str">
            <v>LK</v>
          </cell>
          <cell r="P291" t="str">
            <v>SUB</v>
          </cell>
          <cell r="U291" t="str">
            <v>40</v>
          </cell>
          <cell r="V291" t="str">
            <v>3</v>
          </cell>
          <cell r="W291" t="str">
            <v>60</v>
          </cell>
          <cell r="X291" t="str">
            <v>460</v>
          </cell>
          <cell r="Y291" t="str">
            <v>24</v>
          </cell>
          <cell r="AA291" t="str">
            <v>Vertical</v>
          </cell>
          <cell r="AD291" t="str">
            <v>-1</v>
          </cell>
          <cell r="AG291" t="str">
            <v>HP</v>
          </cell>
          <cell r="AH291" t="str">
            <v>Volute with chain,</v>
          </cell>
          <cell r="AO291" t="str">
            <v>B</v>
          </cell>
          <cell r="AQ291" t="str">
            <v>F</v>
          </cell>
          <cell r="AS291" t="str">
            <v>1.15</v>
          </cell>
          <cell r="AV291" t="b">
            <v>0</v>
          </cell>
          <cell r="EX291" t="str">
            <v>UC1552216C1X 1132</v>
          </cell>
          <cell r="GK291" t="str">
            <v>Terminal box w/cord</v>
          </cell>
          <cell r="HD291" t="str">
            <v>Repair Shop</v>
          </cell>
          <cell r="HT291" t="b">
            <v>0</v>
          </cell>
          <cell r="HU291" t="str">
            <v>UNICO MECHANICAL CORP.</v>
          </cell>
        </row>
        <row r="292">
          <cell r="A292">
            <v>5498</v>
          </cell>
          <cell r="B292" t="str">
            <v>VEM1414</v>
          </cell>
          <cell r="D292" t="str">
            <v>P66</v>
          </cell>
          <cell r="F292" t="str">
            <v>Reliance</v>
          </cell>
          <cell r="I292" t="str">
            <v>324HPZ</v>
          </cell>
          <cell r="K292" t="str">
            <v>40</v>
          </cell>
          <cell r="L292" t="str">
            <v>3555</v>
          </cell>
          <cell r="M292" t="str">
            <v>P</v>
          </cell>
          <cell r="P292" t="str">
            <v>TEFC</v>
          </cell>
          <cell r="R292" t="str">
            <v>Continuous</v>
          </cell>
          <cell r="U292" t="str">
            <v>40</v>
          </cell>
          <cell r="V292" t="str">
            <v>3</v>
          </cell>
          <cell r="W292" t="str">
            <v>60</v>
          </cell>
          <cell r="X292" t="str">
            <v>230/460</v>
          </cell>
          <cell r="Y292" t="str">
            <v>94/47</v>
          </cell>
          <cell r="AA292" t="str">
            <v>Vertical</v>
          </cell>
          <cell r="AG292" t="str">
            <v>HP</v>
          </cell>
          <cell r="AI292" t="str">
            <v>60BC003J30X26</v>
          </cell>
          <cell r="AJ292" t="str">
            <v>55BC003J30X26</v>
          </cell>
          <cell r="AO292" t="str">
            <v>P</v>
          </cell>
          <cell r="AP292" t="str">
            <v>G</v>
          </cell>
          <cell r="AQ292" t="str">
            <v>F</v>
          </cell>
          <cell r="AR292" t="str">
            <v>85.4</v>
          </cell>
          <cell r="AS292" t="str">
            <v>1.15</v>
          </cell>
          <cell r="AT292" t="str">
            <v>93.0</v>
          </cell>
          <cell r="AV292" t="b">
            <v>0</v>
          </cell>
          <cell r="EX292" t="str">
            <v>P32G6586B-G2-WP</v>
          </cell>
          <cell r="HD292" t="str">
            <v>Repair Shop</v>
          </cell>
          <cell r="HT292" t="b">
            <v>0</v>
          </cell>
          <cell r="HU292" t="str">
            <v>PHILLIPS 66</v>
          </cell>
        </row>
        <row r="293">
          <cell r="A293">
            <v>5497</v>
          </cell>
          <cell r="B293" t="str">
            <v>VEM1413</v>
          </cell>
          <cell r="D293" t="str">
            <v>P66</v>
          </cell>
          <cell r="F293" t="str">
            <v>Baldor</v>
          </cell>
          <cell r="H293" t="str">
            <v>F0906080660</v>
          </cell>
          <cell r="I293" t="str">
            <v>215Z</v>
          </cell>
          <cell r="K293" t="str">
            <v>3</v>
          </cell>
          <cell r="L293" t="str">
            <v>1155</v>
          </cell>
          <cell r="P293" t="str">
            <v>TEAO</v>
          </cell>
          <cell r="R293" t="str">
            <v>Continuous</v>
          </cell>
          <cell r="U293" t="str">
            <v>50</v>
          </cell>
          <cell r="V293" t="str">
            <v>3</v>
          </cell>
          <cell r="W293" t="str">
            <v>60</v>
          </cell>
          <cell r="X293" t="str">
            <v>208-230/460</v>
          </cell>
          <cell r="Y293" t="str">
            <v>10.4-9.6/4.8</v>
          </cell>
          <cell r="AA293" t="str">
            <v>Other</v>
          </cell>
          <cell r="AD293" t="str">
            <v>0</v>
          </cell>
          <cell r="AG293" t="str">
            <v>HP</v>
          </cell>
          <cell r="AH293" t="str">
            <v>EYE BOLT</v>
          </cell>
          <cell r="AI293" t="str">
            <v>6307</v>
          </cell>
          <cell r="AJ293" t="str">
            <v>6206</v>
          </cell>
          <cell r="AO293" t="str">
            <v>B</v>
          </cell>
          <cell r="AP293" t="str">
            <v>H</v>
          </cell>
          <cell r="AQ293" t="str">
            <v>F</v>
          </cell>
          <cell r="AR293" t="str">
            <v>70</v>
          </cell>
          <cell r="AS293" t="str">
            <v>1.15</v>
          </cell>
          <cell r="AT293" t="str">
            <v>84</v>
          </cell>
          <cell r="AU293" t="str">
            <v>37M135S065G1</v>
          </cell>
          <cell r="AV293" t="b">
            <v>0</v>
          </cell>
          <cell r="EW293" t="str">
            <v>031-P-009</v>
          </cell>
          <cell r="HD293" t="str">
            <v>Repair Shop</v>
          </cell>
          <cell r="HT293" t="b">
            <v>0</v>
          </cell>
          <cell r="HU293" t="str">
            <v>PHILLIPS 66</v>
          </cell>
        </row>
        <row r="294">
          <cell r="A294">
            <v>5496</v>
          </cell>
          <cell r="B294" t="str">
            <v>VEM1412</v>
          </cell>
          <cell r="D294" t="str">
            <v>DISCOVERY</v>
          </cell>
          <cell r="F294" t="str">
            <v>Siemens</v>
          </cell>
          <cell r="H294" t="str">
            <v>UD0810/7121344-8</v>
          </cell>
          <cell r="K294" t="str">
            <v>1.3</v>
          </cell>
          <cell r="L294" t="str">
            <v>3435</v>
          </cell>
          <cell r="P294" t="str">
            <v>TEFC</v>
          </cell>
          <cell r="W294" t="str">
            <v>60</v>
          </cell>
          <cell r="X294" t="str">
            <v>460</v>
          </cell>
          <cell r="Y294" t="str">
            <v>2.4</v>
          </cell>
          <cell r="AA294" t="str">
            <v>Vertical</v>
          </cell>
          <cell r="AG294" t="str">
            <v>KW</v>
          </cell>
          <cell r="AQ294" t="str">
            <v>F</v>
          </cell>
          <cell r="AR294" t="str">
            <v>.88</v>
          </cell>
          <cell r="AS294" t="str">
            <v>1.1</v>
          </cell>
          <cell r="AV294" t="b">
            <v>0</v>
          </cell>
          <cell r="EW294" t="str">
            <v>1LA7083-2AA11</v>
          </cell>
          <cell r="HD294" t="str">
            <v>Repair Shop</v>
          </cell>
          <cell r="HT294" t="b">
            <v>0</v>
          </cell>
          <cell r="HU294" t="str">
            <v>SIX FLAGS DISCOVERY KINGDOM</v>
          </cell>
        </row>
        <row r="295">
          <cell r="A295">
            <v>5494</v>
          </cell>
          <cell r="B295" t="str">
            <v>VEM1410</v>
          </cell>
          <cell r="D295" t="str">
            <v>P66</v>
          </cell>
          <cell r="AV295" t="b">
            <v>0</v>
          </cell>
          <cell r="HD295" t="str">
            <v>Repair Shop</v>
          </cell>
          <cell r="HT295" t="b">
            <v>0</v>
          </cell>
          <cell r="HU295" t="str">
            <v>PHILLIPS 66</v>
          </cell>
        </row>
        <row r="296">
          <cell r="A296">
            <v>5493</v>
          </cell>
          <cell r="B296" t="str">
            <v>FE1042</v>
          </cell>
          <cell r="D296" t="str">
            <v>CSU</v>
          </cell>
          <cell r="AG296" t="str">
            <v>HP</v>
          </cell>
          <cell r="AV296" t="b">
            <v>0</v>
          </cell>
          <cell r="HD296" t="str">
            <v>Field Service</v>
          </cell>
          <cell r="HT296" t="b">
            <v>0</v>
          </cell>
          <cell r="HU296" t="str">
            <v>CALIFORNIA STATE UNIVERSITY SACRAMENTO</v>
          </cell>
        </row>
        <row r="297">
          <cell r="A297">
            <v>5492</v>
          </cell>
          <cell r="B297" t="str">
            <v>FE1041</v>
          </cell>
          <cell r="D297" t="str">
            <v>DISCOVERY</v>
          </cell>
          <cell r="AG297" t="str">
            <v>HP</v>
          </cell>
          <cell r="AV297" t="b">
            <v>0</v>
          </cell>
          <cell r="HD297" t="str">
            <v>Field Service</v>
          </cell>
          <cell r="HT297" t="b">
            <v>0</v>
          </cell>
          <cell r="HU297" t="str">
            <v>SIX FLAGS DISCOVERY KINGDOM</v>
          </cell>
        </row>
        <row r="298">
          <cell r="A298">
            <v>5491</v>
          </cell>
          <cell r="B298" t="str">
            <v>VEM1409</v>
          </cell>
          <cell r="D298" t="str">
            <v>P66</v>
          </cell>
          <cell r="F298" t="str">
            <v>Westinghouse</v>
          </cell>
          <cell r="G298" t="str">
            <v>TBFC</v>
          </cell>
          <cell r="H298" t="str">
            <v>7403</v>
          </cell>
          <cell r="I298" t="str">
            <v>215HP</v>
          </cell>
          <cell r="K298" t="str">
            <v>10</v>
          </cell>
          <cell r="L298" t="str">
            <v>1745</v>
          </cell>
          <cell r="P298" t="str">
            <v>TEFC</v>
          </cell>
          <cell r="R298" t="str">
            <v>Continuous</v>
          </cell>
          <cell r="U298" t="str">
            <v>40</v>
          </cell>
          <cell r="V298" t="str">
            <v>3</v>
          </cell>
          <cell r="W298" t="str">
            <v>60</v>
          </cell>
          <cell r="X298" t="str">
            <v>230/460</v>
          </cell>
          <cell r="Y298" t="str">
            <v>25.4/12.2</v>
          </cell>
          <cell r="AA298" t="str">
            <v>Vertical</v>
          </cell>
          <cell r="AG298" t="str">
            <v>HP</v>
          </cell>
          <cell r="AI298" t="str">
            <v>45BC02JPP3</v>
          </cell>
          <cell r="AJ298" t="str">
            <v>30BC02JPP#</v>
          </cell>
          <cell r="AO298" t="str">
            <v>B</v>
          </cell>
          <cell r="AQ298" t="str">
            <v>B</v>
          </cell>
          <cell r="AS298" t="str">
            <v>1.0</v>
          </cell>
          <cell r="AV298" t="b">
            <v>0</v>
          </cell>
          <cell r="AX298" t="str">
            <v>4</v>
          </cell>
          <cell r="HD298" t="str">
            <v>Repair Shop</v>
          </cell>
          <cell r="HT298" t="b">
            <v>0</v>
          </cell>
          <cell r="HU298" t="str">
            <v>PHILLIPS 66</v>
          </cell>
        </row>
        <row r="299">
          <cell r="A299">
            <v>5490</v>
          </cell>
          <cell r="B299" t="str">
            <v>VEM1408</v>
          </cell>
          <cell r="D299" t="str">
            <v>CASHSALES</v>
          </cell>
          <cell r="AD299" t="str">
            <v>0</v>
          </cell>
          <cell r="AG299" t="str">
            <v>HP</v>
          </cell>
          <cell r="AV299" t="b">
            <v>0</v>
          </cell>
          <cell r="HD299" t="str">
            <v>Repair Shop</v>
          </cell>
          <cell r="HT299" t="b">
            <v>0</v>
          </cell>
          <cell r="HU299" t="str">
            <v>CASH SALES</v>
          </cell>
        </row>
        <row r="300">
          <cell r="A300">
            <v>5489</v>
          </cell>
          <cell r="B300" t="str">
            <v>VEM1407</v>
          </cell>
          <cell r="D300" t="str">
            <v>DISCOVERY</v>
          </cell>
          <cell r="F300" t="str">
            <v>Baldor</v>
          </cell>
          <cell r="H300" t="str">
            <v>F1303183096</v>
          </cell>
          <cell r="I300" t="str">
            <v>56</v>
          </cell>
          <cell r="K300" t="str">
            <v>1</v>
          </cell>
          <cell r="L300" t="str">
            <v>1760</v>
          </cell>
          <cell r="P300" t="str">
            <v>TEFC</v>
          </cell>
          <cell r="R300" t="str">
            <v>Continuous</v>
          </cell>
          <cell r="V300" t="str">
            <v>3</v>
          </cell>
          <cell r="W300" t="str">
            <v>60</v>
          </cell>
          <cell r="X300" t="str">
            <v>230/460</v>
          </cell>
          <cell r="Y300" t="str">
            <v>3/1.5</v>
          </cell>
          <cell r="AA300" t="str">
            <v>F1</v>
          </cell>
          <cell r="AG300" t="str">
            <v>HP</v>
          </cell>
          <cell r="AI300" t="str">
            <v>6205</v>
          </cell>
          <cell r="AJ300" t="str">
            <v>6203</v>
          </cell>
          <cell r="AO300" t="str">
            <v>B</v>
          </cell>
          <cell r="AP300" t="str">
            <v>L</v>
          </cell>
          <cell r="AQ300" t="str">
            <v>F</v>
          </cell>
          <cell r="AR300" t="str">
            <v>71</v>
          </cell>
          <cell r="AS300" t="str">
            <v>1.15</v>
          </cell>
          <cell r="AT300" t="str">
            <v>85.5</v>
          </cell>
          <cell r="AU300" t="str">
            <v>35AC11M492G1</v>
          </cell>
          <cell r="AV300" t="b">
            <v>0</v>
          </cell>
          <cell r="AX300" t="str">
            <v>4</v>
          </cell>
          <cell r="EW300" t="str">
            <v>EM3546</v>
          </cell>
          <cell r="HD300" t="str">
            <v>Repair Shop</v>
          </cell>
          <cell r="HT300" t="b">
            <v>0</v>
          </cell>
          <cell r="HU300" t="str">
            <v>SIX FLAGS DISCOVERY KINGDOM</v>
          </cell>
        </row>
        <row r="301">
          <cell r="A301">
            <v>5488</v>
          </cell>
          <cell r="B301" t="str">
            <v>VEM1406</v>
          </cell>
          <cell r="D301" t="str">
            <v>CONHAGEN</v>
          </cell>
          <cell r="F301" t="str">
            <v>Westinghouse</v>
          </cell>
          <cell r="H301" t="str">
            <v>7809</v>
          </cell>
          <cell r="I301" t="str">
            <v>280TPH</v>
          </cell>
          <cell r="K301" t="str">
            <v>30</v>
          </cell>
          <cell r="L301" t="str">
            <v>1770</v>
          </cell>
          <cell r="P301" t="str">
            <v>TEFC</v>
          </cell>
          <cell r="R301" t="str">
            <v>Continuous</v>
          </cell>
          <cell r="U301" t="str">
            <v>40</v>
          </cell>
          <cell r="V301" t="str">
            <v>3</v>
          </cell>
          <cell r="W301" t="str">
            <v>60</v>
          </cell>
          <cell r="X301" t="str">
            <v>460</v>
          </cell>
          <cell r="Y301" t="str">
            <v>36.5</v>
          </cell>
          <cell r="AA301" t="str">
            <v>Vertical</v>
          </cell>
          <cell r="AD301" t="str">
            <v>-1</v>
          </cell>
          <cell r="AG301" t="str">
            <v>HP</v>
          </cell>
          <cell r="AI301" t="str">
            <v>55BG03JPP3</v>
          </cell>
          <cell r="AJ301" t="str">
            <v>55BT03M</v>
          </cell>
          <cell r="AO301" t="str">
            <v>B</v>
          </cell>
          <cell r="AP301" t="str">
            <v>G</v>
          </cell>
          <cell r="AR301" t="str">
            <v>1.15</v>
          </cell>
          <cell r="AV301" t="b">
            <v>0</v>
          </cell>
          <cell r="AX301" t="str">
            <v>4</v>
          </cell>
          <cell r="EX301" t="str">
            <v>G-896</v>
          </cell>
          <cell r="HD301" t="str">
            <v>Repair Shop</v>
          </cell>
          <cell r="HT301" t="b">
            <v>0</v>
          </cell>
          <cell r="HU301" t="str">
            <v>ALFRED CONHAGEN CO. OF CA</v>
          </cell>
        </row>
        <row r="302">
          <cell r="A302">
            <v>5487</v>
          </cell>
          <cell r="B302" t="str">
            <v>VEM1405</v>
          </cell>
          <cell r="D302" t="str">
            <v>CONHAGEN</v>
          </cell>
          <cell r="AG302" t="str">
            <v>HP</v>
          </cell>
          <cell r="AV302" t="b">
            <v>0</v>
          </cell>
          <cell r="HD302" t="str">
            <v>Repair Shop</v>
          </cell>
          <cell r="HT302" t="b">
            <v>0</v>
          </cell>
          <cell r="HU302" t="str">
            <v>ALFRED CONHAGEN CO. OF CA</v>
          </cell>
        </row>
        <row r="303">
          <cell r="A303">
            <v>5486</v>
          </cell>
          <cell r="B303" t="str">
            <v>VEM1404</v>
          </cell>
          <cell r="D303" t="str">
            <v>CONHAGEN</v>
          </cell>
          <cell r="F303" t="str">
            <v>GE</v>
          </cell>
          <cell r="G303" t="str">
            <v>5KS184SAE120C</v>
          </cell>
          <cell r="H303" t="str">
            <v>MLFT354S020</v>
          </cell>
          <cell r="I303" t="str">
            <v>L184HP10</v>
          </cell>
          <cell r="K303" t="str">
            <v>5</v>
          </cell>
          <cell r="L303" t="str">
            <v>3530</v>
          </cell>
          <cell r="M303" t="str">
            <v>KS</v>
          </cell>
          <cell r="N303" t="str">
            <v>101</v>
          </cell>
          <cell r="P303" t="str">
            <v>TEFC</v>
          </cell>
          <cell r="R303" t="str">
            <v>Continuous</v>
          </cell>
          <cell r="U303" t="str">
            <v>40</v>
          </cell>
          <cell r="V303" t="str">
            <v>3</v>
          </cell>
          <cell r="W303" t="str">
            <v>60</v>
          </cell>
          <cell r="X303" t="str">
            <v>230/460</v>
          </cell>
          <cell r="Y303" t="str">
            <v>13.2/6.6</v>
          </cell>
          <cell r="AA303" t="str">
            <v>Vertical</v>
          </cell>
          <cell r="AD303" t="str">
            <v>0</v>
          </cell>
          <cell r="AG303" t="str">
            <v>HP</v>
          </cell>
          <cell r="AI303" t="str">
            <v>6307ZC3</v>
          </cell>
          <cell r="AJ303" t="str">
            <v>62062ZC3</v>
          </cell>
          <cell r="AO303" t="str">
            <v>B</v>
          </cell>
          <cell r="AP303" t="str">
            <v>J</v>
          </cell>
          <cell r="AQ303" t="str">
            <v>H</v>
          </cell>
          <cell r="AR303" t="str">
            <v>80.5</v>
          </cell>
          <cell r="AS303" t="str">
            <v>1.15</v>
          </cell>
          <cell r="AT303" t="str">
            <v>88.5</v>
          </cell>
          <cell r="AV303" t="b">
            <v>0</v>
          </cell>
          <cell r="AX303" t="str">
            <v>2</v>
          </cell>
          <cell r="EW303" t="str">
            <v>V961</v>
          </cell>
          <cell r="EX303" t="str">
            <v>PM-2725B</v>
          </cell>
          <cell r="HD303" t="str">
            <v>Repair Shop</v>
          </cell>
          <cell r="HT303" t="b">
            <v>0</v>
          </cell>
          <cell r="HU303" t="str">
            <v>ALFRED CONHAGEN CO. OF CA</v>
          </cell>
        </row>
        <row r="304">
          <cell r="A304">
            <v>5485</v>
          </cell>
          <cell r="B304" t="str">
            <v>VEM1403</v>
          </cell>
          <cell r="D304" t="str">
            <v>VALLEJOWATER</v>
          </cell>
          <cell r="AG304" t="str">
            <v>HP</v>
          </cell>
          <cell r="AV304" t="b">
            <v>0</v>
          </cell>
          <cell r="HD304" t="str">
            <v>Repair Shop</v>
          </cell>
          <cell r="HT304" t="b">
            <v>0</v>
          </cell>
          <cell r="HU304" t="str">
            <v>CITY OF VALLEJO WATER TREATMENT</v>
          </cell>
        </row>
        <row r="305">
          <cell r="A305">
            <v>5484</v>
          </cell>
          <cell r="B305" t="str">
            <v>VEM1402</v>
          </cell>
          <cell r="D305" t="str">
            <v>VALERO</v>
          </cell>
          <cell r="AD305" t="str">
            <v>-1</v>
          </cell>
          <cell r="AG305" t="str">
            <v>HP</v>
          </cell>
          <cell r="AV305" t="b">
            <v>0</v>
          </cell>
          <cell r="AY305" t="str">
            <v>Sunstrand</v>
          </cell>
          <cell r="AZ305" t="str">
            <v>P-1AOC</v>
          </cell>
          <cell r="BA305" t="str">
            <v>87432136</v>
          </cell>
          <cell r="HD305" t="str">
            <v>Repair Shop</v>
          </cell>
          <cell r="HT305" t="b">
            <v>0</v>
          </cell>
          <cell r="HU305" t="str">
            <v>VALERO REFINING CO. BENICIA</v>
          </cell>
        </row>
        <row r="306">
          <cell r="A306">
            <v>5483</v>
          </cell>
          <cell r="B306" t="str">
            <v>FE1040</v>
          </cell>
          <cell r="D306" t="str">
            <v>CSU</v>
          </cell>
          <cell r="AG306" t="str">
            <v>HP</v>
          </cell>
          <cell r="AV306" t="b">
            <v>0</v>
          </cell>
          <cell r="HD306" t="str">
            <v>Field Service</v>
          </cell>
          <cell r="HT306" t="b">
            <v>0</v>
          </cell>
          <cell r="HU306" t="str">
            <v>CALIFORNIA STATE UNIVERSITY SACRAMENTO</v>
          </cell>
        </row>
        <row r="307">
          <cell r="A307">
            <v>5482</v>
          </cell>
          <cell r="B307" t="str">
            <v>VEM1401</v>
          </cell>
          <cell r="D307" t="str">
            <v>P66</v>
          </cell>
          <cell r="F307" t="str">
            <v>Westinghouse</v>
          </cell>
          <cell r="I307" t="str">
            <v>324U</v>
          </cell>
          <cell r="K307" t="str">
            <v>25</v>
          </cell>
          <cell r="L307" t="str">
            <v>1765</v>
          </cell>
          <cell r="O307" t="str">
            <v>Full no Cord</v>
          </cell>
          <cell r="P307" t="str">
            <v>TEFC</v>
          </cell>
          <cell r="Q307" t="str">
            <v>Yes</v>
          </cell>
          <cell r="S307" t="str">
            <v>Yes</v>
          </cell>
          <cell r="T307" t="str">
            <v>Other</v>
          </cell>
          <cell r="V307" t="str">
            <v>3</v>
          </cell>
          <cell r="W307" t="str">
            <v>60</v>
          </cell>
          <cell r="X307" t="str">
            <v>440</v>
          </cell>
          <cell r="Y307" t="str">
            <v>31.5</v>
          </cell>
          <cell r="Z307" t="str">
            <v>Yes</v>
          </cell>
          <cell r="AA307" t="str">
            <v>F1</v>
          </cell>
          <cell r="AD307" t="str">
            <v>0</v>
          </cell>
          <cell r="AG307" t="str">
            <v>HP</v>
          </cell>
          <cell r="AI307" t="str">
            <v>374P646G01</v>
          </cell>
          <cell r="AV307" t="b">
            <v>0</v>
          </cell>
          <cell r="AW307" t="str">
            <v>31.5</v>
          </cell>
          <cell r="HD307" t="str">
            <v>Repair Shop</v>
          </cell>
          <cell r="HT307" t="b">
            <v>0</v>
          </cell>
          <cell r="HU307" t="str">
            <v>PHILLIPS 66</v>
          </cell>
        </row>
        <row r="308">
          <cell r="A308">
            <v>5480</v>
          </cell>
          <cell r="B308" t="str">
            <v>VEM1398</v>
          </cell>
          <cell r="D308" t="str">
            <v>EDF RENEWABLES</v>
          </cell>
          <cell r="F308" t="str">
            <v>MOOG</v>
          </cell>
          <cell r="G308" t="str">
            <v>FGVH 112LL-4-D-F-D-C</v>
          </cell>
          <cell r="H308" t="str">
            <v>494452</v>
          </cell>
          <cell r="K308" t="str">
            <v>4.4/9.6</v>
          </cell>
          <cell r="L308" t="str">
            <v>1400/920</v>
          </cell>
          <cell r="O308" t="str">
            <v>Full no Cord</v>
          </cell>
          <cell r="P308" t="str">
            <v>Forced Vent</v>
          </cell>
          <cell r="Q308" t="str">
            <v>No</v>
          </cell>
          <cell r="R308" t="str">
            <v>Continuous</v>
          </cell>
          <cell r="S308" t="str">
            <v>No</v>
          </cell>
          <cell r="T308" t="str">
            <v>Other</v>
          </cell>
          <cell r="U308" t="str">
            <v>50</v>
          </cell>
          <cell r="AA308" t="str">
            <v>Vertical</v>
          </cell>
          <cell r="AG308" t="str">
            <v>KW</v>
          </cell>
          <cell r="AH308" t="str">
            <v>Heater 230vac/.61a</v>
          </cell>
          <cell r="AI308" t="str">
            <v>6307</v>
          </cell>
          <cell r="AJ308" t="str">
            <v>6306</v>
          </cell>
          <cell r="AQ308" t="str">
            <v>H</v>
          </cell>
          <cell r="AV308" t="b">
            <v>0</v>
          </cell>
          <cell r="CM308" t="str">
            <v>100 NM</v>
          </cell>
          <cell r="CN308" t="str">
            <v>288 VDC</v>
          </cell>
          <cell r="CO308" t="str">
            <v>.17</v>
          </cell>
          <cell r="DX308" t="str">
            <v>230 VAC</v>
          </cell>
          <cell r="EP308" t="str">
            <v>288</v>
          </cell>
          <cell r="EQ308" t="str">
            <v>18/56</v>
          </cell>
          <cell r="ER308" t="str">
            <v>288</v>
          </cell>
          <cell r="ES308" t="str">
            <v>.76</v>
          </cell>
          <cell r="GK308" t="str">
            <v>Art-No. 681-00107</v>
          </cell>
          <cell r="GL308" t="str">
            <v>Encoder: LDT R/AE 24B/SSI</v>
          </cell>
          <cell r="HD308" t="str">
            <v>Repair Shop</v>
          </cell>
          <cell r="HT308" t="b">
            <v>0</v>
          </cell>
          <cell r="HU308" t="str">
            <v>EDF RENEWABLES</v>
          </cell>
        </row>
        <row r="309">
          <cell r="A309">
            <v>5479</v>
          </cell>
          <cell r="B309" t="str">
            <v>VEM1397</v>
          </cell>
          <cell r="D309" t="str">
            <v>EDF RENEWABLES</v>
          </cell>
          <cell r="F309" t="str">
            <v>LUST</v>
          </cell>
          <cell r="G309" t="str">
            <v>FGVH 112LL-4-D-F-D-C</v>
          </cell>
          <cell r="H309" t="str">
            <v>000460100</v>
          </cell>
          <cell r="K309" t="str">
            <v>4.4/9.6k</v>
          </cell>
          <cell r="L309" t="str">
            <v>1400/920</v>
          </cell>
          <cell r="O309" t="str">
            <v>Full no Cord</v>
          </cell>
          <cell r="P309" t="str">
            <v>Forced Vent</v>
          </cell>
          <cell r="Q309" t="str">
            <v>No</v>
          </cell>
          <cell r="R309" t="str">
            <v>Continuous</v>
          </cell>
          <cell r="S309" t="str">
            <v>No</v>
          </cell>
          <cell r="T309" t="str">
            <v>Other</v>
          </cell>
          <cell r="U309" t="str">
            <v>50</v>
          </cell>
          <cell r="AA309" t="str">
            <v>Vertical</v>
          </cell>
          <cell r="AG309" t="str">
            <v>KW</v>
          </cell>
          <cell r="AH309" t="str">
            <v>Heater 23o vac/.61</v>
          </cell>
          <cell r="AI309" t="str">
            <v>6307</v>
          </cell>
          <cell r="AJ309" t="str">
            <v>6306</v>
          </cell>
          <cell r="AQ309" t="str">
            <v>H</v>
          </cell>
          <cell r="AV309" t="b">
            <v>0</v>
          </cell>
          <cell r="EP309" t="str">
            <v>288</v>
          </cell>
          <cell r="EQ309" t="str">
            <v>18/56</v>
          </cell>
          <cell r="ER309" t="str">
            <v>288</v>
          </cell>
          <cell r="ES309" t="str">
            <v>.76</v>
          </cell>
          <cell r="GK309" t="str">
            <v>681-00107</v>
          </cell>
          <cell r="HD309" t="str">
            <v>Repair Shop</v>
          </cell>
          <cell r="HT309" t="b">
            <v>0</v>
          </cell>
          <cell r="HU309" t="str">
            <v>EDF RENEWABLES</v>
          </cell>
        </row>
        <row r="310">
          <cell r="A310">
            <v>5478</v>
          </cell>
          <cell r="B310" t="str">
            <v>VEM1396</v>
          </cell>
          <cell r="D310" t="str">
            <v>EDF RENEWABLES</v>
          </cell>
          <cell r="F310" t="str">
            <v>LUST</v>
          </cell>
          <cell r="G310" t="str">
            <v>FGVH 112LL-4-D-F-D-C</v>
          </cell>
          <cell r="H310" t="str">
            <v>000457278</v>
          </cell>
          <cell r="K310" t="str">
            <v>4.4/9.6</v>
          </cell>
          <cell r="L310" t="str">
            <v>1400/920</v>
          </cell>
          <cell r="O310" t="str">
            <v>Full no Cord</v>
          </cell>
          <cell r="P310" t="str">
            <v>Forced Vent</v>
          </cell>
          <cell r="Q310" t="str">
            <v>No</v>
          </cell>
          <cell r="R310" t="str">
            <v>Continuous</v>
          </cell>
          <cell r="S310" t="str">
            <v>No</v>
          </cell>
          <cell r="T310" t="str">
            <v>Other</v>
          </cell>
          <cell r="U310" t="str">
            <v>50</v>
          </cell>
          <cell r="AA310" t="str">
            <v>Vertical</v>
          </cell>
          <cell r="AG310" t="str">
            <v>KW</v>
          </cell>
          <cell r="AH310" t="str">
            <v>Heater 230 vac/.61</v>
          </cell>
          <cell r="AI310" t="str">
            <v>6307</v>
          </cell>
          <cell r="AJ310" t="str">
            <v>6306</v>
          </cell>
          <cell r="AQ310" t="str">
            <v>H</v>
          </cell>
          <cell r="AV310" t="b">
            <v>0</v>
          </cell>
          <cell r="EP310" t="str">
            <v>288</v>
          </cell>
          <cell r="EQ310" t="str">
            <v>18/56</v>
          </cell>
          <cell r="ER310" t="str">
            <v>288</v>
          </cell>
          <cell r="ES310" t="str">
            <v>.76</v>
          </cell>
          <cell r="GK310" t="str">
            <v>681-00107</v>
          </cell>
          <cell r="HD310" t="str">
            <v>Repair Shop</v>
          </cell>
          <cell r="HT310" t="b">
            <v>0</v>
          </cell>
          <cell r="HU310" t="str">
            <v>EDF RENEWABLES</v>
          </cell>
        </row>
        <row r="311">
          <cell r="A311">
            <v>5477</v>
          </cell>
          <cell r="B311" t="str">
            <v>VEM1395</v>
          </cell>
          <cell r="D311" t="str">
            <v>EDF RENEWABLES</v>
          </cell>
          <cell r="F311" t="str">
            <v>LUST</v>
          </cell>
          <cell r="G311" t="str">
            <v>FGVH 112LL-4-D-F-D-C</v>
          </cell>
          <cell r="H311" t="str">
            <v>000468154</v>
          </cell>
          <cell r="K311" t="str">
            <v>4.4/9.6</v>
          </cell>
          <cell r="L311" t="str">
            <v>1400/920</v>
          </cell>
          <cell r="O311" t="str">
            <v>Full no Cord</v>
          </cell>
          <cell r="P311" t="str">
            <v>Forced Vent</v>
          </cell>
          <cell r="Q311" t="str">
            <v>No</v>
          </cell>
          <cell r="R311" t="str">
            <v>Continuous</v>
          </cell>
          <cell r="S311" t="str">
            <v>No</v>
          </cell>
          <cell r="T311" t="str">
            <v>Other</v>
          </cell>
          <cell r="U311" t="str">
            <v>50</v>
          </cell>
          <cell r="AA311" t="str">
            <v>Vertical</v>
          </cell>
          <cell r="AD311" t="str">
            <v>0</v>
          </cell>
          <cell r="AG311" t="str">
            <v>KW</v>
          </cell>
          <cell r="AH311" t="str">
            <v>Heater 230vac/.61</v>
          </cell>
          <cell r="AI311" t="str">
            <v>6307</v>
          </cell>
          <cell r="AJ311" t="str">
            <v>6306</v>
          </cell>
          <cell r="AQ311" t="str">
            <v>H</v>
          </cell>
          <cell r="AV311" t="b">
            <v>0</v>
          </cell>
          <cell r="EP311" t="str">
            <v>288</v>
          </cell>
          <cell r="EQ311" t="str">
            <v>18/56</v>
          </cell>
          <cell r="ER311" t="str">
            <v>288</v>
          </cell>
          <cell r="ES311" t="str">
            <v>.76</v>
          </cell>
          <cell r="GK311" t="str">
            <v>681-00107</v>
          </cell>
          <cell r="HD311" t="str">
            <v>Repair Shop</v>
          </cell>
          <cell r="HT311" t="b">
            <v>0</v>
          </cell>
          <cell r="HU311" t="str">
            <v>EDF RENEWABLES</v>
          </cell>
        </row>
        <row r="312">
          <cell r="A312">
            <v>5476</v>
          </cell>
          <cell r="B312" t="str">
            <v>VEM1394</v>
          </cell>
          <cell r="D312" t="str">
            <v>C&amp;H</v>
          </cell>
          <cell r="F312" t="str">
            <v>Nord</v>
          </cell>
          <cell r="H312" t="str">
            <v>35213282    28746379</v>
          </cell>
          <cell r="K312" t="str">
            <v>3</v>
          </cell>
          <cell r="L312" t="str">
            <v>1770</v>
          </cell>
          <cell r="O312" t="str">
            <v>None</v>
          </cell>
          <cell r="P312" t="str">
            <v>TEFC</v>
          </cell>
          <cell r="R312" t="str">
            <v>Continuous</v>
          </cell>
          <cell r="S312" t="str">
            <v>Yes</v>
          </cell>
          <cell r="T312" t="str">
            <v>none no key</v>
          </cell>
          <cell r="U312" t="str">
            <v>40</v>
          </cell>
          <cell r="V312" t="str">
            <v>3</v>
          </cell>
          <cell r="W312" t="str">
            <v>60</v>
          </cell>
          <cell r="X312" t="str">
            <v>230/460</v>
          </cell>
          <cell r="Y312" t="str">
            <v>7.68/3.84</v>
          </cell>
          <cell r="AA312" t="str">
            <v>F2</v>
          </cell>
          <cell r="AG312" t="str">
            <v>HP</v>
          </cell>
          <cell r="AI312" t="str">
            <v>6306</v>
          </cell>
          <cell r="AJ312" t="str">
            <v>6206</v>
          </cell>
          <cell r="AP312" t="str">
            <v>L</v>
          </cell>
          <cell r="AQ312" t="str">
            <v>F</v>
          </cell>
          <cell r="AS312" t="str">
            <v>1.15</v>
          </cell>
          <cell r="AT312" t="str">
            <v>90</v>
          </cell>
          <cell r="AV312" t="b">
            <v>0</v>
          </cell>
          <cell r="BY312" t="str">
            <v>60:66 : 1</v>
          </cell>
          <cell r="BZ312" t="str">
            <v>1770</v>
          </cell>
          <cell r="CB312" t="str">
            <v>6480 lb in</v>
          </cell>
          <cell r="CC312" t="str">
            <v>29</v>
          </cell>
          <cell r="CD312" t="str">
            <v>42-100LP/4 CUS TW</v>
          </cell>
          <cell r="CE312" t="str">
            <v>3</v>
          </cell>
          <cell r="GK312" t="str">
            <v>Mobil 600 XP 220</v>
          </cell>
          <cell r="HD312" t="str">
            <v>Repair Shop</v>
          </cell>
          <cell r="HT312" t="b">
            <v>0</v>
          </cell>
          <cell r="HU312" t="str">
            <v>C &amp; H SUGAR CO.</v>
          </cell>
        </row>
        <row r="313">
          <cell r="A313">
            <v>5475</v>
          </cell>
          <cell r="B313" t="str">
            <v>FE1039</v>
          </cell>
          <cell r="D313" t="str">
            <v>DISCOVERY</v>
          </cell>
          <cell r="AG313" t="str">
            <v>HP</v>
          </cell>
          <cell r="AV313" t="b">
            <v>0</v>
          </cell>
          <cell r="HD313" t="str">
            <v>Field Service</v>
          </cell>
          <cell r="HT313" t="b">
            <v>0</v>
          </cell>
          <cell r="HU313" t="str">
            <v>SIX FLAGS DISCOVERY KINGDOM</v>
          </cell>
        </row>
        <row r="314">
          <cell r="A314">
            <v>5474</v>
          </cell>
          <cell r="B314" t="str">
            <v>VEM1393</v>
          </cell>
          <cell r="D314" t="str">
            <v>VALERO</v>
          </cell>
          <cell r="F314" t="str">
            <v>Reliance</v>
          </cell>
          <cell r="I314" t="str">
            <v>364TS</v>
          </cell>
          <cell r="K314" t="str">
            <v>60</v>
          </cell>
          <cell r="L314" t="str">
            <v>3560</v>
          </cell>
          <cell r="O314" t="str">
            <v>Full no Cord</v>
          </cell>
          <cell r="P314" t="str">
            <v>TEFC</v>
          </cell>
          <cell r="Q314" t="str">
            <v>No</v>
          </cell>
          <cell r="R314" t="str">
            <v>Continuous</v>
          </cell>
          <cell r="S314" t="str">
            <v>Yes</v>
          </cell>
          <cell r="T314" t="str">
            <v>Other</v>
          </cell>
          <cell r="U314" t="str">
            <v>40</v>
          </cell>
          <cell r="V314" t="str">
            <v>3</v>
          </cell>
          <cell r="W314" t="str">
            <v>60</v>
          </cell>
          <cell r="X314" t="str">
            <v>460</v>
          </cell>
          <cell r="Y314" t="str">
            <v>66.1</v>
          </cell>
          <cell r="AA314" t="str">
            <v>F1</v>
          </cell>
          <cell r="AD314" t="str">
            <v>0</v>
          </cell>
          <cell r="AG314" t="str">
            <v>HP</v>
          </cell>
          <cell r="AI314" t="str">
            <v>658C03J30X</v>
          </cell>
          <cell r="AJ314" t="str">
            <v>658C03J30X</v>
          </cell>
          <cell r="AO314" t="str">
            <v>B</v>
          </cell>
          <cell r="AP314" t="str">
            <v>G</v>
          </cell>
          <cell r="AQ314" t="str">
            <v>F</v>
          </cell>
          <cell r="AR314" t="str">
            <v>90.3</v>
          </cell>
          <cell r="AS314" t="str">
            <v>1.15</v>
          </cell>
          <cell r="AT314" t="str">
            <v>94.1</v>
          </cell>
          <cell r="AV314" t="b">
            <v>0</v>
          </cell>
          <cell r="AW314" t="str">
            <v>66.1</v>
          </cell>
          <cell r="EX314" t="str">
            <v>P36G0397G  G2  YR</v>
          </cell>
          <cell r="HD314" t="str">
            <v>Repair Shop</v>
          </cell>
          <cell r="HT314" t="b">
            <v>0</v>
          </cell>
          <cell r="HU314" t="str">
            <v>VALERO REFINING CO. BENICIA</v>
          </cell>
        </row>
        <row r="315">
          <cell r="A315">
            <v>5473</v>
          </cell>
          <cell r="B315" t="str">
            <v>VEM1392</v>
          </cell>
          <cell r="D315" t="str">
            <v>CONHAGEN</v>
          </cell>
          <cell r="O315" t="str">
            <v>None</v>
          </cell>
          <cell r="P315" t="str">
            <v>TEFC</v>
          </cell>
          <cell r="Q315" t="str">
            <v>No</v>
          </cell>
          <cell r="S315" t="str">
            <v>Yes</v>
          </cell>
          <cell r="T315" t="str">
            <v>None</v>
          </cell>
          <cell r="V315" t="str">
            <v>3</v>
          </cell>
          <cell r="W315" t="str">
            <v>60</v>
          </cell>
          <cell r="X315" t="str">
            <v>460</v>
          </cell>
          <cell r="AA315" t="str">
            <v>F1</v>
          </cell>
          <cell r="AD315" t="str">
            <v>0</v>
          </cell>
          <cell r="AV315" t="b">
            <v>0</v>
          </cell>
          <cell r="HD315" t="str">
            <v>Repair Shop</v>
          </cell>
          <cell r="HT315" t="b">
            <v>0</v>
          </cell>
          <cell r="HU315" t="str">
            <v>ALFRED CONHAGEN CO. OF CA</v>
          </cell>
        </row>
        <row r="316">
          <cell r="A316">
            <v>5472</v>
          </cell>
          <cell r="B316" t="str">
            <v>VEM1391</v>
          </cell>
          <cell r="D316" t="str">
            <v>CONHAGEN</v>
          </cell>
          <cell r="F316" t="str">
            <v>GE</v>
          </cell>
          <cell r="G316" t="str">
            <v>5KS405XAE5429</v>
          </cell>
          <cell r="H316" t="str">
            <v>KHFT294U053</v>
          </cell>
          <cell r="I316" t="str">
            <v>L405VP16</v>
          </cell>
          <cell r="K316" t="str">
            <v>100</v>
          </cell>
          <cell r="L316" t="str">
            <v>3560</v>
          </cell>
          <cell r="N316" t="str">
            <v>1480</v>
          </cell>
          <cell r="O316" t="str">
            <v>None</v>
          </cell>
          <cell r="P316" t="str">
            <v>TEFC</v>
          </cell>
          <cell r="Q316" t="str">
            <v>No</v>
          </cell>
          <cell r="R316" t="str">
            <v>Continuous</v>
          </cell>
          <cell r="S316" t="str">
            <v>No</v>
          </cell>
          <cell r="T316" t="str">
            <v>Other</v>
          </cell>
          <cell r="U316" t="str">
            <v>40</v>
          </cell>
          <cell r="V316" t="str">
            <v>3</v>
          </cell>
          <cell r="W316" t="str">
            <v>60</v>
          </cell>
          <cell r="X316" t="str">
            <v>460</v>
          </cell>
          <cell r="Y316" t="str">
            <v>108</v>
          </cell>
          <cell r="AA316" t="str">
            <v>Vertical</v>
          </cell>
          <cell r="AG316" t="str">
            <v>HP</v>
          </cell>
          <cell r="AI316" t="str">
            <v>6216</v>
          </cell>
          <cell r="AJ316" t="str">
            <v>235A2525AC01</v>
          </cell>
          <cell r="AO316" t="str">
            <v>B</v>
          </cell>
          <cell r="AP316" t="str">
            <v>6</v>
          </cell>
          <cell r="AQ316" t="str">
            <v>F</v>
          </cell>
          <cell r="AR316" t="str">
            <v>92.5</v>
          </cell>
          <cell r="AS316" t="str">
            <v>1.115</v>
          </cell>
          <cell r="AT316" t="str">
            <v>93.6</v>
          </cell>
          <cell r="AV316" t="b">
            <v>0</v>
          </cell>
          <cell r="AW316" t="str">
            <v>108</v>
          </cell>
          <cell r="HD316" t="str">
            <v>Repair Shop</v>
          </cell>
          <cell r="HT316" t="b">
            <v>0</v>
          </cell>
          <cell r="HU316" t="str">
            <v>ALFRED CONHAGEN CO. OF CA</v>
          </cell>
        </row>
        <row r="317">
          <cell r="A317">
            <v>5471</v>
          </cell>
          <cell r="B317" t="str">
            <v>VEM1390</v>
          </cell>
          <cell r="D317" t="str">
            <v>VALERO</v>
          </cell>
          <cell r="F317" t="str">
            <v>Reliance</v>
          </cell>
          <cell r="G317" t="str">
            <v>B416674</v>
          </cell>
          <cell r="I317" t="str">
            <v>405FS</v>
          </cell>
          <cell r="K317" t="str">
            <v>100</v>
          </cell>
          <cell r="L317" t="str">
            <v>3565</v>
          </cell>
          <cell r="N317" t="str">
            <v>1289</v>
          </cell>
          <cell r="O317" t="str">
            <v>None</v>
          </cell>
          <cell r="P317" t="str">
            <v>TEFC</v>
          </cell>
          <cell r="Q317" t="str">
            <v>No</v>
          </cell>
          <cell r="R317" t="str">
            <v>Continuous</v>
          </cell>
          <cell r="S317" t="str">
            <v>Yes</v>
          </cell>
          <cell r="T317" t="str">
            <v>Other</v>
          </cell>
          <cell r="U317" t="str">
            <v>40</v>
          </cell>
          <cell r="V317" t="str">
            <v>3</v>
          </cell>
          <cell r="W317" t="str">
            <v>60</v>
          </cell>
          <cell r="X317" t="str">
            <v>460</v>
          </cell>
          <cell r="Y317" t="str">
            <v>110</v>
          </cell>
          <cell r="AA317" t="str">
            <v>F1</v>
          </cell>
          <cell r="AG317" t="str">
            <v>HP</v>
          </cell>
          <cell r="AI317" t="str">
            <v>65BC03J30X</v>
          </cell>
          <cell r="AJ317" t="str">
            <v>65BC03J30X</v>
          </cell>
          <cell r="AO317" t="str">
            <v>B</v>
          </cell>
          <cell r="AP317" t="str">
            <v>F</v>
          </cell>
          <cell r="AQ317" t="str">
            <v>F</v>
          </cell>
          <cell r="AR317" t="str">
            <v>89.9</v>
          </cell>
          <cell r="AS317" t="str">
            <v>1.15</v>
          </cell>
          <cell r="AT317" t="str">
            <v>94.5</v>
          </cell>
          <cell r="AV317" t="b">
            <v>0</v>
          </cell>
          <cell r="AW317" t="str">
            <v>110</v>
          </cell>
          <cell r="EX317" t="str">
            <v>B416674-010  L001 CM</v>
          </cell>
          <cell r="HD317" t="str">
            <v>Repair Shop</v>
          </cell>
          <cell r="HT317" t="b">
            <v>0</v>
          </cell>
          <cell r="HU317" t="str">
            <v>VALERO REFINING CO. BENICIA</v>
          </cell>
        </row>
        <row r="318">
          <cell r="A318">
            <v>5470</v>
          </cell>
          <cell r="B318" t="str">
            <v>VEM1389</v>
          </cell>
          <cell r="D318" t="str">
            <v>CLEANHARBORS</v>
          </cell>
          <cell r="AD318" t="str">
            <v>0</v>
          </cell>
          <cell r="AG318" t="str">
            <v>HP</v>
          </cell>
          <cell r="AV318" t="b">
            <v>0</v>
          </cell>
          <cell r="AY318" t="str">
            <v>Viking</v>
          </cell>
          <cell r="AZ318" t="str">
            <v>LS 4124A</v>
          </cell>
          <cell r="BA318" t="str">
            <v>1224015HX</v>
          </cell>
          <cell r="HD318" t="str">
            <v>Repair Shop</v>
          </cell>
          <cell r="HT318" t="b">
            <v>0</v>
          </cell>
          <cell r="HU318" t="str">
            <v>CLEAN HARBORS</v>
          </cell>
        </row>
        <row r="319">
          <cell r="A319">
            <v>5469</v>
          </cell>
          <cell r="B319" t="str">
            <v>VEM1388</v>
          </cell>
          <cell r="D319" t="str">
            <v>VALERO</v>
          </cell>
          <cell r="F319" t="str">
            <v>EIM</v>
          </cell>
          <cell r="I319" t="str">
            <v>L56C7</v>
          </cell>
          <cell r="K319" t="str">
            <v>1/4</v>
          </cell>
          <cell r="L319" t="str">
            <v>1775</v>
          </cell>
          <cell r="O319" t="str">
            <v>None</v>
          </cell>
          <cell r="Q319" t="str">
            <v>No</v>
          </cell>
          <cell r="R319" t="str">
            <v>Continuous</v>
          </cell>
          <cell r="S319" t="str">
            <v>No</v>
          </cell>
          <cell r="V319" t="str">
            <v>3</v>
          </cell>
          <cell r="W319" t="str">
            <v>60</v>
          </cell>
          <cell r="X319" t="str">
            <v>230/460</v>
          </cell>
          <cell r="Y319" t="str">
            <v>.88/.44</v>
          </cell>
          <cell r="AG319" t="str">
            <v>HP</v>
          </cell>
          <cell r="AV319" t="b">
            <v>0</v>
          </cell>
          <cell r="AW319" t="str">
            <v>.88/.44</v>
          </cell>
          <cell r="HD319" t="str">
            <v>Repair Shop</v>
          </cell>
          <cell r="HT319" t="b">
            <v>0</v>
          </cell>
          <cell r="HU319" t="str">
            <v>VALERO REFINING CO. BENICIA</v>
          </cell>
        </row>
        <row r="320">
          <cell r="A320">
            <v>5468</v>
          </cell>
          <cell r="B320" t="str">
            <v>VEM1387</v>
          </cell>
          <cell r="D320" t="str">
            <v>P66</v>
          </cell>
          <cell r="F320" t="str">
            <v>Reliance</v>
          </cell>
          <cell r="I320" t="str">
            <v>364T</v>
          </cell>
          <cell r="K320" t="str">
            <v>60</v>
          </cell>
          <cell r="L320" t="str">
            <v>3565</v>
          </cell>
          <cell r="N320" t="str">
            <v>827</v>
          </cell>
          <cell r="O320" t="str">
            <v>None</v>
          </cell>
          <cell r="P320" t="str">
            <v>TEFC</v>
          </cell>
          <cell r="R320" t="str">
            <v>Continuous</v>
          </cell>
          <cell r="S320" t="str">
            <v>No</v>
          </cell>
          <cell r="T320" t="str">
            <v>None</v>
          </cell>
          <cell r="U320" t="str">
            <v>40</v>
          </cell>
          <cell r="V320" t="str">
            <v>3</v>
          </cell>
          <cell r="W320" t="str">
            <v>60</v>
          </cell>
          <cell r="X320" t="str">
            <v>460</v>
          </cell>
          <cell r="Y320" t="str">
            <v>66.3</v>
          </cell>
          <cell r="AA320" t="str">
            <v>F1</v>
          </cell>
          <cell r="AG320" t="str">
            <v>HP</v>
          </cell>
          <cell r="AI320" t="str">
            <v>65BC03J30X</v>
          </cell>
          <cell r="AJ320" t="str">
            <v>65BC03J30X</v>
          </cell>
          <cell r="AO320" t="str">
            <v>B</v>
          </cell>
          <cell r="AP320" t="str">
            <v>G</v>
          </cell>
          <cell r="AQ320" t="str">
            <v>F</v>
          </cell>
          <cell r="AS320" t="str">
            <v>1.0</v>
          </cell>
          <cell r="AV320" t="b">
            <v>0</v>
          </cell>
          <cell r="EX320" t="str">
            <v>02MAF98780 G 003 NX</v>
          </cell>
          <cell r="HD320" t="str">
            <v>Repair Shop</v>
          </cell>
          <cell r="HT320" t="b">
            <v>0</v>
          </cell>
          <cell r="HU320" t="str">
            <v>PHILLIPS 66</v>
          </cell>
        </row>
        <row r="321">
          <cell r="A321">
            <v>5467</v>
          </cell>
          <cell r="B321" t="str">
            <v>VEM1386</v>
          </cell>
          <cell r="D321" t="str">
            <v>P66</v>
          </cell>
          <cell r="F321" t="str">
            <v>GE</v>
          </cell>
          <cell r="G321" t="str">
            <v>5KS284XAB</v>
          </cell>
          <cell r="H321" t="str">
            <v>SVP3214MQ03F</v>
          </cell>
          <cell r="I321" t="str">
            <v>284T</v>
          </cell>
          <cell r="K321" t="str">
            <v>25</v>
          </cell>
          <cell r="L321" t="str">
            <v>1775</v>
          </cell>
          <cell r="N321" t="str">
            <v>460</v>
          </cell>
          <cell r="O321" t="str">
            <v>Full w/ Cord</v>
          </cell>
          <cell r="P321" t="str">
            <v>TEFC</v>
          </cell>
          <cell r="R321" t="str">
            <v>Continuous</v>
          </cell>
          <cell r="S321" t="str">
            <v>No</v>
          </cell>
          <cell r="T321" t="str">
            <v>Other</v>
          </cell>
          <cell r="U321" t="str">
            <v>40</v>
          </cell>
          <cell r="V321" t="str">
            <v>3</v>
          </cell>
          <cell r="W321" t="str">
            <v>60</v>
          </cell>
          <cell r="X321" t="str">
            <v>460</v>
          </cell>
          <cell r="Y321" t="str">
            <v>29.8</v>
          </cell>
          <cell r="AA321" t="str">
            <v>F1</v>
          </cell>
          <cell r="AG321" t="str">
            <v>HP</v>
          </cell>
          <cell r="AI321" t="str">
            <v>6310ZC3</v>
          </cell>
          <cell r="AJ321" t="str">
            <v>6310ZC3</v>
          </cell>
          <cell r="AO321" t="str">
            <v>B</v>
          </cell>
          <cell r="AP321" t="str">
            <v>G</v>
          </cell>
          <cell r="AQ321" t="str">
            <v>F</v>
          </cell>
          <cell r="AR321" t="str">
            <v>84.0</v>
          </cell>
          <cell r="AS321" t="str">
            <v>1.15</v>
          </cell>
          <cell r="AT321" t="str">
            <v>93.6</v>
          </cell>
          <cell r="AV321" t="b">
            <v>0</v>
          </cell>
          <cell r="AW321" t="str">
            <v>29.8</v>
          </cell>
          <cell r="EW321" t="str">
            <v>H9943</v>
          </cell>
          <cell r="HD321" t="str">
            <v>Repair Shop</v>
          </cell>
          <cell r="HT321" t="b">
            <v>0</v>
          </cell>
          <cell r="HU321" t="str">
            <v>PHILLIPS 66</v>
          </cell>
        </row>
        <row r="322">
          <cell r="A322">
            <v>5466</v>
          </cell>
          <cell r="B322" t="str">
            <v>VEM1385</v>
          </cell>
          <cell r="D322" t="str">
            <v>P66</v>
          </cell>
          <cell r="F322" t="str">
            <v>Allis-Chalmers</v>
          </cell>
          <cell r="G322" t="str">
            <v>615</v>
          </cell>
          <cell r="H322" t="str">
            <v>51 351 969</v>
          </cell>
          <cell r="I322" t="str">
            <v>284T</v>
          </cell>
          <cell r="K322" t="str">
            <v>25</v>
          </cell>
          <cell r="L322" t="str">
            <v>1750</v>
          </cell>
          <cell r="O322" t="str">
            <v>Full no Cord</v>
          </cell>
          <cell r="P322" t="str">
            <v>TEFC</v>
          </cell>
          <cell r="Q322" t="str">
            <v>No</v>
          </cell>
          <cell r="R322" t="str">
            <v>Continuous</v>
          </cell>
          <cell r="S322" t="str">
            <v>No</v>
          </cell>
          <cell r="U322" t="str">
            <v>40</v>
          </cell>
          <cell r="V322" t="str">
            <v>3</v>
          </cell>
          <cell r="W322" t="str">
            <v>60</v>
          </cell>
          <cell r="X322" t="str">
            <v>460</v>
          </cell>
          <cell r="Y322" t="str">
            <v>30</v>
          </cell>
          <cell r="AA322" t="str">
            <v>F1</v>
          </cell>
          <cell r="AD322" t="str">
            <v>0</v>
          </cell>
          <cell r="AG322" t="str">
            <v>HP</v>
          </cell>
          <cell r="AI322" t="str">
            <v>50BC02JPP3</v>
          </cell>
          <cell r="AJ322" t="str">
            <v>45BC03JPP3</v>
          </cell>
          <cell r="AO322" t="str">
            <v>B</v>
          </cell>
          <cell r="AQ322" t="str">
            <v>F</v>
          </cell>
          <cell r="AS322" t="str">
            <v>1.15</v>
          </cell>
          <cell r="AV322" t="b">
            <v>0</v>
          </cell>
          <cell r="AW322" t="str">
            <v>30</v>
          </cell>
          <cell r="HD322" t="str">
            <v>Repair Shop</v>
          </cell>
          <cell r="HT322" t="b">
            <v>0</v>
          </cell>
          <cell r="HU322" t="str">
            <v>PHILLIPS 66</v>
          </cell>
        </row>
        <row r="323">
          <cell r="A323">
            <v>5465</v>
          </cell>
          <cell r="B323" t="str">
            <v>VEM1384</v>
          </cell>
          <cell r="D323" t="str">
            <v>VALERO</v>
          </cell>
          <cell r="L323" t="str">
            <v>1800</v>
          </cell>
          <cell r="R323" t="str">
            <v>Intermittant</v>
          </cell>
          <cell r="V323" t="str">
            <v>3</v>
          </cell>
          <cell r="W323" t="str">
            <v>60</v>
          </cell>
          <cell r="X323" t="str">
            <v>460</v>
          </cell>
          <cell r="AA323" t="str">
            <v>Vertical</v>
          </cell>
          <cell r="AJ323" t="str">
            <v>6201</v>
          </cell>
          <cell r="AV323" t="b">
            <v>0</v>
          </cell>
          <cell r="HD323" t="str">
            <v>Repair Shop</v>
          </cell>
          <cell r="HT323" t="b">
            <v>0</v>
          </cell>
          <cell r="HU323" t="str">
            <v>VALERO REFINING CO. BENICIA</v>
          </cell>
        </row>
        <row r="324">
          <cell r="A324">
            <v>5464</v>
          </cell>
          <cell r="B324" t="str">
            <v>VEM1383</v>
          </cell>
          <cell r="D324" t="str">
            <v>NUSTAR</v>
          </cell>
          <cell r="F324" t="str">
            <v>US Motors</v>
          </cell>
          <cell r="I324" t="str">
            <v>449TPH</v>
          </cell>
          <cell r="K324" t="str">
            <v>450</v>
          </cell>
          <cell r="L324" t="str">
            <v>1785v</v>
          </cell>
          <cell r="N324" t="str">
            <v>2800</v>
          </cell>
          <cell r="O324" t="str">
            <v>None</v>
          </cell>
          <cell r="P324" t="str">
            <v>WP1</v>
          </cell>
          <cell r="Q324" t="str">
            <v>None</v>
          </cell>
          <cell r="R324" t="str">
            <v>Continuous</v>
          </cell>
          <cell r="S324" t="str">
            <v>None</v>
          </cell>
          <cell r="T324" t="str">
            <v>None</v>
          </cell>
          <cell r="U324" t="str">
            <v>40</v>
          </cell>
          <cell r="V324" t="str">
            <v>3</v>
          </cell>
          <cell r="W324" t="str">
            <v>60</v>
          </cell>
          <cell r="X324" t="str">
            <v>460</v>
          </cell>
          <cell r="Y324" t="str">
            <v>489</v>
          </cell>
          <cell r="AA324" t="str">
            <v>Vertical</v>
          </cell>
          <cell r="AG324" t="str">
            <v>HP</v>
          </cell>
          <cell r="AI324" t="str">
            <v>6219J</v>
          </cell>
          <cell r="AJ324" t="str">
            <v>7226-BCB</v>
          </cell>
          <cell r="AO324" t="str">
            <v>B</v>
          </cell>
          <cell r="AQ324" t="str">
            <v>F</v>
          </cell>
          <cell r="AR324" t="str">
            <v>90.0</v>
          </cell>
          <cell r="AS324" t="str">
            <v>1.15</v>
          </cell>
          <cell r="AT324" t="str">
            <v>95.8</v>
          </cell>
          <cell r="AV324" t="b">
            <v>0</v>
          </cell>
          <cell r="AW324" t="str">
            <v>489</v>
          </cell>
          <cell r="EX324" t="str">
            <v>V 02 20131089-0001</v>
          </cell>
          <cell r="HD324" t="str">
            <v>Repair Shop</v>
          </cell>
          <cell r="HT324" t="b">
            <v>0</v>
          </cell>
          <cell r="HU324" t="str">
            <v>NUSTAR/SHORE TERMINALS, LLC</v>
          </cell>
        </row>
        <row r="325">
          <cell r="A325">
            <v>5463</v>
          </cell>
          <cell r="B325" t="str">
            <v>VEM1382</v>
          </cell>
          <cell r="D325" t="str">
            <v>CASHSALES</v>
          </cell>
          <cell r="F325" t="str">
            <v>MotorMake</v>
          </cell>
          <cell r="G325" t="str">
            <v>MotorModel</v>
          </cell>
          <cell r="H325" t="str">
            <v>MotorSerial</v>
          </cell>
          <cell r="I325" t="str">
            <v>Motor Frame</v>
          </cell>
          <cell r="K325" t="str">
            <v>1000</v>
          </cell>
          <cell r="L325" t="str">
            <v>3600</v>
          </cell>
          <cell r="M325" t="str">
            <v>Motor type</v>
          </cell>
          <cell r="N325" t="str">
            <v>Motor weight</v>
          </cell>
          <cell r="P325" t="str">
            <v>EXP</v>
          </cell>
          <cell r="R325" t="str">
            <v>Continuous</v>
          </cell>
          <cell r="U325" t="str">
            <v>Motor ambient temp</v>
          </cell>
          <cell r="V325" t="str">
            <v>3</v>
          </cell>
          <cell r="W325" t="str">
            <v>60</v>
          </cell>
          <cell r="X325" t="str">
            <v>4160</v>
          </cell>
          <cell r="Y325" t="str">
            <v>25</v>
          </cell>
          <cell r="AA325" t="str">
            <v>Vertical</v>
          </cell>
          <cell r="AD325" t="str">
            <v>-1</v>
          </cell>
          <cell r="AF325" t="str">
            <v>Motor CAS/Ul</v>
          </cell>
          <cell r="AG325" t="str">
            <v>HP</v>
          </cell>
          <cell r="AH325" t="str">
            <v>Motor accessories</v>
          </cell>
          <cell r="AI325" t="str">
            <v>Motor de brg</v>
          </cell>
          <cell r="AJ325" t="str">
            <v>Motor ode brg</v>
          </cell>
          <cell r="AK325" t="str">
            <v>Motor brushes</v>
          </cell>
          <cell r="AO325" t="str">
            <v>Motor design</v>
          </cell>
          <cell r="AP325" t="str">
            <v>Motor code</v>
          </cell>
          <cell r="AQ325" t="str">
            <v>H</v>
          </cell>
          <cell r="AR325" t="str">
            <v>Motor power factor</v>
          </cell>
          <cell r="AS325" t="str">
            <v>Motor serial factor</v>
          </cell>
          <cell r="AT325" t="str">
            <v>Motor nom eff</v>
          </cell>
          <cell r="AU325" t="str">
            <v>Motor Spec</v>
          </cell>
          <cell r="AV325" t="b">
            <v>0</v>
          </cell>
          <cell r="AX325" t="str">
            <v>2</v>
          </cell>
          <cell r="AY325" t="str">
            <v>Pump Make</v>
          </cell>
          <cell r="AZ325" t="str">
            <v>Pump Model</v>
          </cell>
          <cell r="BA325" t="str">
            <v>Pump Serial</v>
          </cell>
          <cell r="BB325" t="str">
            <v>Pump Impeller Size</v>
          </cell>
          <cell r="BC325" t="str">
            <v>Pump Head</v>
          </cell>
          <cell r="BD325" t="str">
            <v>Pump Size</v>
          </cell>
          <cell r="BE325" t="str">
            <v>GPM</v>
          </cell>
          <cell r="BF325" t="str">
            <v>Pump Eyebolt</v>
          </cell>
          <cell r="BG325" t="str">
            <v>Pump HandleChain</v>
          </cell>
          <cell r="BH325" t="str">
            <v>Pump Base Disconnect</v>
          </cell>
          <cell r="BI325" t="str">
            <v>Pump CordCap</v>
          </cell>
          <cell r="BJ325" t="str">
            <v>Pump Volute</v>
          </cell>
          <cell r="BL325" t="str">
            <v>Pump PSI</v>
          </cell>
          <cell r="BM325" t="str">
            <v>Pump Catalog</v>
          </cell>
          <cell r="BN325" t="str">
            <v>Pump Type</v>
          </cell>
          <cell r="BO325" t="str">
            <v>Pump Temp</v>
          </cell>
          <cell r="BP325" t="str">
            <v>Pump Fluid</v>
          </cell>
          <cell r="BQ325" t="str">
            <v>.10</v>
          </cell>
          <cell r="BR325" t="str">
            <v>Pump Visc</v>
          </cell>
          <cell r="BS325" t="str">
            <v>Pump PH</v>
          </cell>
          <cell r="BT325" t="str">
            <v>Pump Material</v>
          </cell>
          <cell r="BU325" t="str">
            <v>Pump Mech Seal Info</v>
          </cell>
          <cell r="BY325" t="str">
            <v>Gearbox Ratio</v>
          </cell>
          <cell r="BZ325" t="str">
            <v>Gearbox Input RPM</v>
          </cell>
          <cell r="CA325" t="str">
            <v>Gearbox Box Size</v>
          </cell>
          <cell r="CB325" t="str">
            <v>Gearbox Torque</v>
          </cell>
          <cell r="CC325" t="str">
            <v>300</v>
          </cell>
          <cell r="CD325" t="str">
            <v>Gearbox Type</v>
          </cell>
          <cell r="CE325" t="str">
            <v>Gearbox Max HP</v>
          </cell>
          <cell r="CF325" t="str">
            <v>Gearbox Rating</v>
          </cell>
          <cell r="CG325" t="str">
            <v>F2</v>
          </cell>
          <cell r="CH325" t="str">
            <v>Gearbox Eyebolt</v>
          </cell>
          <cell r="CI325" t="str">
            <v>Gearbox Base</v>
          </cell>
          <cell r="CJ325" t="str">
            <v>Brake Make</v>
          </cell>
          <cell r="CK325" t="str">
            <v>Brake Model</v>
          </cell>
          <cell r="CL325" t="str">
            <v>Brake Serial</v>
          </cell>
          <cell r="CM325" t="str">
            <v>Brake Ft. Lbs</v>
          </cell>
          <cell r="CN325" t="str">
            <v>Brake Voltage</v>
          </cell>
          <cell r="CO325" t="str">
            <v>Brake Amps</v>
          </cell>
          <cell r="CP325" t="str">
            <v>Brake Size</v>
          </cell>
          <cell r="CQ325" t="str">
            <v>Brake Hz</v>
          </cell>
          <cell r="CR325" t="str">
            <v>Brake Type</v>
          </cell>
          <cell r="DJ325" t="str">
            <v>Compressor Type</v>
          </cell>
          <cell r="DN325" t="str">
            <v>Compressor HP</v>
          </cell>
          <cell r="DO325" t="str">
            <v>Compressor Volts</v>
          </cell>
          <cell r="DP325" t="str">
            <v>Compressor PSI</v>
          </cell>
          <cell r="DQ325" t="str">
            <v>Compressor CFM</v>
          </cell>
          <cell r="DR325" t="str">
            <v>Compressor Service Tech</v>
          </cell>
          <cell r="DT325" t="str">
            <v>Blower Make</v>
          </cell>
          <cell r="DU325" t="str">
            <v>Blower Model</v>
          </cell>
          <cell r="DV325" t="str">
            <v>Blower Serial</v>
          </cell>
          <cell r="DW325" t="str">
            <v>Blower HP</v>
          </cell>
          <cell r="DX325" t="str">
            <v>Blower Volts</v>
          </cell>
          <cell r="DY325" t="str">
            <v>Blower Size</v>
          </cell>
          <cell r="EP325" t="str">
            <v>288</v>
          </cell>
          <cell r="EQ325" t="str">
            <v>20</v>
          </cell>
          <cell r="ER325" t="str">
            <v>290</v>
          </cell>
          <cell r="ES325" t="str">
            <v>.76</v>
          </cell>
          <cell r="ET325" t="str">
            <v>100</v>
          </cell>
          <cell r="EW325" t="str">
            <v>Motor Catalog</v>
          </cell>
          <cell r="EX325" t="str">
            <v>Motor ID</v>
          </cell>
          <cell r="EY325" t="str">
            <v>Motor Style</v>
          </cell>
          <cell r="FB325" t="str">
            <v>Generator KW</v>
          </cell>
          <cell r="FC325" t="str">
            <v>Generator RPM</v>
          </cell>
          <cell r="FD325" t="str">
            <v>Generator Voltage</v>
          </cell>
          <cell r="FE325" t="str">
            <v>Generator Phase</v>
          </cell>
          <cell r="FF325" t="str">
            <v>Generator Frequency</v>
          </cell>
          <cell r="FI325" t="str">
            <v>Generator Spec#</v>
          </cell>
          <cell r="FJ325" t="str">
            <v>Generator Manu</v>
          </cell>
          <cell r="FK325" t="str">
            <v>Generator Displacement</v>
          </cell>
          <cell r="FL325" t="str">
            <v>Generator Model</v>
          </cell>
          <cell r="FM325" t="str">
            <v>Generator Serial#</v>
          </cell>
          <cell r="FN325" t="str">
            <v>Generator Fuel Type</v>
          </cell>
          <cell r="FO325" t="str">
            <v>Generator In/Out</v>
          </cell>
          <cell r="FP325" t="str">
            <v>Generator Oil Filter</v>
          </cell>
          <cell r="FQ325" t="str">
            <v>Generator Oil Capacity</v>
          </cell>
          <cell r="FR325" t="str">
            <v>Generator Fuel Filter</v>
          </cell>
          <cell r="FS325" t="str">
            <v>Generator Fuel Prefilter</v>
          </cell>
          <cell r="FT325" t="str">
            <v>Generator Air Filter</v>
          </cell>
          <cell r="FU325" t="str">
            <v>Generator Water Septr.</v>
          </cell>
          <cell r="FV325" t="str">
            <v>Generator Coolant Filter</v>
          </cell>
          <cell r="FW325" t="str">
            <v>Generator Coolant Capc</v>
          </cell>
          <cell r="FX325" t="str">
            <v>Generator Block Generator</v>
          </cell>
          <cell r="FY325" t="str">
            <v>Generator Points</v>
          </cell>
          <cell r="FZ325" t="str">
            <v>Generator Plugs</v>
          </cell>
          <cell r="GA325" t="str">
            <v>Generator Plug Wires</v>
          </cell>
          <cell r="GB325" t="str">
            <v>Generator Condensor</v>
          </cell>
          <cell r="GC325" t="str">
            <v>Generator battery</v>
          </cell>
          <cell r="GD325" t="str">
            <v>Generator Manu</v>
          </cell>
          <cell r="GE325" t="str">
            <v>Generator Model</v>
          </cell>
          <cell r="GF325" t="str">
            <v>Generator Serial</v>
          </cell>
          <cell r="GG325" t="str">
            <v>Generator Voltage</v>
          </cell>
          <cell r="GH325" t="str">
            <v>Generator Amps</v>
          </cell>
          <cell r="GI325" t="str">
            <v>Generator 3</v>
          </cell>
          <cell r="GJ325" t="str">
            <v>Generator Freq.</v>
          </cell>
          <cell r="GK325" t="str">
            <v>Motor custom 1</v>
          </cell>
          <cell r="GL325" t="str">
            <v>Motor custom 2</v>
          </cell>
          <cell r="GM325" t="str">
            <v>Motor custom 3</v>
          </cell>
          <cell r="GN325" t="str">
            <v>Motor custom 4</v>
          </cell>
          <cell r="GO325" t="str">
            <v>Motor custom 5</v>
          </cell>
          <cell r="GV325" t="str">
            <v>Generator Amps</v>
          </cell>
          <cell r="GW325" t="str">
            <v>Generator AC/DC</v>
          </cell>
          <cell r="GZ325" t="str">
            <v>Motor CSA/UL Group</v>
          </cell>
          <cell r="HA325" t="str">
            <v>Motor CSA/UL Class</v>
          </cell>
          <cell r="HD325" t="str">
            <v>Repair Shop</v>
          </cell>
          <cell r="HE325" t="str">
            <v>Gearbox Part #</v>
          </cell>
          <cell r="HT325" t="b">
            <v>0</v>
          </cell>
          <cell r="HU325" t="str">
            <v>CASH SALES</v>
          </cell>
        </row>
        <row r="326">
          <cell r="A326">
            <v>5462</v>
          </cell>
          <cell r="B326" t="str">
            <v>VEM1381</v>
          </cell>
          <cell r="D326" t="str">
            <v>P66</v>
          </cell>
          <cell r="F326" t="str">
            <v>Baldor</v>
          </cell>
          <cell r="I326" t="str">
            <v>326TS</v>
          </cell>
          <cell r="K326" t="str">
            <v>25</v>
          </cell>
          <cell r="L326" t="str">
            <v>870</v>
          </cell>
          <cell r="R326" t="str">
            <v>Continuous</v>
          </cell>
          <cell r="V326" t="str">
            <v>3</v>
          </cell>
          <cell r="W326" t="str">
            <v>60</v>
          </cell>
          <cell r="X326" t="str">
            <v>460</v>
          </cell>
          <cell r="AG326" t="str">
            <v>HP</v>
          </cell>
          <cell r="AV326" t="b">
            <v>0</v>
          </cell>
          <cell r="AW326" t="str">
            <v>39</v>
          </cell>
          <cell r="HD326" t="str">
            <v>Repair Shop</v>
          </cell>
          <cell r="HT326" t="b">
            <v>0</v>
          </cell>
          <cell r="HU326" t="str">
            <v>PHILLIPS 66</v>
          </cell>
        </row>
        <row r="327">
          <cell r="A327">
            <v>5461</v>
          </cell>
          <cell r="B327" t="str">
            <v>VEM1380</v>
          </cell>
          <cell r="D327" t="str">
            <v>ASTRO PAK</v>
          </cell>
          <cell r="F327" t="str">
            <v>Sterling</v>
          </cell>
          <cell r="G327" t="str">
            <v>XHO152PHA</v>
          </cell>
          <cell r="K327" t="str">
            <v>15</v>
          </cell>
          <cell r="L327" t="str">
            <v>3560</v>
          </cell>
          <cell r="R327" t="str">
            <v>Continuous</v>
          </cell>
          <cell r="U327" t="str">
            <v>40</v>
          </cell>
          <cell r="V327" t="str">
            <v>6</v>
          </cell>
          <cell r="W327" t="str">
            <v>60</v>
          </cell>
          <cell r="X327" t="str">
            <v>208-230/460</v>
          </cell>
          <cell r="AD327" t="str">
            <v>0</v>
          </cell>
          <cell r="AG327" t="str">
            <v>HP</v>
          </cell>
          <cell r="AQ327" t="str">
            <v>F</v>
          </cell>
          <cell r="AV327" t="b">
            <v>0</v>
          </cell>
          <cell r="AW327" t="str">
            <v>33.4-34.7/17.3</v>
          </cell>
          <cell r="EZ327" t="str">
            <v>1.15</v>
          </cell>
          <cell r="HD327" t="str">
            <v>Repair Shop</v>
          </cell>
          <cell r="HT327" t="b">
            <v>0</v>
          </cell>
          <cell r="HU327" t="str">
            <v>ASTRO PAK</v>
          </cell>
        </row>
        <row r="328">
          <cell r="A328">
            <v>5459</v>
          </cell>
          <cell r="B328" t="str">
            <v>VEM1379</v>
          </cell>
          <cell r="D328" t="str">
            <v>SIXFLAGSHURRICA</v>
          </cell>
          <cell r="F328" t="str">
            <v>Marathon</v>
          </cell>
          <cell r="G328" t="str">
            <v>3K 404TTPS8629AN</v>
          </cell>
          <cell r="I328" t="str">
            <v>404TCZ</v>
          </cell>
          <cell r="K328" t="str">
            <v>100</v>
          </cell>
          <cell r="L328" t="str">
            <v>1775</v>
          </cell>
          <cell r="P328" t="str">
            <v>TEFC</v>
          </cell>
          <cell r="R328" t="str">
            <v>Continuous</v>
          </cell>
          <cell r="U328" t="str">
            <v>40</v>
          </cell>
          <cell r="V328" t="str">
            <v>3</v>
          </cell>
          <cell r="W328" t="str">
            <v>60</v>
          </cell>
          <cell r="X328" t="str">
            <v>460</v>
          </cell>
          <cell r="AG328" t="str">
            <v>HP</v>
          </cell>
          <cell r="AR328" t="str">
            <v>84.5</v>
          </cell>
          <cell r="AS328" t="str">
            <v>1.15</v>
          </cell>
          <cell r="AT328" t="str">
            <v>93</v>
          </cell>
          <cell r="AV328" t="b">
            <v>0</v>
          </cell>
          <cell r="AW328" t="str">
            <v>119</v>
          </cell>
          <cell r="HD328" t="str">
            <v>Repair Shop</v>
          </cell>
          <cell r="HT328" t="b">
            <v>0</v>
          </cell>
          <cell r="HU328" t="str">
            <v>SIX FLAGS HURRICANE HARBOR CONCORD</v>
          </cell>
        </row>
        <row r="329">
          <cell r="A329">
            <v>5458</v>
          </cell>
          <cell r="B329" t="str">
            <v>VEM1378</v>
          </cell>
          <cell r="D329" t="str">
            <v>VALERO</v>
          </cell>
          <cell r="F329" t="str">
            <v>EIM</v>
          </cell>
          <cell r="H329" t="str">
            <v>95429</v>
          </cell>
          <cell r="I329" t="str">
            <v>L56CZ</v>
          </cell>
          <cell r="L329" t="str">
            <v>1725</v>
          </cell>
          <cell r="O329" t="str">
            <v>Full no Cord</v>
          </cell>
          <cell r="P329" t="str">
            <v>EXP</v>
          </cell>
          <cell r="R329" t="str">
            <v>Continuous</v>
          </cell>
          <cell r="S329" t="str">
            <v>No</v>
          </cell>
          <cell r="U329" t="str">
            <v>40</v>
          </cell>
          <cell r="V329" t="str">
            <v>3</v>
          </cell>
          <cell r="W329" t="str">
            <v>60</v>
          </cell>
          <cell r="X329" t="str">
            <v>230/460</v>
          </cell>
          <cell r="AA329" t="str">
            <v>Other</v>
          </cell>
          <cell r="AQ329" t="str">
            <v>B</v>
          </cell>
          <cell r="AV329" t="b">
            <v>0</v>
          </cell>
          <cell r="AW329" t="str">
            <v>6.8/3.4</v>
          </cell>
          <cell r="EW329" t="str">
            <v>605443AM823</v>
          </cell>
          <cell r="HD329" t="str">
            <v>Repair Shop</v>
          </cell>
          <cell r="HT329" t="b">
            <v>0</v>
          </cell>
          <cell r="HU329" t="str">
            <v>VALERO REFINING CO. BENICIA</v>
          </cell>
        </row>
        <row r="330">
          <cell r="A330">
            <v>5457</v>
          </cell>
          <cell r="B330" t="str">
            <v>VEM1377</v>
          </cell>
          <cell r="D330" t="str">
            <v>CONHAGEN</v>
          </cell>
          <cell r="F330" t="str">
            <v>Toshiba</v>
          </cell>
          <cell r="G330" t="str">
            <v>B00226FLF2AK</v>
          </cell>
          <cell r="H330" t="str">
            <v>9209471B</v>
          </cell>
          <cell r="I330" t="str">
            <v>184T</v>
          </cell>
          <cell r="K330" t="str">
            <v>2</v>
          </cell>
          <cell r="L330" t="str">
            <v>1154</v>
          </cell>
          <cell r="O330" t="str">
            <v>Full w/ Cord</v>
          </cell>
          <cell r="P330" t="str">
            <v>TEFC</v>
          </cell>
          <cell r="Q330" t="str">
            <v>No</v>
          </cell>
          <cell r="R330" t="str">
            <v>Continuous</v>
          </cell>
          <cell r="S330" t="str">
            <v>Yes</v>
          </cell>
          <cell r="T330" t="str">
            <v>None</v>
          </cell>
          <cell r="U330" t="str">
            <v>40</v>
          </cell>
          <cell r="V330" t="str">
            <v>3</v>
          </cell>
          <cell r="W330" t="str">
            <v>60</v>
          </cell>
          <cell r="X330" t="str">
            <v>230/460</v>
          </cell>
          <cell r="Z330" t="str">
            <v>Yes</v>
          </cell>
          <cell r="AA330" t="str">
            <v>F1</v>
          </cell>
          <cell r="AG330" t="str">
            <v>HP</v>
          </cell>
          <cell r="AI330" t="str">
            <v>62072Z</v>
          </cell>
          <cell r="AO330" t="str">
            <v>B</v>
          </cell>
          <cell r="AP330" t="str">
            <v>K</v>
          </cell>
          <cell r="AQ330" t="str">
            <v>F</v>
          </cell>
          <cell r="AS330" t="str">
            <v>1.16</v>
          </cell>
          <cell r="AT330" t="str">
            <v>82.5</v>
          </cell>
          <cell r="AU330" t="str">
            <v>62052Z</v>
          </cell>
          <cell r="AV330" t="b">
            <v>0</v>
          </cell>
          <cell r="AW330" t="str">
            <v>6.4/3.2</v>
          </cell>
          <cell r="AX330" t="str">
            <v>6</v>
          </cell>
          <cell r="HD330" t="str">
            <v>Repair Shop</v>
          </cell>
          <cell r="HT330" t="b">
            <v>0</v>
          </cell>
          <cell r="HU330" t="str">
            <v>ALFRED CONHAGEN CO. OF CA</v>
          </cell>
        </row>
        <row r="331">
          <cell r="A331">
            <v>5456</v>
          </cell>
          <cell r="B331" t="str">
            <v>VEM1376</v>
          </cell>
          <cell r="D331" t="str">
            <v>VALLEJOSAN</v>
          </cell>
          <cell r="F331" t="str">
            <v>HIDROSTAL</v>
          </cell>
          <cell r="H331" t="str">
            <v>215433</v>
          </cell>
          <cell r="K331" t="str">
            <v>200/160</v>
          </cell>
          <cell r="L331" t="str">
            <v>1190</v>
          </cell>
          <cell r="O331" t="str">
            <v>Cord</v>
          </cell>
          <cell r="P331" t="str">
            <v>SUB</v>
          </cell>
          <cell r="Q331" t="str">
            <v>Yes</v>
          </cell>
          <cell r="S331" t="str">
            <v>No</v>
          </cell>
          <cell r="U331" t="str">
            <v>40</v>
          </cell>
          <cell r="V331" t="str">
            <v>3</v>
          </cell>
          <cell r="W331" t="str">
            <v>60</v>
          </cell>
          <cell r="X331" t="str">
            <v>460</v>
          </cell>
          <cell r="AA331" t="str">
            <v>Vertical</v>
          </cell>
          <cell r="AD331" t="str">
            <v>0</v>
          </cell>
          <cell r="AG331" t="str">
            <v>KW</v>
          </cell>
          <cell r="AQ331" t="str">
            <v>F</v>
          </cell>
          <cell r="AR331" t="str">
            <v>.75</v>
          </cell>
          <cell r="AV331" t="b">
            <v>0</v>
          </cell>
          <cell r="AW331" t="str">
            <v>335</v>
          </cell>
          <cell r="HD331" t="str">
            <v>Repair Shop</v>
          </cell>
          <cell r="HT331" t="b">
            <v>0</v>
          </cell>
          <cell r="HU331" t="str">
            <v>VALLEJO FLOOD &amp; WASTEWATER DISTRICT</v>
          </cell>
        </row>
        <row r="332">
          <cell r="A332">
            <v>5455</v>
          </cell>
          <cell r="B332" t="str">
            <v>VEM1375</v>
          </cell>
          <cell r="D332" t="str">
            <v>C&amp;H</v>
          </cell>
          <cell r="F332" t="str">
            <v>U.S. Motors</v>
          </cell>
          <cell r="I332" t="str">
            <v>365tdte</v>
          </cell>
          <cell r="K332" t="str">
            <v>75</v>
          </cell>
          <cell r="L332" t="str">
            <v>3550</v>
          </cell>
          <cell r="O332" t="str">
            <v>None</v>
          </cell>
          <cell r="P332" t="str">
            <v>TEFC</v>
          </cell>
          <cell r="R332" t="str">
            <v>Continuous</v>
          </cell>
          <cell r="S332" t="str">
            <v>Yes</v>
          </cell>
          <cell r="T332" t="str">
            <v>No</v>
          </cell>
          <cell r="U332" t="str">
            <v>40</v>
          </cell>
          <cell r="V332" t="str">
            <v>3</v>
          </cell>
          <cell r="W332" t="str">
            <v>60</v>
          </cell>
          <cell r="X332" t="str">
            <v>460</v>
          </cell>
          <cell r="Y332" t="str">
            <v>87.5</v>
          </cell>
          <cell r="AA332" t="str">
            <v>Vertical</v>
          </cell>
          <cell r="AG332" t="str">
            <v>HP</v>
          </cell>
          <cell r="AI332" t="str">
            <v>6314-j/C3</v>
          </cell>
          <cell r="AJ332" t="str">
            <v>6212-j/C3</v>
          </cell>
          <cell r="AO332" t="str">
            <v>R</v>
          </cell>
          <cell r="AP332" t="str">
            <v>G</v>
          </cell>
          <cell r="AQ332" t="str">
            <v>B</v>
          </cell>
          <cell r="AS332" t="str">
            <v>1.0</v>
          </cell>
          <cell r="AT332" t="str">
            <v>91.0</v>
          </cell>
          <cell r="AV332" t="b">
            <v>0</v>
          </cell>
          <cell r="AW332" t="str">
            <v>87.5</v>
          </cell>
          <cell r="HD332" t="str">
            <v>Repair Shop</v>
          </cell>
          <cell r="HT332" t="b">
            <v>0</v>
          </cell>
          <cell r="HU332" t="str">
            <v>C &amp; H SUGAR CO.</v>
          </cell>
        </row>
        <row r="333">
          <cell r="A333">
            <v>5454</v>
          </cell>
          <cell r="B333" t="str">
            <v>VEM1374</v>
          </cell>
          <cell r="D333" t="str">
            <v>C&amp;H</v>
          </cell>
          <cell r="F333" t="str">
            <v>U.S. Motors</v>
          </cell>
          <cell r="I333" t="str">
            <v>365TDTE</v>
          </cell>
          <cell r="K333" t="str">
            <v>75</v>
          </cell>
          <cell r="L333" t="str">
            <v>3550</v>
          </cell>
          <cell r="O333" t="str">
            <v>None</v>
          </cell>
          <cell r="P333" t="str">
            <v>TEFC</v>
          </cell>
          <cell r="R333" t="str">
            <v>Continuous</v>
          </cell>
          <cell r="S333" t="str">
            <v>No</v>
          </cell>
          <cell r="T333" t="str">
            <v>None</v>
          </cell>
          <cell r="U333" t="str">
            <v>40</v>
          </cell>
          <cell r="V333" t="str">
            <v>3</v>
          </cell>
          <cell r="W333" t="str">
            <v>60</v>
          </cell>
          <cell r="X333" t="str">
            <v>460</v>
          </cell>
          <cell r="Y333" t="str">
            <v>87.5</v>
          </cell>
          <cell r="AA333" t="str">
            <v>Vertical</v>
          </cell>
          <cell r="AG333" t="str">
            <v>HP</v>
          </cell>
          <cell r="AI333" t="str">
            <v>6314-J/C3</v>
          </cell>
          <cell r="AJ333" t="str">
            <v>6212-J/C3</v>
          </cell>
          <cell r="AO333" t="str">
            <v>R</v>
          </cell>
          <cell r="AP333" t="str">
            <v>G</v>
          </cell>
          <cell r="AQ333" t="str">
            <v>B</v>
          </cell>
          <cell r="AS333" t="str">
            <v>1.0</v>
          </cell>
          <cell r="AT333" t="str">
            <v>91.0</v>
          </cell>
          <cell r="AV333" t="b">
            <v>0</v>
          </cell>
          <cell r="AW333" t="str">
            <v>87.5</v>
          </cell>
          <cell r="EX333" t="str">
            <v>P08P1800290R-1</v>
          </cell>
          <cell r="HD333" t="str">
            <v>Repair Shop</v>
          </cell>
          <cell r="HT333" t="b">
            <v>0</v>
          </cell>
          <cell r="HU333" t="str">
            <v>C &amp; H SUGAR CO.</v>
          </cell>
        </row>
        <row r="334">
          <cell r="A334">
            <v>5453</v>
          </cell>
          <cell r="B334" t="str">
            <v>VEM1373</v>
          </cell>
          <cell r="D334" t="str">
            <v>UNICO</v>
          </cell>
          <cell r="F334" t="str">
            <v>GE</v>
          </cell>
          <cell r="G334" t="str">
            <v>5KS284DAE5030</v>
          </cell>
          <cell r="H334" t="str">
            <v>LKFT312S011</v>
          </cell>
          <cell r="I334" t="str">
            <v>L284TP12</v>
          </cell>
          <cell r="K334" t="str">
            <v>30</v>
          </cell>
          <cell r="L334" t="str">
            <v>3555</v>
          </cell>
          <cell r="N334" t="str">
            <v>420</v>
          </cell>
          <cell r="O334" t="str">
            <v>None</v>
          </cell>
          <cell r="P334" t="str">
            <v>TEFC</v>
          </cell>
          <cell r="R334" t="str">
            <v>Continuous</v>
          </cell>
          <cell r="S334" t="str">
            <v>No</v>
          </cell>
          <cell r="T334" t="str">
            <v>None</v>
          </cell>
          <cell r="U334" t="str">
            <v>40</v>
          </cell>
          <cell r="V334" t="str">
            <v>3</v>
          </cell>
          <cell r="W334" t="str">
            <v>60</v>
          </cell>
          <cell r="X334" t="str">
            <v>460</v>
          </cell>
          <cell r="Y334" t="str">
            <v>34.2</v>
          </cell>
          <cell r="AA334" t="str">
            <v>Vertical</v>
          </cell>
          <cell r="AG334" t="str">
            <v>HP</v>
          </cell>
          <cell r="AI334" t="str">
            <v>7310</v>
          </cell>
          <cell r="AJ334" t="str">
            <v>6210-22C3</v>
          </cell>
          <cell r="AP334" t="str">
            <v>G</v>
          </cell>
          <cell r="AQ334" t="str">
            <v>H</v>
          </cell>
          <cell r="AR334" t="str">
            <v>89.5</v>
          </cell>
          <cell r="AS334" t="str">
            <v>1.15</v>
          </cell>
          <cell r="AT334" t="str">
            <v>91.7</v>
          </cell>
          <cell r="AV334" t="b">
            <v>0</v>
          </cell>
          <cell r="AW334" t="str">
            <v>34.2</v>
          </cell>
          <cell r="HD334" t="str">
            <v>Repair Shop</v>
          </cell>
          <cell r="HT334" t="b">
            <v>0</v>
          </cell>
          <cell r="HU334" t="str">
            <v>UNICO MECHANICAL CORP.</v>
          </cell>
        </row>
        <row r="335">
          <cell r="A335">
            <v>5452</v>
          </cell>
          <cell r="B335" t="str">
            <v>VEM1372</v>
          </cell>
          <cell r="D335" t="str">
            <v>VALERO</v>
          </cell>
          <cell r="F335" t="str">
            <v>GE</v>
          </cell>
          <cell r="G335" t="str">
            <v>5KS213SS308</v>
          </cell>
          <cell r="I335" t="str">
            <v>213T</v>
          </cell>
          <cell r="K335" t="str">
            <v>3</v>
          </cell>
          <cell r="L335" t="str">
            <v>1175</v>
          </cell>
          <cell r="O335" t="str">
            <v>Full no Cord</v>
          </cell>
          <cell r="P335" t="str">
            <v>TEFC</v>
          </cell>
          <cell r="R335" t="str">
            <v>Continuous</v>
          </cell>
          <cell r="S335" t="str">
            <v>No</v>
          </cell>
          <cell r="T335" t="str">
            <v>Other</v>
          </cell>
          <cell r="U335" t="str">
            <v>40</v>
          </cell>
          <cell r="V335" t="str">
            <v>3</v>
          </cell>
          <cell r="W335" t="str">
            <v>60</v>
          </cell>
          <cell r="X335" t="str">
            <v>460</v>
          </cell>
          <cell r="Y335" t="str">
            <v>4.5</v>
          </cell>
          <cell r="AA335" t="str">
            <v>F1</v>
          </cell>
          <cell r="AG335" t="str">
            <v>HP</v>
          </cell>
          <cell r="AI335" t="str">
            <v>40BL02P</v>
          </cell>
          <cell r="AJ335" t="str">
            <v>40BC02J3</v>
          </cell>
          <cell r="AO335" t="str">
            <v>K</v>
          </cell>
          <cell r="AQ335" t="str">
            <v>F</v>
          </cell>
          <cell r="AS335" t="str">
            <v>1.15</v>
          </cell>
          <cell r="AT335" t="str">
            <v>89.5</v>
          </cell>
          <cell r="AV335" t="b">
            <v>0</v>
          </cell>
          <cell r="AW335" t="str">
            <v>4.5</v>
          </cell>
          <cell r="HD335" t="str">
            <v>Repair Shop</v>
          </cell>
          <cell r="HT335" t="b">
            <v>0</v>
          </cell>
          <cell r="HU335" t="str">
            <v>VALERO REFINING CO. BENICIA</v>
          </cell>
        </row>
        <row r="336">
          <cell r="A336">
            <v>5450</v>
          </cell>
          <cell r="B336" t="str">
            <v>VEM1370</v>
          </cell>
          <cell r="D336" t="str">
            <v>CONHAGEN</v>
          </cell>
          <cell r="AG336" t="str">
            <v>HP</v>
          </cell>
          <cell r="AV336" t="b">
            <v>0</v>
          </cell>
          <cell r="HD336" t="str">
            <v>Repair Shop</v>
          </cell>
          <cell r="HT336" t="b">
            <v>0</v>
          </cell>
          <cell r="HU336" t="str">
            <v>ALFRED CONHAGEN CO. OF CA</v>
          </cell>
        </row>
        <row r="337">
          <cell r="A337">
            <v>5448</v>
          </cell>
          <cell r="B337" t="str">
            <v>VEM1368</v>
          </cell>
          <cell r="D337" t="str">
            <v>P66</v>
          </cell>
          <cell r="F337" t="str">
            <v>Siemens</v>
          </cell>
          <cell r="H337" t="str">
            <v>Q2-E15T00377MPI 00I</v>
          </cell>
          <cell r="I337" t="str">
            <v>405TS</v>
          </cell>
          <cell r="K337" t="str">
            <v>100</v>
          </cell>
          <cell r="L337" t="str">
            <v>3570</v>
          </cell>
          <cell r="N337" t="str">
            <v>1100</v>
          </cell>
          <cell r="P337" t="str">
            <v>TEFC</v>
          </cell>
          <cell r="R337" t="str">
            <v>Continuous</v>
          </cell>
          <cell r="U337" t="str">
            <v>40</v>
          </cell>
          <cell r="V337" t="str">
            <v>3</v>
          </cell>
          <cell r="W337" t="str">
            <v>60</v>
          </cell>
          <cell r="X337" t="str">
            <v>460</v>
          </cell>
          <cell r="Y337" t="str">
            <v>108</v>
          </cell>
          <cell r="AA337" t="str">
            <v>F1</v>
          </cell>
          <cell r="AG337" t="str">
            <v>HP</v>
          </cell>
          <cell r="AI337" t="str">
            <v>80BC03JP3</v>
          </cell>
          <cell r="AJ337" t="str">
            <v>80BC03JP3</v>
          </cell>
          <cell r="AO337" t="str">
            <v>B</v>
          </cell>
          <cell r="AQ337" t="str">
            <v>F</v>
          </cell>
          <cell r="AS337" t="str">
            <v>1.15</v>
          </cell>
          <cell r="AV337" t="b">
            <v>0</v>
          </cell>
          <cell r="HD337" t="str">
            <v>Repair Shop</v>
          </cell>
          <cell r="HT337" t="b">
            <v>0</v>
          </cell>
          <cell r="HU337" t="str">
            <v>PHILLIPS 66</v>
          </cell>
        </row>
        <row r="338">
          <cell r="A338">
            <v>5447</v>
          </cell>
          <cell r="B338" t="str">
            <v>VEM1367</v>
          </cell>
          <cell r="D338" t="str">
            <v>CONHAGEN</v>
          </cell>
          <cell r="AG338" t="str">
            <v>HP</v>
          </cell>
          <cell r="AV338" t="b">
            <v>0</v>
          </cell>
          <cell r="HD338" t="str">
            <v>Repair Shop</v>
          </cell>
          <cell r="HT338" t="b">
            <v>0</v>
          </cell>
          <cell r="HU338" t="str">
            <v>ALFRED CONHAGEN CO. OF CA</v>
          </cell>
        </row>
        <row r="339">
          <cell r="A339">
            <v>5446</v>
          </cell>
          <cell r="B339" t="str">
            <v>FE1038</v>
          </cell>
          <cell r="D339" t="str">
            <v>DISCOVERY</v>
          </cell>
          <cell r="AD339" t="str">
            <v>0</v>
          </cell>
          <cell r="AG339" t="str">
            <v>HP</v>
          </cell>
          <cell r="AV339" t="b">
            <v>0</v>
          </cell>
          <cell r="HD339" t="str">
            <v>Field Service</v>
          </cell>
          <cell r="HT339" t="b">
            <v>0</v>
          </cell>
          <cell r="HU339" t="str">
            <v>SIX FLAGS DISCOVERY KINGDOM</v>
          </cell>
        </row>
        <row r="340">
          <cell r="A340">
            <v>5445</v>
          </cell>
          <cell r="B340" t="str">
            <v>VEM1366</v>
          </cell>
          <cell r="D340" t="str">
            <v>VALERO</v>
          </cell>
          <cell r="F340" t="str">
            <v>Westinghouse</v>
          </cell>
          <cell r="G340" t="str">
            <v>ABFC</v>
          </cell>
          <cell r="H340" t="str">
            <v>627B502043-X</v>
          </cell>
          <cell r="I340" t="str">
            <v>324UP</v>
          </cell>
          <cell r="K340" t="str">
            <v>30</v>
          </cell>
          <cell r="L340" t="str">
            <v>3525</v>
          </cell>
          <cell r="O340" t="str">
            <v>None</v>
          </cell>
          <cell r="P340" t="str">
            <v>TEFC</v>
          </cell>
          <cell r="R340" t="str">
            <v>Continuous</v>
          </cell>
          <cell r="S340" t="str">
            <v>Yes</v>
          </cell>
          <cell r="T340" t="str">
            <v>Other</v>
          </cell>
          <cell r="U340" t="str">
            <v>40</v>
          </cell>
          <cell r="V340" t="str">
            <v>3</v>
          </cell>
          <cell r="W340" t="str">
            <v>60</v>
          </cell>
          <cell r="X340" t="str">
            <v>230/460</v>
          </cell>
          <cell r="Y340" t="str">
            <v>68/34</v>
          </cell>
          <cell r="AA340" t="str">
            <v>Vertical</v>
          </cell>
          <cell r="AG340" t="str">
            <v>HP</v>
          </cell>
          <cell r="AI340" t="str">
            <v>386P429G01</v>
          </cell>
          <cell r="AJ340" t="str">
            <v>386P421001</v>
          </cell>
          <cell r="AQ340" t="str">
            <v>B</v>
          </cell>
          <cell r="AS340" t="str">
            <v>1</v>
          </cell>
          <cell r="AV340" t="b">
            <v>0</v>
          </cell>
          <cell r="HD340" t="str">
            <v>Repair Shop</v>
          </cell>
          <cell r="HT340" t="b">
            <v>0</v>
          </cell>
          <cell r="HU340" t="str">
            <v>VALERO REFINING CO. BENICIA</v>
          </cell>
        </row>
        <row r="341">
          <cell r="A341">
            <v>5444</v>
          </cell>
          <cell r="B341" t="str">
            <v>VEM1365</v>
          </cell>
          <cell r="D341" t="str">
            <v>SIXFLAGSHURRICA</v>
          </cell>
          <cell r="F341" t="str">
            <v>Baldor</v>
          </cell>
          <cell r="H341" t="str">
            <v>Z1204090017</v>
          </cell>
          <cell r="I341" t="str">
            <v>286JM</v>
          </cell>
          <cell r="K341" t="str">
            <v>30</v>
          </cell>
          <cell r="L341" t="str">
            <v>1760</v>
          </cell>
          <cell r="O341" t="str">
            <v>Half no Cord</v>
          </cell>
          <cell r="P341" t="str">
            <v>TEFC</v>
          </cell>
          <cell r="R341" t="str">
            <v>Continuous</v>
          </cell>
          <cell r="S341" t="str">
            <v>Yes</v>
          </cell>
          <cell r="U341" t="str">
            <v>40</v>
          </cell>
          <cell r="V341" t="str">
            <v>3</v>
          </cell>
          <cell r="W341" t="str">
            <v>60</v>
          </cell>
          <cell r="X341" t="str">
            <v>230/460</v>
          </cell>
          <cell r="Y341" t="str">
            <v>72/36</v>
          </cell>
          <cell r="AA341" t="str">
            <v>F1</v>
          </cell>
          <cell r="AD341" t="str">
            <v>0</v>
          </cell>
          <cell r="AG341" t="str">
            <v>HP</v>
          </cell>
          <cell r="AI341" t="str">
            <v>6312</v>
          </cell>
          <cell r="AJ341" t="str">
            <v>6208</v>
          </cell>
          <cell r="AO341" t="str">
            <v>B</v>
          </cell>
          <cell r="AP341" t="str">
            <v>H</v>
          </cell>
          <cell r="AQ341" t="str">
            <v>B</v>
          </cell>
          <cell r="AR341" t="str">
            <v>84</v>
          </cell>
          <cell r="AS341" t="str">
            <v>1.15</v>
          </cell>
          <cell r="AT341" t="str">
            <v>92.4</v>
          </cell>
          <cell r="AU341" t="str">
            <v>39N090W960H1</v>
          </cell>
          <cell r="AV341" t="b">
            <v>0</v>
          </cell>
          <cell r="EW341" t="str">
            <v>JMM2535T</v>
          </cell>
          <cell r="HD341" t="str">
            <v>Repair Shop</v>
          </cell>
          <cell r="HT341" t="b">
            <v>0</v>
          </cell>
          <cell r="HU341" t="str">
            <v>SIX FLAGS HURRICANE HARBOR CONCORD</v>
          </cell>
        </row>
        <row r="342">
          <cell r="A342">
            <v>5443</v>
          </cell>
          <cell r="B342" t="str">
            <v>VEM1364</v>
          </cell>
          <cell r="D342" t="str">
            <v>SIXFLAGSHURRICA</v>
          </cell>
          <cell r="F342" t="str">
            <v>Marathon</v>
          </cell>
          <cell r="G342" t="str">
            <v>M 400TTDS8699AP</v>
          </cell>
          <cell r="H342" t="str">
            <v>S304412</v>
          </cell>
          <cell r="I342" t="str">
            <v>404TGZ</v>
          </cell>
          <cell r="K342" t="str">
            <v>100</v>
          </cell>
          <cell r="L342" t="str">
            <v>1775</v>
          </cell>
          <cell r="O342" t="str">
            <v>None</v>
          </cell>
          <cell r="P342" t="str">
            <v>TEFC</v>
          </cell>
          <cell r="R342" t="str">
            <v>Continuous</v>
          </cell>
          <cell r="S342" t="str">
            <v>No</v>
          </cell>
          <cell r="U342" t="str">
            <v>40</v>
          </cell>
          <cell r="V342" t="str">
            <v>3</v>
          </cell>
          <cell r="W342" t="str">
            <v>60</v>
          </cell>
          <cell r="X342" t="str">
            <v>460</v>
          </cell>
          <cell r="Y342" t="str">
            <v>119</v>
          </cell>
          <cell r="AA342" t="str">
            <v>F1</v>
          </cell>
          <cell r="AG342" t="str">
            <v>HP</v>
          </cell>
          <cell r="AO342" t="str">
            <v>B</v>
          </cell>
          <cell r="AR342" t="str">
            <v>84.5</v>
          </cell>
          <cell r="AS342" t="str">
            <v>1.15</v>
          </cell>
          <cell r="AT342" t="str">
            <v>93</v>
          </cell>
          <cell r="AV342" t="b">
            <v>0</v>
          </cell>
          <cell r="HD342" t="str">
            <v>Repair Shop</v>
          </cell>
          <cell r="HT342" t="b">
            <v>0</v>
          </cell>
          <cell r="HU342" t="str">
            <v>SIX FLAGS HURRICANE HARBOR CONCORD</v>
          </cell>
        </row>
        <row r="343">
          <cell r="A343">
            <v>5442</v>
          </cell>
          <cell r="B343" t="str">
            <v>VEM1363</v>
          </cell>
          <cell r="D343" t="str">
            <v>P66</v>
          </cell>
          <cell r="AG343" t="str">
            <v>HP</v>
          </cell>
          <cell r="AV343" t="b">
            <v>0</v>
          </cell>
          <cell r="HD343" t="str">
            <v>Repair Shop</v>
          </cell>
          <cell r="HT343" t="b">
            <v>0</v>
          </cell>
          <cell r="HU343" t="str">
            <v>PHILLIPS 66</v>
          </cell>
        </row>
        <row r="344">
          <cell r="A344">
            <v>5441</v>
          </cell>
          <cell r="B344" t="str">
            <v>VEM1362</v>
          </cell>
          <cell r="D344" t="str">
            <v>VALERO</v>
          </cell>
          <cell r="AG344" t="str">
            <v>HP</v>
          </cell>
          <cell r="AV344" t="b">
            <v>0</v>
          </cell>
          <cell r="BD344" t="str">
            <v>1.5 K  3-4</v>
          </cell>
          <cell r="BF344" t="str">
            <v>No</v>
          </cell>
          <cell r="HD344" t="str">
            <v>Repair Shop</v>
          </cell>
          <cell r="HT344" t="b">
            <v>0</v>
          </cell>
          <cell r="HU344" t="str">
            <v>VALERO REFINING CO. BENICIA</v>
          </cell>
        </row>
        <row r="345">
          <cell r="A345">
            <v>5440</v>
          </cell>
          <cell r="B345" t="str">
            <v>VEM1361</v>
          </cell>
          <cell r="D345" t="str">
            <v>VALERO</v>
          </cell>
          <cell r="F345" t="str">
            <v>US Motors</v>
          </cell>
          <cell r="I345" t="str">
            <v>182JP</v>
          </cell>
          <cell r="K345" t="str">
            <v>3</v>
          </cell>
          <cell r="L345" t="str">
            <v>1750</v>
          </cell>
          <cell r="O345" t="str">
            <v>Full no Cord</v>
          </cell>
          <cell r="P345" t="str">
            <v>TEFC</v>
          </cell>
          <cell r="Q345" t="str">
            <v>Yes</v>
          </cell>
          <cell r="R345" t="str">
            <v>Continuous</v>
          </cell>
          <cell r="S345" t="str">
            <v>No</v>
          </cell>
          <cell r="U345" t="str">
            <v>40</v>
          </cell>
          <cell r="V345" t="str">
            <v>3</v>
          </cell>
          <cell r="W345" t="str">
            <v>60</v>
          </cell>
          <cell r="X345" t="str">
            <v>230/460</v>
          </cell>
          <cell r="Y345" t="str">
            <v>9/4.5</v>
          </cell>
          <cell r="AA345" t="str">
            <v>F1</v>
          </cell>
          <cell r="AD345" t="str">
            <v>0</v>
          </cell>
          <cell r="AG345" t="str">
            <v>HP</v>
          </cell>
          <cell r="AO345" t="str">
            <v>B</v>
          </cell>
          <cell r="AP345" t="str">
            <v>K</v>
          </cell>
          <cell r="AQ345" t="str">
            <v>F</v>
          </cell>
          <cell r="AS345" t="str">
            <v>1.25</v>
          </cell>
          <cell r="AV345" t="b">
            <v>0</v>
          </cell>
          <cell r="EX345" t="str">
            <v>B028/R10R259R070F</v>
          </cell>
          <cell r="HD345" t="str">
            <v>Repair Shop</v>
          </cell>
          <cell r="HT345" t="b">
            <v>0</v>
          </cell>
          <cell r="HU345" t="str">
            <v>VALERO REFINING CO. BENICIA</v>
          </cell>
        </row>
        <row r="346">
          <cell r="A346">
            <v>5439</v>
          </cell>
          <cell r="B346" t="str">
            <v>VEM1360</v>
          </cell>
          <cell r="D346" t="str">
            <v>CITYOFBENICIA</v>
          </cell>
          <cell r="F346" t="str">
            <v>Barnes pump</v>
          </cell>
          <cell r="H346" t="str">
            <v>C1112576-030</v>
          </cell>
          <cell r="K346" t="str">
            <v>3</v>
          </cell>
          <cell r="L346" t="str">
            <v>1750</v>
          </cell>
          <cell r="O346" t="str">
            <v>Full w/ Cord</v>
          </cell>
          <cell r="R346" t="str">
            <v>Continuous</v>
          </cell>
          <cell r="V346" t="str">
            <v>3</v>
          </cell>
          <cell r="W346" t="str">
            <v>60</v>
          </cell>
          <cell r="X346" t="str">
            <v>460</v>
          </cell>
          <cell r="Y346" t="str">
            <v>9.0</v>
          </cell>
          <cell r="AD346" t="str">
            <v>0</v>
          </cell>
          <cell r="AG346" t="str">
            <v>HP</v>
          </cell>
          <cell r="AP346" t="str">
            <v>D</v>
          </cell>
          <cell r="AV346" t="b">
            <v>0</v>
          </cell>
          <cell r="GK346" t="str">
            <v>Part# 088819</v>
          </cell>
          <cell r="HD346" t="str">
            <v>Repair Shop</v>
          </cell>
          <cell r="HT346" t="b">
            <v>0</v>
          </cell>
          <cell r="HU346" t="str">
            <v>CITY OF BENICIA, WATER TREATMENT PLANT</v>
          </cell>
        </row>
        <row r="347">
          <cell r="A347">
            <v>5438</v>
          </cell>
          <cell r="B347" t="str">
            <v>VEM1359</v>
          </cell>
          <cell r="D347" t="str">
            <v>CONHAGEN</v>
          </cell>
          <cell r="F347" t="str">
            <v>Westinghouse</v>
          </cell>
          <cell r="G347" t="str">
            <v>TBFC</v>
          </cell>
          <cell r="I347" t="str">
            <v>286HPZ</v>
          </cell>
          <cell r="K347" t="str">
            <v>30</v>
          </cell>
          <cell r="L347" t="str">
            <v>3535</v>
          </cell>
          <cell r="O347" t="str">
            <v>None</v>
          </cell>
          <cell r="P347" t="str">
            <v>TEFC</v>
          </cell>
          <cell r="R347" t="str">
            <v>Continuous</v>
          </cell>
          <cell r="S347" t="str">
            <v>Yes</v>
          </cell>
          <cell r="T347" t="str">
            <v>none</v>
          </cell>
          <cell r="U347" t="str">
            <v>40</v>
          </cell>
          <cell r="V347" t="str">
            <v>3</v>
          </cell>
          <cell r="W347" t="str">
            <v>60</v>
          </cell>
          <cell r="X347" t="str">
            <v>230)460</v>
          </cell>
          <cell r="Y347" t="str">
            <v>72/36</v>
          </cell>
          <cell r="AA347" t="str">
            <v>F1</v>
          </cell>
          <cell r="AG347" t="str">
            <v>HP</v>
          </cell>
          <cell r="AI347" t="str">
            <v>55BCO3JPP3</v>
          </cell>
          <cell r="AJ347" t="str">
            <v>45BC02JPP3</v>
          </cell>
          <cell r="AO347" t="str">
            <v>B</v>
          </cell>
          <cell r="AP347" t="str">
            <v>F</v>
          </cell>
          <cell r="AQ347" t="str">
            <v>B</v>
          </cell>
          <cell r="AS347" t="str">
            <v>11</v>
          </cell>
          <cell r="AV347" t="b">
            <v>0</v>
          </cell>
          <cell r="EW347" t="str">
            <v>P.M.R.INSUL</v>
          </cell>
          <cell r="HD347" t="str">
            <v>Repair Shop</v>
          </cell>
          <cell r="HT347" t="b">
            <v>0</v>
          </cell>
          <cell r="HU347" t="str">
            <v>ALFRED CONHAGEN CO. OF CA</v>
          </cell>
        </row>
        <row r="348">
          <cell r="A348">
            <v>5437</v>
          </cell>
          <cell r="B348" t="str">
            <v>VEM1358</v>
          </cell>
          <cell r="D348" t="str">
            <v>P66</v>
          </cell>
          <cell r="AG348" t="str">
            <v>HP</v>
          </cell>
          <cell r="AV348" t="b">
            <v>0</v>
          </cell>
          <cell r="HD348" t="str">
            <v>Repair Shop</v>
          </cell>
          <cell r="HT348" t="b">
            <v>0</v>
          </cell>
          <cell r="HU348" t="str">
            <v>PHILLIPS 66</v>
          </cell>
        </row>
        <row r="349">
          <cell r="A349">
            <v>5436</v>
          </cell>
          <cell r="B349" t="str">
            <v>VEM1357</v>
          </cell>
          <cell r="D349" t="str">
            <v>P66</v>
          </cell>
          <cell r="AG349" t="str">
            <v>HP</v>
          </cell>
          <cell r="AV349" t="b">
            <v>0</v>
          </cell>
          <cell r="HD349" t="str">
            <v>Repair Shop</v>
          </cell>
          <cell r="HT349" t="b">
            <v>0</v>
          </cell>
          <cell r="HU349" t="str">
            <v>PHILLIPS 66</v>
          </cell>
        </row>
        <row r="350">
          <cell r="A350">
            <v>5435</v>
          </cell>
          <cell r="B350" t="str">
            <v>VEM1356</v>
          </cell>
          <cell r="D350" t="str">
            <v>BAYVALVE</v>
          </cell>
          <cell r="F350" t="str">
            <v>Rotor Torque MOV</v>
          </cell>
          <cell r="O350" t="str">
            <v>None</v>
          </cell>
          <cell r="P350" t="str">
            <v>TEFC</v>
          </cell>
          <cell r="S350" t="str">
            <v>No</v>
          </cell>
          <cell r="T350" t="str">
            <v>None</v>
          </cell>
          <cell r="V350" t="str">
            <v>60</v>
          </cell>
          <cell r="W350" t="str">
            <v>3</v>
          </cell>
          <cell r="AA350" t="str">
            <v>Other</v>
          </cell>
          <cell r="AV350" t="b">
            <v>0</v>
          </cell>
          <cell r="HD350" t="str">
            <v>Repair Shop</v>
          </cell>
          <cell r="HT350" t="b">
            <v>0</v>
          </cell>
          <cell r="HU350" t="str">
            <v>BAY VALVE SERVICE</v>
          </cell>
        </row>
        <row r="351">
          <cell r="A351">
            <v>5434</v>
          </cell>
          <cell r="B351" t="str">
            <v>VEM1355</v>
          </cell>
          <cell r="D351" t="str">
            <v>VALERO</v>
          </cell>
          <cell r="AG351" t="str">
            <v>HP</v>
          </cell>
          <cell r="AV351" t="b">
            <v>0</v>
          </cell>
          <cell r="AY351" t="str">
            <v>Sunflo Pumo Series</v>
          </cell>
          <cell r="AZ351" t="str">
            <v>P-1AOC</v>
          </cell>
          <cell r="BA351" t="str">
            <v>87432135</v>
          </cell>
          <cell r="HD351" t="str">
            <v>Repair Shop</v>
          </cell>
          <cell r="HT351" t="b">
            <v>0</v>
          </cell>
          <cell r="HU351" t="str">
            <v>VALERO REFINING CO. BENICIA</v>
          </cell>
        </row>
        <row r="352">
          <cell r="A352">
            <v>5433</v>
          </cell>
          <cell r="B352" t="str">
            <v>VEM1354</v>
          </cell>
          <cell r="D352" t="str">
            <v>VALERO</v>
          </cell>
          <cell r="F352" t="str">
            <v>US Motors</v>
          </cell>
          <cell r="I352" t="str">
            <v>213TC</v>
          </cell>
          <cell r="K352" t="str">
            <v>3</v>
          </cell>
          <cell r="L352" t="str">
            <v>1175</v>
          </cell>
          <cell r="O352" t="str">
            <v>Full no Cord</v>
          </cell>
          <cell r="P352" t="str">
            <v>TEFC</v>
          </cell>
          <cell r="Q352" t="str">
            <v>Yes</v>
          </cell>
          <cell r="R352" t="str">
            <v>Continuous</v>
          </cell>
          <cell r="T352" t="str">
            <v>No</v>
          </cell>
          <cell r="U352" t="str">
            <v>40</v>
          </cell>
          <cell r="V352" t="str">
            <v>3</v>
          </cell>
          <cell r="W352" t="str">
            <v>60</v>
          </cell>
          <cell r="X352" t="str">
            <v>208/230/460</v>
          </cell>
          <cell r="Y352" t="str">
            <v>9.3/8.6/4.3</v>
          </cell>
          <cell r="AA352" t="str">
            <v>F1</v>
          </cell>
          <cell r="AG352" t="str">
            <v>HP</v>
          </cell>
          <cell r="AI352" t="str">
            <v>6208-2Z-J/C3</v>
          </cell>
          <cell r="AJ352" t="str">
            <v>6206-2Z-J/C3</v>
          </cell>
          <cell r="AO352" t="str">
            <v>B</v>
          </cell>
          <cell r="AP352" t="str">
            <v>J</v>
          </cell>
          <cell r="AQ352" t="str">
            <v>F</v>
          </cell>
          <cell r="AR352" t="str">
            <v>72.8</v>
          </cell>
          <cell r="AS352" t="str">
            <v>1.25</v>
          </cell>
          <cell r="AT352" t="str">
            <v>89.5</v>
          </cell>
          <cell r="AV352" t="b">
            <v>0</v>
          </cell>
          <cell r="EW352" t="str">
            <v>U3P3D-C</v>
          </cell>
          <cell r="EX352" t="str">
            <v>S01-30721259-0001-GT-01</v>
          </cell>
          <cell r="HD352" t="str">
            <v>Repair Shop</v>
          </cell>
          <cell r="HT352" t="b">
            <v>0</v>
          </cell>
          <cell r="HU352" t="str">
            <v>VALERO REFINING CO. BENICIA</v>
          </cell>
        </row>
        <row r="353">
          <cell r="A353">
            <v>5432</v>
          </cell>
          <cell r="B353" t="str">
            <v>VEM1353</v>
          </cell>
          <cell r="D353" t="str">
            <v>EDF RENEWABLES</v>
          </cell>
          <cell r="AG353" t="str">
            <v>HP</v>
          </cell>
          <cell r="AV353" t="b">
            <v>0</v>
          </cell>
          <cell r="HD353" t="str">
            <v>Repair Shop</v>
          </cell>
          <cell r="HT353" t="b">
            <v>0</v>
          </cell>
          <cell r="HU353" t="str">
            <v>EDF RENEWABLES</v>
          </cell>
        </row>
        <row r="354">
          <cell r="A354">
            <v>5431</v>
          </cell>
          <cell r="B354" t="str">
            <v>VEM1352</v>
          </cell>
          <cell r="D354" t="str">
            <v>MEZZETTA</v>
          </cell>
          <cell r="O354" t="str">
            <v>None</v>
          </cell>
          <cell r="P354" t="str">
            <v>TEFC</v>
          </cell>
          <cell r="S354" t="str">
            <v>No</v>
          </cell>
          <cell r="T354" t="str">
            <v>No</v>
          </cell>
          <cell r="V354" t="str">
            <v>3</v>
          </cell>
          <cell r="W354" t="str">
            <v>60</v>
          </cell>
          <cell r="AA354" t="str">
            <v>F1</v>
          </cell>
          <cell r="AV354" t="b">
            <v>0</v>
          </cell>
          <cell r="HD354" t="str">
            <v>Repair Shop</v>
          </cell>
          <cell r="HT354" t="b">
            <v>0</v>
          </cell>
          <cell r="HU354" t="str">
            <v>G.L. MEZZETTA, INC.</v>
          </cell>
        </row>
        <row r="355">
          <cell r="A355">
            <v>5430</v>
          </cell>
          <cell r="B355" t="str">
            <v>VEM1351</v>
          </cell>
          <cell r="D355" t="str">
            <v>VALERO</v>
          </cell>
          <cell r="AG355" t="str">
            <v>HP</v>
          </cell>
          <cell r="AV355" t="b">
            <v>0</v>
          </cell>
          <cell r="HD355" t="str">
            <v>Repair Shop</v>
          </cell>
          <cell r="HT355" t="b">
            <v>0</v>
          </cell>
          <cell r="HU355" t="str">
            <v>VALERO REFINING CO. BENICIA</v>
          </cell>
        </row>
        <row r="356">
          <cell r="A356">
            <v>5429</v>
          </cell>
          <cell r="B356" t="str">
            <v>VEM1350</v>
          </cell>
          <cell r="D356" t="str">
            <v>VALERO</v>
          </cell>
          <cell r="F356" t="str">
            <v>Westinghouse</v>
          </cell>
          <cell r="G356" t="str">
            <v>TBFC</v>
          </cell>
          <cell r="H356" t="str">
            <v>6801</v>
          </cell>
          <cell r="I356" t="str">
            <v>215TP</v>
          </cell>
          <cell r="K356" t="str">
            <v>10</v>
          </cell>
          <cell r="L356" t="str">
            <v>1745</v>
          </cell>
          <cell r="O356" t="str">
            <v>Full no Cord</v>
          </cell>
          <cell r="P356" t="str">
            <v>TEFC</v>
          </cell>
          <cell r="R356" t="str">
            <v>Continuous</v>
          </cell>
          <cell r="S356" t="str">
            <v>No</v>
          </cell>
          <cell r="T356" t="str">
            <v>No</v>
          </cell>
          <cell r="U356" t="str">
            <v>40</v>
          </cell>
          <cell r="V356" t="str">
            <v>3</v>
          </cell>
          <cell r="W356" t="str">
            <v>60</v>
          </cell>
          <cell r="X356" t="str">
            <v>460</v>
          </cell>
          <cell r="Y356" t="str">
            <v>12.7</v>
          </cell>
          <cell r="AA356" t="str">
            <v>F1</v>
          </cell>
          <cell r="AG356" t="str">
            <v>HP</v>
          </cell>
          <cell r="AO356" t="str">
            <v>B</v>
          </cell>
          <cell r="AV356" t="b">
            <v>0</v>
          </cell>
          <cell r="HD356" t="str">
            <v>Repair Shop</v>
          </cell>
          <cell r="HT356" t="b">
            <v>0</v>
          </cell>
          <cell r="HU356" t="str">
            <v>VALERO REFINING CO. BENICIA</v>
          </cell>
        </row>
        <row r="357">
          <cell r="A357">
            <v>5428</v>
          </cell>
          <cell r="B357" t="str">
            <v>VEM1349</v>
          </cell>
          <cell r="D357" t="str">
            <v>VALLEJOSAN</v>
          </cell>
          <cell r="F357" t="str">
            <v>Siemens</v>
          </cell>
          <cell r="H357" t="str">
            <v>K01 10095EU 10</v>
          </cell>
          <cell r="I357" t="str">
            <v>286T</v>
          </cell>
          <cell r="K357" t="str">
            <v>30</v>
          </cell>
          <cell r="L357" t="str">
            <v>1765</v>
          </cell>
          <cell r="M357" t="str">
            <v>RGZPSD</v>
          </cell>
          <cell r="O357" t="str">
            <v>None</v>
          </cell>
          <cell r="P357" t="str">
            <v>TEFC</v>
          </cell>
          <cell r="R357" t="str">
            <v>Continuous</v>
          </cell>
          <cell r="S357" t="str">
            <v>Yes</v>
          </cell>
          <cell r="U357" t="str">
            <v>40</v>
          </cell>
          <cell r="V357" t="str">
            <v>3</v>
          </cell>
          <cell r="W357" t="str">
            <v>60</v>
          </cell>
          <cell r="X357" t="str">
            <v>230  DD/460</v>
          </cell>
          <cell r="Y357" t="str">
            <v>69.8/34.9</v>
          </cell>
          <cell r="AA357" t="str">
            <v>F1</v>
          </cell>
          <cell r="AG357" t="str">
            <v>HP</v>
          </cell>
          <cell r="AO357" t="str">
            <v>B</v>
          </cell>
          <cell r="AQ357" t="str">
            <v>F</v>
          </cell>
          <cell r="AS357" t="str">
            <v>1.15</v>
          </cell>
          <cell r="AT357" t="str">
            <v>92.4</v>
          </cell>
          <cell r="AV357" t="b">
            <v>0</v>
          </cell>
          <cell r="HD357" t="str">
            <v>Repair Shop</v>
          </cell>
          <cell r="HT357" t="b">
            <v>0</v>
          </cell>
          <cell r="HU357" t="str">
            <v>VALLEJO FLOOD &amp; WASTEWATER DISTRICT</v>
          </cell>
        </row>
        <row r="358">
          <cell r="A358">
            <v>5427</v>
          </cell>
          <cell r="B358" t="str">
            <v>VEM1348</v>
          </cell>
          <cell r="D358" t="str">
            <v>FAIRFIELDUNIF.</v>
          </cell>
          <cell r="F358" t="str">
            <v>US Motors</v>
          </cell>
          <cell r="G358" t="str">
            <v>H11904</v>
          </cell>
          <cell r="I358" t="str">
            <v>286TPH</v>
          </cell>
          <cell r="K358" t="str">
            <v>20</v>
          </cell>
          <cell r="L358" t="str">
            <v>1170</v>
          </cell>
          <cell r="O358" t="str">
            <v>None</v>
          </cell>
          <cell r="R358" t="str">
            <v>Continuous</v>
          </cell>
          <cell r="S358" t="str">
            <v>No</v>
          </cell>
          <cell r="T358" t="str">
            <v>Other</v>
          </cell>
          <cell r="U358" t="str">
            <v>40</v>
          </cell>
          <cell r="V358" t="str">
            <v>3</v>
          </cell>
          <cell r="W358" t="str">
            <v>60</v>
          </cell>
          <cell r="X358" t="str">
            <v>230/460</v>
          </cell>
          <cell r="Y358" t="str">
            <v>51.0/25.5</v>
          </cell>
          <cell r="AA358" t="str">
            <v>Vertical</v>
          </cell>
          <cell r="AD358" t="str">
            <v>0</v>
          </cell>
          <cell r="AG358" t="str">
            <v>HP</v>
          </cell>
          <cell r="AR358" t="str">
            <v>84.1</v>
          </cell>
          <cell r="AS358" t="str">
            <v>1.15</v>
          </cell>
          <cell r="AT358" t="str">
            <v>87.5</v>
          </cell>
          <cell r="AV358" t="b">
            <v>0</v>
          </cell>
          <cell r="EW358" t="str">
            <v>H02033BL6</v>
          </cell>
          <cell r="EX358" t="str">
            <v>F07 01070271</v>
          </cell>
          <cell r="HD358" t="str">
            <v>Repair Shop</v>
          </cell>
          <cell r="HT358" t="b">
            <v>0</v>
          </cell>
          <cell r="HU358" t="str">
            <v>FAIRFIELD UNIFIED SCHOOL DISTRICT</v>
          </cell>
        </row>
        <row r="359">
          <cell r="A359">
            <v>5426</v>
          </cell>
          <cell r="B359" t="str">
            <v>VEM1347</v>
          </cell>
          <cell r="D359" t="str">
            <v>VALERO</v>
          </cell>
          <cell r="AG359" t="str">
            <v>HP</v>
          </cell>
          <cell r="AV359" t="b">
            <v>0</v>
          </cell>
          <cell r="HD359" t="str">
            <v>Repair Shop</v>
          </cell>
          <cell r="HT359" t="b">
            <v>0</v>
          </cell>
          <cell r="HU359" t="str">
            <v>VALERO REFINING CO. BENICIA</v>
          </cell>
        </row>
        <row r="360">
          <cell r="A360">
            <v>5425</v>
          </cell>
          <cell r="B360" t="str">
            <v>VEM1346</v>
          </cell>
          <cell r="D360" t="str">
            <v>VALERO</v>
          </cell>
          <cell r="F360" t="str">
            <v>Siemens</v>
          </cell>
          <cell r="I360" t="str">
            <v>444TS</v>
          </cell>
          <cell r="K360" t="str">
            <v>125</v>
          </cell>
          <cell r="L360" t="str">
            <v>3545</v>
          </cell>
          <cell r="N360" t="str">
            <v>600</v>
          </cell>
          <cell r="O360" t="str">
            <v>None</v>
          </cell>
          <cell r="P360" t="str">
            <v>TEFC</v>
          </cell>
          <cell r="R360" t="str">
            <v>Continuous</v>
          </cell>
          <cell r="S360" t="str">
            <v>Yes</v>
          </cell>
          <cell r="T360" t="str">
            <v>Yes</v>
          </cell>
          <cell r="V360" t="str">
            <v>3</v>
          </cell>
          <cell r="W360" t="str">
            <v>60</v>
          </cell>
          <cell r="X360" t="str">
            <v>460</v>
          </cell>
          <cell r="Y360" t="str">
            <v>38</v>
          </cell>
          <cell r="AA360" t="str">
            <v>F1</v>
          </cell>
          <cell r="AG360" t="str">
            <v>HP</v>
          </cell>
          <cell r="AT360" t="str">
            <v>98</v>
          </cell>
          <cell r="AV360" t="b">
            <v>0</v>
          </cell>
          <cell r="HD360" t="str">
            <v>Repair Shop</v>
          </cell>
          <cell r="HT360" t="b">
            <v>0</v>
          </cell>
          <cell r="HU360" t="str">
            <v>VALERO REFINING CO. BENICIA</v>
          </cell>
        </row>
        <row r="361">
          <cell r="A361">
            <v>5424</v>
          </cell>
          <cell r="B361" t="str">
            <v>VEM1345</v>
          </cell>
          <cell r="D361" t="str">
            <v>VALERO</v>
          </cell>
          <cell r="F361" t="str">
            <v>US Motors</v>
          </cell>
          <cell r="H361" t="str">
            <v>Ji422014</v>
          </cell>
          <cell r="I361" t="str">
            <v>405U</v>
          </cell>
          <cell r="K361" t="str">
            <v>60</v>
          </cell>
          <cell r="L361" t="str">
            <v>1770</v>
          </cell>
          <cell r="O361" t="str">
            <v>Full no Cord</v>
          </cell>
          <cell r="P361" t="str">
            <v>TEFC</v>
          </cell>
          <cell r="S361" t="str">
            <v>Yes</v>
          </cell>
          <cell r="U361" t="str">
            <v>65</v>
          </cell>
          <cell r="V361" t="str">
            <v>3</v>
          </cell>
          <cell r="W361" t="str">
            <v>60</v>
          </cell>
          <cell r="X361" t="str">
            <v>440</v>
          </cell>
          <cell r="Y361" t="str">
            <v>74</v>
          </cell>
          <cell r="AA361" t="str">
            <v>F1</v>
          </cell>
          <cell r="AG361" t="str">
            <v>HP</v>
          </cell>
          <cell r="AQ361" t="str">
            <v>B</v>
          </cell>
          <cell r="AS361" t="str">
            <v>1.15</v>
          </cell>
          <cell r="AV361" t="b">
            <v>0</v>
          </cell>
          <cell r="HD361" t="str">
            <v>Repair Shop</v>
          </cell>
          <cell r="HT361" t="b">
            <v>0</v>
          </cell>
          <cell r="HU361" t="str">
            <v>VALERO REFINING CO. BENICIA</v>
          </cell>
        </row>
        <row r="362">
          <cell r="A362">
            <v>5423</v>
          </cell>
          <cell r="B362" t="str">
            <v>VEM1344</v>
          </cell>
          <cell r="D362" t="str">
            <v>VALERO</v>
          </cell>
          <cell r="F362" t="str">
            <v>Allis-Chalmers</v>
          </cell>
          <cell r="G362" t="str">
            <v>611</v>
          </cell>
          <cell r="H362" t="str">
            <v>51-434-d94-238</v>
          </cell>
          <cell r="I362" t="str">
            <v>365U</v>
          </cell>
          <cell r="K362" t="str">
            <v>50</v>
          </cell>
          <cell r="L362" t="str">
            <v>1760</v>
          </cell>
          <cell r="O362" t="str">
            <v>Full no Cord</v>
          </cell>
          <cell r="P362" t="str">
            <v>TEFC</v>
          </cell>
          <cell r="R362" t="str">
            <v>Continuous</v>
          </cell>
          <cell r="S362" t="str">
            <v>Yes</v>
          </cell>
          <cell r="T362" t="str">
            <v>no</v>
          </cell>
          <cell r="V362" t="str">
            <v>3</v>
          </cell>
          <cell r="W362" t="str">
            <v>60</v>
          </cell>
          <cell r="X362" t="str">
            <v>208-220/440</v>
          </cell>
          <cell r="Y362" t="str">
            <v>120-120/60</v>
          </cell>
          <cell r="AA362" t="str">
            <v>F1</v>
          </cell>
          <cell r="AG362" t="str">
            <v>HP</v>
          </cell>
          <cell r="AI362" t="str">
            <v>313SFF</v>
          </cell>
          <cell r="AJ362" t="str">
            <v>313SFF</v>
          </cell>
          <cell r="AO362" t="str">
            <v>B</v>
          </cell>
          <cell r="AQ362" t="str">
            <v>B</v>
          </cell>
          <cell r="AS362" t="str">
            <v>1.0</v>
          </cell>
          <cell r="AV362" t="b">
            <v>0</v>
          </cell>
          <cell r="HD362" t="str">
            <v>Repair Shop</v>
          </cell>
          <cell r="HT362" t="b">
            <v>0</v>
          </cell>
          <cell r="HU362" t="str">
            <v>VALERO REFINING CO. BENICIA</v>
          </cell>
        </row>
        <row r="363">
          <cell r="A363">
            <v>5422</v>
          </cell>
          <cell r="B363" t="str">
            <v>VEM1343</v>
          </cell>
          <cell r="D363" t="str">
            <v>DISCOVERY</v>
          </cell>
          <cell r="F363" t="str">
            <v>Ebmpapst</v>
          </cell>
          <cell r="H363" t="str">
            <v>A2D300-AP08-16</v>
          </cell>
          <cell r="L363" t="str">
            <v>2650</v>
          </cell>
          <cell r="O363" t="str">
            <v>None</v>
          </cell>
          <cell r="R363" t="str">
            <v>Continuous</v>
          </cell>
          <cell r="S363" t="str">
            <v>No</v>
          </cell>
          <cell r="T363" t="str">
            <v>no</v>
          </cell>
          <cell r="X363" t="str">
            <v>230/400</v>
          </cell>
          <cell r="Y363" t="str">
            <v>.51</v>
          </cell>
          <cell r="AA363" t="str">
            <v>Other</v>
          </cell>
          <cell r="AV363" t="b">
            <v>0</v>
          </cell>
          <cell r="HD363" t="str">
            <v>Repair Shop</v>
          </cell>
          <cell r="HT363" t="b">
            <v>0</v>
          </cell>
          <cell r="HU363" t="str">
            <v>SIX FLAGS DISCOVERY KINGDOM</v>
          </cell>
        </row>
        <row r="364">
          <cell r="A364">
            <v>5421</v>
          </cell>
          <cell r="B364" t="str">
            <v>VEM1342</v>
          </cell>
          <cell r="D364" t="str">
            <v>STOCKTONMUNI</v>
          </cell>
          <cell r="F364" t="str">
            <v>Louis Allis Co.</v>
          </cell>
          <cell r="H364" t="str">
            <v>1864235</v>
          </cell>
          <cell r="I364" t="str">
            <v>254C</v>
          </cell>
          <cell r="K364" t="str">
            <v>.75</v>
          </cell>
          <cell r="L364" t="str">
            <v>580</v>
          </cell>
          <cell r="O364" t="str">
            <v>None</v>
          </cell>
          <cell r="P364" t="str">
            <v>TENV</v>
          </cell>
          <cell r="Q364" t="str">
            <v>No</v>
          </cell>
          <cell r="R364" t="str">
            <v>Continuous</v>
          </cell>
          <cell r="S364" t="str">
            <v>No</v>
          </cell>
          <cell r="T364" t="str">
            <v>Yes</v>
          </cell>
          <cell r="U364" t="str">
            <v>55</v>
          </cell>
          <cell r="V364" t="str">
            <v>3</v>
          </cell>
          <cell r="W364" t="str">
            <v>60</v>
          </cell>
          <cell r="X364" t="str">
            <v>220/440</v>
          </cell>
          <cell r="Y364" t="str">
            <v>3.8/1.9</v>
          </cell>
          <cell r="AA364" t="str">
            <v>F2</v>
          </cell>
          <cell r="AG364" t="str">
            <v>HP</v>
          </cell>
          <cell r="AV364" t="b">
            <v>0</v>
          </cell>
          <cell r="HD364" t="str">
            <v>Repair Shop</v>
          </cell>
          <cell r="HT364" t="b">
            <v>0</v>
          </cell>
          <cell r="HU364" t="str">
            <v>CITY OF STOCKTON MUNICIPAL UTILITIES</v>
          </cell>
        </row>
        <row r="365">
          <cell r="A365">
            <v>5420</v>
          </cell>
          <cell r="B365" t="str">
            <v>VEM1341</v>
          </cell>
          <cell r="D365" t="str">
            <v>DISCOVERY</v>
          </cell>
          <cell r="F365" t="str">
            <v>US Motors</v>
          </cell>
          <cell r="G365" t="str">
            <v>DU13</v>
          </cell>
          <cell r="I365" t="str">
            <v>284T</v>
          </cell>
          <cell r="K365" t="str">
            <v>15</v>
          </cell>
          <cell r="L365" t="str">
            <v>1180</v>
          </cell>
          <cell r="N365" t="str">
            <v>380</v>
          </cell>
          <cell r="O365" t="str">
            <v>Full w/ Cord</v>
          </cell>
          <cell r="P365" t="str">
            <v>TEFC</v>
          </cell>
          <cell r="R365" t="str">
            <v>Continuous</v>
          </cell>
          <cell r="S365" t="str">
            <v>Yes</v>
          </cell>
          <cell r="T365" t="str">
            <v>no</v>
          </cell>
          <cell r="U365" t="str">
            <v>40</v>
          </cell>
          <cell r="V365" t="str">
            <v>3</v>
          </cell>
          <cell r="W365" t="str">
            <v>60</v>
          </cell>
          <cell r="X365" t="str">
            <v>230/460</v>
          </cell>
          <cell r="Y365" t="str">
            <v>37/18.40</v>
          </cell>
          <cell r="AA365" t="str">
            <v>F1</v>
          </cell>
          <cell r="AD365" t="str">
            <v>0</v>
          </cell>
          <cell r="AG365" t="str">
            <v>HP</v>
          </cell>
          <cell r="AI365" t="str">
            <v>6310-J/C3</v>
          </cell>
          <cell r="AJ365" t="str">
            <v>6310-J/C3</v>
          </cell>
          <cell r="AQ365" t="str">
            <v>F</v>
          </cell>
          <cell r="AR365" t="str">
            <v>83.2</v>
          </cell>
          <cell r="AS365" t="str">
            <v>1.15</v>
          </cell>
          <cell r="AT365" t="str">
            <v>91.7</v>
          </cell>
          <cell r="AV365" t="b">
            <v>0</v>
          </cell>
          <cell r="EW365" t="str">
            <v>C1SP38</v>
          </cell>
          <cell r="EX365" t="str">
            <v>x117659636-0015</v>
          </cell>
          <cell r="HD365" t="str">
            <v>Repair Shop</v>
          </cell>
          <cell r="HT365" t="b">
            <v>0</v>
          </cell>
          <cell r="HU365" t="str">
            <v>SIX FLAGS DISCOVERY KINGDOM</v>
          </cell>
        </row>
        <row r="366">
          <cell r="A366">
            <v>5419</v>
          </cell>
          <cell r="B366" t="str">
            <v>VEM1340</v>
          </cell>
          <cell r="D366" t="str">
            <v>P66</v>
          </cell>
          <cell r="F366" t="str">
            <v>Siemens Allis</v>
          </cell>
          <cell r="H366" t="str">
            <v>7-5133-62527-1-1</v>
          </cell>
          <cell r="I366" t="str">
            <v>445HP</v>
          </cell>
          <cell r="K366" t="str">
            <v>125/55</v>
          </cell>
          <cell r="L366" t="str">
            <v>1730/1185</v>
          </cell>
          <cell r="M366" t="str">
            <v>RGZVMT</v>
          </cell>
          <cell r="O366" t="str">
            <v>None</v>
          </cell>
          <cell r="P366" t="str">
            <v>TEFC</v>
          </cell>
          <cell r="R366" t="str">
            <v>Continuous</v>
          </cell>
          <cell r="T366" t="str">
            <v>yes</v>
          </cell>
          <cell r="U366" t="str">
            <v>40</v>
          </cell>
          <cell r="V366" t="str">
            <v>3</v>
          </cell>
          <cell r="W366" t="str">
            <v>60</v>
          </cell>
          <cell r="X366" t="str">
            <v>460</v>
          </cell>
          <cell r="Y366" t="str">
            <v>140/64.6</v>
          </cell>
          <cell r="AA366" t="str">
            <v>Vertical</v>
          </cell>
          <cell r="AD366" t="str">
            <v>0</v>
          </cell>
          <cell r="AG366" t="str">
            <v>HP</v>
          </cell>
          <cell r="AP366" t="str">
            <v>G</v>
          </cell>
          <cell r="AQ366" t="str">
            <v>F</v>
          </cell>
          <cell r="AV366" t="b">
            <v>0</v>
          </cell>
          <cell r="GK366" t="str">
            <v>Heater 240 Watt 120 volt.</v>
          </cell>
          <cell r="HD366" t="str">
            <v>Repair Shop</v>
          </cell>
          <cell r="HT366" t="b">
            <v>0</v>
          </cell>
          <cell r="HU366" t="str">
            <v>PHILLIPS 66</v>
          </cell>
        </row>
        <row r="367">
          <cell r="A367">
            <v>5418</v>
          </cell>
          <cell r="B367" t="str">
            <v>VEM1339</v>
          </cell>
          <cell r="D367" t="str">
            <v>CLEANHARBORS</v>
          </cell>
          <cell r="AD367" t="str">
            <v>0</v>
          </cell>
          <cell r="AG367" t="str">
            <v>HP</v>
          </cell>
          <cell r="AV367" t="b">
            <v>0</v>
          </cell>
          <cell r="AY367" t="str">
            <v>Viking Pump</v>
          </cell>
          <cell r="AZ367" t="str">
            <v>LS4124A</v>
          </cell>
          <cell r="BA367" t="str">
            <v>8591700005</v>
          </cell>
          <cell r="HD367" t="str">
            <v>Repair Shop</v>
          </cell>
          <cell r="HT367" t="b">
            <v>0</v>
          </cell>
          <cell r="HU367" t="str">
            <v>CLEAN HARBORS</v>
          </cell>
        </row>
        <row r="368">
          <cell r="A368">
            <v>5417</v>
          </cell>
          <cell r="B368" t="str">
            <v>VEM1338</v>
          </cell>
          <cell r="D368" t="str">
            <v>P66</v>
          </cell>
          <cell r="F368" t="str">
            <v>Ametek</v>
          </cell>
          <cell r="I368" t="str">
            <v>256TCZ</v>
          </cell>
          <cell r="K368" t="str">
            <v>20</v>
          </cell>
          <cell r="L368" t="str">
            <v>3525</v>
          </cell>
          <cell r="O368" t="str">
            <v>None</v>
          </cell>
          <cell r="P368" t="str">
            <v>TEFC</v>
          </cell>
          <cell r="Q368" t="str">
            <v>No</v>
          </cell>
          <cell r="R368" t="str">
            <v>Continuous</v>
          </cell>
          <cell r="S368" t="str">
            <v>No</v>
          </cell>
          <cell r="U368" t="str">
            <v>40</v>
          </cell>
          <cell r="V368" t="str">
            <v>3</v>
          </cell>
          <cell r="W368" t="str">
            <v>60</v>
          </cell>
          <cell r="X368" t="str">
            <v>460</v>
          </cell>
          <cell r="Y368" t="str">
            <v>23</v>
          </cell>
          <cell r="AA368" t="str">
            <v>F2</v>
          </cell>
          <cell r="AG368" t="str">
            <v>HP</v>
          </cell>
          <cell r="AI368" t="str">
            <v>6309</v>
          </cell>
          <cell r="AJ368" t="str">
            <v>6208</v>
          </cell>
          <cell r="AR368" t="str">
            <v>89</v>
          </cell>
          <cell r="AS368" t="str">
            <v>1.1</v>
          </cell>
          <cell r="AT368" t="str">
            <v>89.5</v>
          </cell>
          <cell r="AU368" t="str">
            <v>09S074Y146G1</v>
          </cell>
          <cell r="AV368" t="b">
            <v>0</v>
          </cell>
          <cell r="EX368" t="str">
            <v>2326</v>
          </cell>
          <cell r="HD368" t="str">
            <v>Repair Shop</v>
          </cell>
          <cell r="HT368" t="b">
            <v>0</v>
          </cell>
          <cell r="HU368" t="str">
            <v>PHILLIPS 66</v>
          </cell>
        </row>
        <row r="369">
          <cell r="A369">
            <v>5416</v>
          </cell>
          <cell r="B369" t="str">
            <v>VEM1337</v>
          </cell>
          <cell r="D369" t="str">
            <v>BENICIAWASTE</v>
          </cell>
          <cell r="F369" t="str">
            <v>Flygt</v>
          </cell>
          <cell r="H369" t="str">
            <v>3085.091-0029</v>
          </cell>
          <cell r="K369" t="str">
            <v>3</v>
          </cell>
          <cell r="L369" t="str">
            <v>1700</v>
          </cell>
          <cell r="Q369" t="str">
            <v>No</v>
          </cell>
          <cell r="S369" t="str">
            <v>No</v>
          </cell>
          <cell r="T369" t="str">
            <v>No</v>
          </cell>
          <cell r="V369" t="str">
            <v>3</v>
          </cell>
          <cell r="W369" t="str">
            <v>60</v>
          </cell>
          <cell r="X369" t="str">
            <v>460</v>
          </cell>
          <cell r="Y369" t="str">
            <v>4.3</v>
          </cell>
          <cell r="AD369" t="str">
            <v>0</v>
          </cell>
          <cell r="AG369" t="str">
            <v>HP</v>
          </cell>
          <cell r="AV369" t="b">
            <v>0</v>
          </cell>
          <cell r="GK369" t="str">
            <v>Product no. 9280065</v>
          </cell>
          <cell r="HD369" t="str">
            <v>Repair Shop</v>
          </cell>
          <cell r="HT369" t="b">
            <v>0</v>
          </cell>
          <cell r="HU369" t="str">
            <v>CITY OF BENICIA WASTE WATER</v>
          </cell>
        </row>
        <row r="370">
          <cell r="A370">
            <v>5415</v>
          </cell>
          <cell r="B370" t="str">
            <v>VEM1336</v>
          </cell>
          <cell r="D370" t="str">
            <v>P66</v>
          </cell>
          <cell r="H370" t="str">
            <v>51202171442</v>
          </cell>
          <cell r="I370" t="str">
            <v>56C</v>
          </cell>
          <cell r="K370" t="str">
            <v>1</v>
          </cell>
          <cell r="L370" t="str">
            <v>1735</v>
          </cell>
          <cell r="O370" t="str">
            <v>Full no Cord</v>
          </cell>
          <cell r="P370" t="str">
            <v>TEFC</v>
          </cell>
          <cell r="R370" t="str">
            <v>Continuous</v>
          </cell>
          <cell r="S370" t="str">
            <v>No</v>
          </cell>
          <cell r="T370" t="str">
            <v>no</v>
          </cell>
          <cell r="U370" t="str">
            <v>40</v>
          </cell>
          <cell r="V370" t="str">
            <v>3</v>
          </cell>
          <cell r="W370" t="str">
            <v>60</v>
          </cell>
          <cell r="X370" t="str">
            <v>208-230.460//190/380</v>
          </cell>
          <cell r="Y370" t="str">
            <v>5-4.6/2.3//4.2/2.1</v>
          </cell>
          <cell r="AA370" t="str">
            <v>F1</v>
          </cell>
          <cell r="AG370" t="str">
            <v>HP</v>
          </cell>
          <cell r="AO370" t="str">
            <v>B</v>
          </cell>
          <cell r="AR370" t="str">
            <v>74</v>
          </cell>
          <cell r="AS370" t="str">
            <v>1.00</v>
          </cell>
          <cell r="AT370" t="str">
            <v>81.5</v>
          </cell>
          <cell r="AU370" t="str">
            <v>35E368P801G1</v>
          </cell>
          <cell r="AV370" t="b">
            <v>0</v>
          </cell>
          <cell r="EW370" t="str">
            <v>CN7034</v>
          </cell>
          <cell r="HA370" t="str">
            <v>760</v>
          </cell>
          <cell r="HD370" t="str">
            <v>Repair Shop</v>
          </cell>
          <cell r="HT370" t="b">
            <v>0</v>
          </cell>
          <cell r="HU370" t="str">
            <v>PHILLIPS 66</v>
          </cell>
        </row>
        <row r="371">
          <cell r="A371">
            <v>5413</v>
          </cell>
          <cell r="B371" t="str">
            <v>VEM1334</v>
          </cell>
          <cell r="D371" t="str">
            <v>C&amp;H</v>
          </cell>
          <cell r="F371" t="str">
            <v>Foreign</v>
          </cell>
          <cell r="H371" t="str">
            <v>2559148</v>
          </cell>
          <cell r="L371" t="str">
            <v>3600</v>
          </cell>
          <cell r="P371" t="str">
            <v>TE</v>
          </cell>
          <cell r="S371" t="str">
            <v>No</v>
          </cell>
          <cell r="T371" t="str">
            <v>Other</v>
          </cell>
          <cell r="X371" t="str">
            <v>220</v>
          </cell>
          <cell r="Y371" t="str">
            <v>1.2</v>
          </cell>
          <cell r="AA371" t="str">
            <v>F2</v>
          </cell>
          <cell r="AV371" t="b">
            <v>0</v>
          </cell>
          <cell r="HD371" t="str">
            <v>Repair Shop</v>
          </cell>
          <cell r="HT371" t="b">
            <v>0</v>
          </cell>
          <cell r="HU371" t="str">
            <v>C &amp; H SUGAR CO.</v>
          </cell>
        </row>
        <row r="372">
          <cell r="A372">
            <v>5412</v>
          </cell>
          <cell r="B372" t="str">
            <v>VEM1333</v>
          </cell>
          <cell r="D372" t="str">
            <v>VALERO</v>
          </cell>
          <cell r="F372" t="str">
            <v>GE</v>
          </cell>
          <cell r="G372" t="str">
            <v>5K6226XJ3002A</v>
          </cell>
          <cell r="H372" t="str">
            <v>ALJ129332</v>
          </cell>
          <cell r="I372" t="str">
            <v>215HP10</v>
          </cell>
          <cell r="K372" t="str">
            <v>10</v>
          </cell>
          <cell r="L372" t="str">
            <v>3510</v>
          </cell>
          <cell r="O372" t="str">
            <v>Full no Cord</v>
          </cell>
          <cell r="P372" t="str">
            <v>TEFC</v>
          </cell>
          <cell r="R372" t="str">
            <v>Continuous</v>
          </cell>
          <cell r="S372" t="str">
            <v>No</v>
          </cell>
          <cell r="T372" t="str">
            <v>Key Only</v>
          </cell>
          <cell r="U372" t="str">
            <v>75</v>
          </cell>
          <cell r="V372" t="str">
            <v>3</v>
          </cell>
          <cell r="W372" t="str">
            <v>60</v>
          </cell>
          <cell r="X372" t="str">
            <v>230/460</v>
          </cell>
          <cell r="Y372" t="str">
            <v>26/13</v>
          </cell>
          <cell r="AA372" t="str">
            <v>F2</v>
          </cell>
          <cell r="AG372" t="str">
            <v>HP</v>
          </cell>
          <cell r="AO372" t="str">
            <v>B</v>
          </cell>
          <cell r="AS372" t="str">
            <v>1.00</v>
          </cell>
          <cell r="AV372" t="b">
            <v>0</v>
          </cell>
          <cell r="HD372" t="str">
            <v>Repair Shop</v>
          </cell>
          <cell r="HT372" t="b">
            <v>0</v>
          </cell>
          <cell r="HU372" t="str">
            <v>VALERO REFINING CO. BENICIA</v>
          </cell>
        </row>
        <row r="373">
          <cell r="A373">
            <v>5410</v>
          </cell>
          <cell r="B373" t="str">
            <v>VEM1331</v>
          </cell>
          <cell r="D373" t="str">
            <v>VALERO</v>
          </cell>
          <cell r="F373" t="str">
            <v>Reliance</v>
          </cell>
          <cell r="I373" t="str">
            <v>284T</v>
          </cell>
          <cell r="K373" t="str">
            <v>15</v>
          </cell>
          <cell r="L373" t="str">
            <v>1180</v>
          </cell>
          <cell r="N373" t="str">
            <v>393</v>
          </cell>
          <cell r="O373" t="str">
            <v>Full no Cord</v>
          </cell>
          <cell r="P373" t="str">
            <v>TEFC</v>
          </cell>
          <cell r="R373" t="str">
            <v>Continuous</v>
          </cell>
          <cell r="S373" t="str">
            <v>Yes</v>
          </cell>
          <cell r="T373" t="str">
            <v>tes</v>
          </cell>
          <cell r="U373" t="str">
            <v>40</v>
          </cell>
          <cell r="V373" t="str">
            <v>3</v>
          </cell>
          <cell r="W373" t="str">
            <v>60</v>
          </cell>
          <cell r="X373" t="str">
            <v>460</v>
          </cell>
          <cell r="Y373" t="str">
            <v>19.2</v>
          </cell>
          <cell r="AA373" t="str">
            <v>F1</v>
          </cell>
          <cell r="AG373" t="str">
            <v>HP</v>
          </cell>
          <cell r="AI373" t="str">
            <v>50BCO3J3CX</v>
          </cell>
          <cell r="AJ373" t="str">
            <v>50BCO3J3CX</v>
          </cell>
          <cell r="AO373" t="str">
            <v>B</v>
          </cell>
          <cell r="AP373" t="str">
            <v>G</v>
          </cell>
          <cell r="AQ373" t="str">
            <v>F</v>
          </cell>
          <cell r="AR373" t="str">
            <v>78.9</v>
          </cell>
          <cell r="AS373" t="str">
            <v>1.15</v>
          </cell>
          <cell r="AT373" t="str">
            <v>92.4</v>
          </cell>
          <cell r="AV373" t="b">
            <v>0</v>
          </cell>
          <cell r="EX373" t="str">
            <v>1MAF78895</v>
          </cell>
          <cell r="HD373" t="str">
            <v>Repair Shop</v>
          </cell>
          <cell r="HT373" t="b">
            <v>0</v>
          </cell>
          <cell r="HU373" t="str">
            <v>VALERO REFINING CO. BENICIA</v>
          </cell>
        </row>
        <row r="374">
          <cell r="A374">
            <v>5409</v>
          </cell>
          <cell r="B374" t="str">
            <v>VEM1330</v>
          </cell>
          <cell r="D374" t="str">
            <v>DISCOVERY</v>
          </cell>
          <cell r="F374" t="str">
            <v>ALFAMOTORI</v>
          </cell>
          <cell r="H374" t="str">
            <v>Mot. no. 88172</v>
          </cell>
          <cell r="K374" t="str">
            <v>35</v>
          </cell>
          <cell r="L374" t="str">
            <v>2300</v>
          </cell>
          <cell r="M374" t="str">
            <v>LDH132M</v>
          </cell>
          <cell r="N374" t="str">
            <v>170kg</v>
          </cell>
          <cell r="O374" t="str">
            <v>Half no Cord</v>
          </cell>
          <cell r="P374" t="str">
            <v>ODP</v>
          </cell>
          <cell r="Q374" t="str">
            <v>Yes</v>
          </cell>
          <cell r="R374" t="str">
            <v>Continuous</v>
          </cell>
          <cell r="S374" t="str">
            <v>No</v>
          </cell>
          <cell r="X374" t="str">
            <v>400</v>
          </cell>
          <cell r="Y374" t="str">
            <v>96</v>
          </cell>
          <cell r="AA374" t="str">
            <v>F2</v>
          </cell>
          <cell r="AG374" t="str">
            <v>KW</v>
          </cell>
          <cell r="AV374" t="b">
            <v>0</v>
          </cell>
          <cell r="ER374" t="str">
            <v>220</v>
          </cell>
          <cell r="ES374" t="str">
            <v>4.8</v>
          </cell>
          <cell r="GK374" t="str">
            <v>Has lifting eyes</v>
          </cell>
          <cell r="HD374" t="str">
            <v>Repair Shop</v>
          </cell>
          <cell r="HT374" t="b">
            <v>0</v>
          </cell>
          <cell r="HU374" t="str">
            <v>SIX FLAGS DISCOVERY KINGDOM</v>
          </cell>
        </row>
        <row r="375">
          <cell r="A375">
            <v>5408</v>
          </cell>
          <cell r="B375" t="str">
            <v>FE1037</v>
          </cell>
          <cell r="D375" t="str">
            <v>JACOBS</v>
          </cell>
          <cell r="AG375" t="str">
            <v>HP</v>
          </cell>
          <cell r="AV375" t="b">
            <v>0</v>
          </cell>
          <cell r="HD375" t="str">
            <v>Field Service</v>
          </cell>
          <cell r="HT375" t="b">
            <v>0</v>
          </cell>
          <cell r="HU375" t="str">
            <v>JACOBS</v>
          </cell>
        </row>
        <row r="376">
          <cell r="A376">
            <v>4410</v>
          </cell>
          <cell r="B376" t="str">
            <v>VEM1329</v>
          </cell>
          <cell r="D376" t="str">
            <v>P66</v>
          </cell>
          <cell r="F376" t="str">
            <v>Reliance</v>
          </cell>
          <cell r="I376" t="str">
            <v>324TS</v>
          </cell>
          <cell r="K376" t="str">
            <v>40</v>
          </cell>
          <cell r="L376" t="str">
            <v>3560</v>
          </cell>
          <cell r="M376" t="str">
            <v>P</v>
          </cell>
          <cell r="N376" t="str">
            <v>626</v>
          </cell>
          <cell r="O376" t="str">
            <v>None</v>
          </cell>
          <cell r="P376" t="str">
            <v>TEFC</v>
          </cell>
          <cell r="R376" t="str">
            <v>Continuous</v>
          </cell>
          <cell r="S376" t="str">
            <v>Yes</v>
          </cell>
          <cell r="T376" t="str">
            <v>yes</v>
          </cell>
          <cell r="U376" t="str">
            <v>40</v>
          </cell>
          <cell r="V376" t="str">
            <v>3</v>
          </cell>
          <cell r="W376" t="str">
            <v>60</v>
          </cell>
          <cell r="X376" t="str">
            <v>460</v>
          </cell>
          <cell r="Y376" t="str">
            <v>45.4</v>
          </cell>
          <cell r="AA376" t="str">
            <v>F1</v>
          </cell>
          <cell r="AG376" t="str">
            <v>HP</v>
          </cell>
          <cell r="AO376" t="str">
            <v>B</v>
          </cell>
          <cell r="AP376" t="str">
            <v>G</v>
          </cell>
          <cell r="AQ376" t="str">
            <v>F</v>
          </cell>
          <cell r="AR376" t="str">
            <v>87.6</v>
          </cell>
          <cell r="AS376" t="str">
            <v>1.0</v>
          </cell>
          <cell r="AT376" t="str">
            <v>94.1</v>
          </cell>
          <cell r="AV376" t="b">
            <v>0</v>
          </cell>
          <cell r="EX376" t="str">
            <v>03MAF98780 G004 N X</v>
          </cell>
          <cell r="HD376" t="str">
            <v>Repair Shop</v>
          </cell>
          <cell r="HT376" t="b">
            <v>0</v>
          </cell>
          <cell r="HU376" t="str">
            <v>PHILLIPS 66</v>
          </cell>
        </row>
        <row r="377">
          <cell r="A377">
            <v>4409</v>
          </cell>
          <cell r="B377" t="str">
            <v>VEM1328</v>
          </cell>
          <cell r="D377" t="str">
            <v>P66</v>
          </cell>
          <cell r="F377" t="str">
            <v>US Motors</v>
          </cell>
          <cell r="I377" t="str">
            <v>324LPH</v>
          </cell>
          <cell r="K377" t="str">
            <v>40</v>
          </cell>
          <cell r="L377" t="str">
            <v>3535</v>
          </cell>
          <cell r="O377" t="str">
            <v>Full no Cord</v>
          </cell>
          <cell r="P377" t="str">
            <v>TEFC</v>
          </cell>
          <cell r="R377" t="str">
            <v>Continuous</v>
          </cell>
          <cell r="S377" t="str">
            <v>Yes</v>
          </cell>
          <cell r="T377" t="str">
            <v>none no key</v>
          </cell>
          <cell r="U377" t="str">
            <v>40</v>
          </cell>
          <cell r="V377" t="str">
            <v>3</v>
          </cell>
          <cell r="W377" t="str">
            <v>60</v>
          </cell>
          <cell r="X377" t="str">
            <v>460</v>
          </cell>
          <cell r="Y377" t="str">
            <v>49.5</v>
          </cell>
          <cell r="AA377" t="str">
            <v>Vertical</v>
          </cell>
          <cell r="AG377" t="str">
            <v>HP</v>
          </cell>
          <cell r="AJ377" t="str">
            <v>6211</v>
          </cell>
          <cell r="AO377" t="str">
            <v>B</v>
          </cell>
          <cell r="AQ377" t="str">
            <v>F</v>
          </cell>
          <cell r="AS377" t="str">
            <v>1.15</v>
          </cell>
          <cell r="AV377" t="b">
            <v>0</v>
          </cell>
          <cell r="HD377" t="str">
            <v>Repair Shop</v>
          </cell>
          <cell r="HT377" t="b">
            <v>0</v>
          </cell>
          <cell r="HU377" t="str">
            <v>PHILLIPS 66</v>
          </cell>
        </row>
        <row r="378">
          <cell r="A378">
            <v>4408</v>
          </cell>
          <cell r="B378" t="str">
            <v>VEM1327</v>
          </cell>
          <cell r="D378" t="str">
            <v>CLEANHARBORS</v>
          </cell>
          <cell r="F378" t="str">
            <v>Reliance</v>
          </cell>
          <cell r="G378" t="str">
            <v>P25G4825B</v>
          </cell>
          <cell r="I378" t="str">
            <v>X254T</v>
          </cell>
          <cell r="K378" t="str">
            <v>15</v>
          </cell>
          <cell r="L378" t="str">
            <v>1765</v>
          </cell>
          <cell r="M378" t="str">
            <v>P</v>
          </cell>
          <cell r="N378" t="str">
            <v>290</v>
          </cell>
          <cell r="O378" t="str">
            <v>Full no Cord</v>
          </cell>
          <cell r="P378" t="str">
            <v>EXP</v>
          </cell>
          <cell r="R378" t="str">
            <v>Continuous</v>
          </cell>
          <cell r="S378" t="str">
            <v>Yes</v>
          </cell>
          <cell r="T378" t="str">
            <v>key only</v>
          </cell>
          <cell r="U378" t="str">
            <v>40</v>
          </cell>
          <cell r="V378" t="str">
            <v>3</v>
          </cell>
          <cell r="W378" t="str">
            <v>60</v>
          </cell>
          <cell r="X378" t="str">
            <v>230/460</v>
          </cell>
          <cell r="Y378" t="str">
            <v>39.0/19.5</v>
          </cell>
          <cell r="AA378" t="str">
            <v>F1</v>
          </cell>
          <cell r="AG378" t="str">
            <v>HP</v>
          </cell>
          <cell r="AO378" t="str">
            <v>B</v>
          </cell>
          <cell r="AQ378" t="str">
            <v>B</v>
          </cell>
          <cell r="AR378" t="str">
            <v>79.0</v>
          </cell>
          <cell r="AS378" t="str">
            <v>1.00</v>
          </cell>
          <cell r="AT378" t="str">
            <v>91.0</v>
          </cell>
          <cell r="AV378" t="b">
            <v>0</v>
          </cell>
          <cell r="EX378" t="str">
            <v>48MC254825G001 MC</v>
          </cell>
          <cell r="EZ378" t="str">
            <v>Red</v>
          </cell>
          <cell r="GZ378" t="str">
            <v>F,G</v>
          </cell>
          <cell r="HA378" t="str">
            <v>2</v>
          </cell>
          <cell r="HD378" t="str">
            <v>Repair Shop</v>
          </cell>
          <cell r="HT378" t="b">
            <v>0</v>
          </cell>
          <cell r="HU378" t="str">
            <v>CLEAN HARBORS</v>
          </cell>
        </row>
        <row r="379">
          <cell r="A379">
            <v>4407</v>
          </cell>
          <cell r="B379" t="str">
            <v>VEM1326</v>
          </cell>
          <cell r="D379" t="str">
            <v>VALERO</v>
          </cell>
          <cell r="F379" t="str">
            <v>Siemens</v>
          </cell>
          <cell r="H379" t="str">
            <v>1-5133-20159-1-1</v>
          </cell>
          <cell r="I379" t="str">
            <v>445HP</v>
          </cell>
          <cell r="K379" t="str">
            <v>125</v>
          </cell>
          <cell r="L379" t="str">
            <v>1175</v>
          </cell>
          <cell r="N379" t="str">
            <v>1566</v>
          </cell>
          <cell r="O379" t="str">
            <v>Full no Cord</v>
          </cell>
          <cell r="P379" t="str">
            <v>TENV</v>
          </cell>
          <cell r="R379" t="str">
            <v>Continuous</v>
          </cell>
          <cell r="S379" t="str">
            <v>No</v>
          </cell>
          <cell r="T379" t="str">
            <v>none</v>
          </cell>
          <cell r="U379" t="str">
            <v>40</v>
          </cell>
          <cell r="V379" t="str">
            <v>3</v>
          </cell>
          <cell r="W379" t="str">
            <v>60</v>
          </cell>
          <cell r="X379" t="str">
            <v>460</v>
          </cell>
          <cell r="Y379" t="str">
            <v>144</v>
          </cell>
          <cell r="AA379" t="str">
            <v>Vertical</v>
          </cell>
          <cell r="AG379" t="str">
            <v>HP</v>
          </cell>
          <cell r="AP379" t="str">
            <v>G</v>
          </cell>
          <cell r="AV379" t="b">
            <v>0</v>
          </cell>
          <cell r="GK379" t="str">
            <v>Lifting eyes</v>
          </cell>
          <cell r="HD379" t="str">
            <v>Repair Shop</v>
          </cell>
          <cell r="HT379" t="b">
            <v>0</v>
          </cell>
          <cell r="HU379" t="str">
            <v>VALERO REFINING CO. BENICIA</v>
          </cell>
        </row>
        <row r="380">
          <cell r="A380">
            <v>4406</v>
          </cell>
          <cell r="B380" t="str">
            <v>VEM1325</v>
          </cell>
          <cell r="D380" t="str">
            <v>P66</v>
          </cell>
          <cell r="AD380" t="str">
            <v>0</v>
          </cell>
          <cell r="AG380" t="str">
            <v>HP</v>
          </cell>
          <cell r="AV380" t="b">
            <v>0</v>
          </cell>
          <cell r="HD380" t="str">
            <v>Repair Shop</v>
          </cell>
          <cell r="HT380" t="b">
            <v>0</v>
          </cell>
          <cell r="HU380" t="str">
            <v>PHILLIPS 66</v>
          </cell>
        </row>
        <row r="381">
          <cell r="A381">
            <v>4405</v>
          </cell>
          <cell r="B381" t="str">
            <v>VEM1324</v>
          </cell>
          <cell r="D381" t="str">
            <v>VALLEJOSCHOOLS</v>
          </cell>
          <cell r="AD381" t="str">
            <v>0</v>
          </cell>
          <cell r="AG381" t="str">
            <v>HP</v>
          </cell>
          <cell r="AV381" t="b">
            <v>0</v>
          </cell>
          <cell r="HD381" t="str">
            <v>Repair Shop</v>
          </cell>
          <cell r="HT381" t="b">
            <v>0</v>
          </cell>
          <cell r="HU381" t="str">
            <v>VALLEJO UNIFIED SCHOOL DIST.</v>
          </cell>
        </row>
        <row r="382">
          <cell r="A382">
            <v>4404</v>
          </cell>
          <cell r="B382" t="str">
            <v>VEM1323</v>
          </cell>
          <cell r="D382" t="str">
            <v>P66</v>
          </cell>
          <cell r="F382" t="str">
            <v>GE</v>
          </cell>
          <cell r="G382" t="str">
            <v>5KS284SE11SD</v>
          </cell>
          <cell r="H382" t="str">
            <v>0HK3A002E45-021</v>
          </cell>
          <cell r="I382" t="str">
            <v>284TS</v>
          </cell>
          <cell r="K382" t="str">
            <v>25</v>
          </cell>
          <cell r="L382" t="str">
            <v>3560</v>
          </cell>
          <cell r="M382" t="str">
            <v>KS</v>
          </cell>
          <cell r="O382" t="str">
            <v>Full no Cord</v>
          </cell>
          <cell r="P382" t="str">
            <v>TEFC</v>
          </cell>
          <cell r="R382" t="str">
            <v>Continuous</v>
          </cell>
          <cell r="T382" t="str">
            <v>key only</v>
          </cell>
          <cell r="U382" t="str">
            <v>40</v>
          </cell>
          <cell r="V382" t="str">
            <v>3</v>
          </cell>
          <cell r="W382" t="str">
            <v>60</v>
          </cell>
          <cell r="X382" t="str">
            <v>460</v>
          </cell>
          <cell r="Y382" t="str">
            <v>27.9</v>
          </cell>
          <cell r="AA382" t="str">
            <v>F1</v>
          </cell>
          <cell r="AG382" t="str">
            <v>HP</v>
          </cell>
          <cell r="AP382" t="str">
            <v>G</v>
          </cell>
          <cell r="AQ382" t="str">
            <v>F</v>
          </cell>
          <cell r="AS382" t="str">
            <v>1.15</v>
          </cell>
          <cell r="AT382" t="str">
            <v>92.4</v>
          </cell>
          <cell r="AV382" t="b">
            <v>0</v>
          </cell>
          <cell r="HD382" t="str">
            <v>Repair Shop</v>
          </cell>
          <cell r="HT382" t="b">
            <v>0</v>
          </cell>
          <cell r="HU382" t="str">
            <v>PHILLIPS 66</v>
          </cell>
        </row>
        <row r="383">
          <cell r="A383">
            <v>4403</v>
          </cell>
          <cell r="B383" t="str">
            <v>VEM1322</v>
          </cell>
          <cell r="D383" t="str">
            <v>P66</v>
          </cell>
          <cell r="F383" t="str">
            <v>Baldor</v>
          </cell>
          <cell r="H383" t="str">
            <v>595C-243</v>
          </cell>
          <cell r="I383" t="str">
            <v>256T</v>
          </cell>
          <cell r="K383" t="str">
            <v>20</v>
          </cell>
          <cell r="L383" t="str">
            <v>1765</v>
          </cell>
          <cell r="O383" t="str">
            <v>Full no Cord</v>
          </cell>
          <cell r="P383" t="str">
            <v>TEFC</v>
          </cell>
          <cell r="R383" t="str">
            <v>Continuous</v>
          </cell>
          <cell r="S383" t="str">
            <v>Yes</v>
          </cell>
          <cell r="T383" t="str">
            <v>none no key</v>
          </cell>
          <cell r="V383" t="str">
            <v>3</v>
          </cell>
          <cell r="W383" t="str">
            <v>60</v>
          </cell>
          <cell r="X383" t="str">
            <v>460</v>
          </cell>
          <cell r="Y383" t="str">
            <v>24</v>
          </cell>
          <cell r="AA383" t="str">
            <v>F1</v>
          </cell>
          <cell r="AG383" t="str">
            <v>HP</v>
          </cell>
          <cell r="AI383" t="str">
            <v>6309</v>
          </cell>
          <cell r="AJ383" t="str">
            <v>6208</v>
          </cell>
          <cell r="AO383" t="str">
            <v>B</v>
          </cell>
          <cell r="AP383" t="str">
            <v>H</v>
          </cell>
          <cell r="AQ383" t="str">
            <v>F</v>
          </cell>
          <cell r="AS383" t="str">
            <v>1.15</v>
          </cell>
          <cell r="AT383" t="str">
            <v>93</v>
          </cell>
          <cell r="AU383" t="str">
            <v>09M43X126G1</v>
          </cell>
          <cell r="AV383" t="b">
            <v>0</v>
          </cell>
          <cell r="EW383" t="str">
            <v>ECP2334T-4</v>
          </cell>
          <cell r="HD383" t="str">
            <v>Repair Shop</v>
          </cell>
          <cell r="HT383" t="b">
            <v>0</v>
          </cell>
          <cell r="HU383" t="str">
            <v>PHILLIPS 66</v>
          </cell>
        </row>
        <row r="384">
          <cell r="A384">
            <v>4402</v>
          </cell>
          <cell r="B384" t="str">
            <v>VEM1321</v>
          </cell>
          <cell r="D384" t="str">
            <v>P66</v>
          </cell>
          <cell r="F384" t="str">
            <v>Westinghouse</v>
          </cell>
          <cell r="G384" t="str">
            <v>TBFC</v>
          </cell>
          <cell r="H384" t="str">
            <v>7001</v>
          </cell>
          <cell r="I384" t="str">
            <v>284T</v>
          </cell>
          <cell r="K384" t="str">
            <v>25</v>
          </cell>
          <cell r="L384" t="str">
            <v>1770</v>
          </cell>
          <cell r="O384" t="str">
            <v>Full no Cord</v>
          </cell>
          <cell r="P384" t="str">
            <v>TEFC</v>
          </cell>
          <cell r="R384" t="str">
            <v>Continuous</v>
          </cell>
          <cell r="S384" t="str">
            <v>Yes</v>
          </cell>
          <cell r="T384" t="str">
            <v>key only</v>
          </cell>
          <cell r="U384" t="str">
            <v>40</v>
          </cell>
          <cell r="V384" t="str">
            <v>3</v>
          </cell>
          <cell r="W384" t="str">
            <v>60</v>
          </cell>
          <cell r="X384" t="str">
            <v>230/460</v>
          </cell>
          <cell r="Y384" t="str">
            <v>63/31.5</v>
          </cell>
          <cell r="AA384" t="str">
            <v>F1</v>
          </cell>
          <cell r="AG384" t="str">
            <v>HP</v>
          </cell>
          <cell r="AQ384" t="str">
            <v>B</v>
          </cell>
          <cell r="AS384" t="str">
            <v>1.00</v>
          </cell>
          <cell r="AV384" t="b">
            <v>0</v>
          </cell>
          <cell r="EY384" t="str">
            <v>680B1003G59</v>
          </cell>
          <cell r="HD384" t="str">
            <v>Repair Shop</v>
          </cell>
          <cell r="HT384" t="b">
            <v>0</v>
          </cell>
          <cell r="HU384" t="str">
            <v>PHILLIPS 66</v>
          </cell>
        </row>
        <row r="385">
          <cell r="A385">
            <v>4401</v>
          </cell>
          <cell r="B385" t="str">
            <v>VEM1320</v>
          </cell>
          <cell r="D385" t="str">
            <v>P66</v>
          </cell>
          <cell r="F385" t="str">
            <v>US Motors</v>
          </cell>
          <cell r="G385" t="str">
            <v>9-1745-G2-267</v>
          </cell>
          <cell r="I385" t="str">
            <v>326T</v>
          </cell>
          <cell r="K385" t="str">
            <v>50</v>
          </cell>
          <cell r="L385" t="str">
            <v>3540</v>
          </cell>
          <cell r="O385" t="str">
            <v>None</v>
          </cell>
          <cell r="P385" t="str">
            <v>TEFC</v>
          </cell>
          <cell r="R385" t="str">
            <v>Continuous</v>
          </cell>
          <cell r="S385" t="str">
            <v>Yes</v>
          </cell>
          <cell r="T385" t="str">
            <v>key only</v>
          </cell>
          <cell r="U385" t="str">
            <v>40</v>
          </cell>
          <cell r="V385" t="str">
            <v>3</v>
          </cell>
          <cell r="W385" t="str">
            <v>60</v>
          </cell>
          <cell r="X385" t="str">
            <v>230/460</v>
          </cell>
          <cell r="Y385" t="str">
            <v>118/59</v>
          </cell>
          <cell r="AA385" t="str">
            <v>F1</v>
          </cell>
          <cell r="AG385" t="str">
            <v>HP</v>
          </cell>
          <cell r="AS385" t="str">
            <v>1.0</v>
          </cell>
          <cell r="AV385" t="b">
            <v>0</v>
          </cell>
          <cell r="HD385" t="str">
            <v>Repair Shop</v>
          </cell>
          <cell r="HT385" t="b">
            <v>0</v>
          </cell>
          <cell r="HU385" t="str">
            <v>PHILLIPS 66</v>
          </cell>
        </row>
        <row r="386">
          <cell r="A386">
            <v>4400</v>
          </cell>
          <cell r="B386" t="str">
            <v>VEM1319</v>
          </cell>
          <cell r="D386" t="str">
            <v>APF</v>
          </cell>
          <cell r="F386" t="str">
            <v>Grizzly Industrial</v>
          </cell>
          <cell r="H386" t="str">
            <v>1677 YB</v>
          </cell>
          <cell r="K386" t="str">
            <v>10</v>
          </cell>
          <cell r="L386" t="str">
            <v>3450</v>
          </cell>
          <cell r="O386" t="str">
            <v>Full no Cord</v>
          </cell>
          <cell r="P386" t="str">
            <v>TEFC</v>
          </cell>
          <cell r="R386" t="str">
            <v>Continuous</v>
          </cell>
          <cell r="S386" t="str">
            <v>Yes</v>
          </cell>
          <cell r="T386" t="str">
            <v>none no key</v>
          </cell>
          <cell r="U386" t="str">
            <v>60</v>
          </cell>
          <cell r="V386" t="str">
            <v>3</v>
          </cell>
          <cell r="W386" t="str">
            <v>60</v>
          </cell>
          <cell r="X386" t="str">
            <v>220/440</v>
          </cell>
          <cell r="Y386" t="str">
            <v>30/15</v>
          </cell>
          <cell r="AA386" t="str">
            <v>Vertical</v>
          </cell>
          <cell r="AD386" t="str">
            <v>0</v>
          </cell>
          <cell r="AG386" t="str">
            <v>HP</v>
          </cell>
          <cell r="AV386" t="b">
            <v>0</v>
          </cell>
          <cell r="HD386" t="str">
            <v>Repair Shop</v>
          </cell>
          <cell r="HT386" t="b">
            <v>0</v>
          </cell>
          <cell r="HU386" t="str">
            <v>APF  The Art of Picture Framing</v>
          </cell>
        </row>
        <row r="387">
          <cell r="A387">
            <v>4399</v>
          </cell>
          <cell r="B387" t="str">
            <v>FE1036</v>
          </cell>
          <cell r="D387" t="str">
            <v>DISCOVERY</v>
          </cell>
          <cell r="AG387" t="str">
            <v>HP</v>
          </cell>
          <cell r="AV387" t="b">
            <v>0</v>
          </cell>
          <cell r="HD387" t="str">
            <v>Field Service</v>
          </cell>
          <cell r="HT387" t="b">
            <v>0</v>
          </cell>
          <cell r="HU387" t="str">
            <v>SIX FLAGS DISCOVERY KINGDOM</v>
          </cell>
        </row>
        <row r="388">
          <cell r="A388">
            <v>4398</v>
          </cell>
          <cell r="B388" t="str">
            <v>VEM1318</v>
          </cell>
          <cell r="D388" t="str">
            <v>FAIRFIELDMAINT</v>
          </cell>
          <cell r="F388" t="str">
            <v>Baldor</v>
          </cell>
          <cell r="H388" t="str">
            <v>F1401026929</v>
          </cell>
          <cell r="I388" t="str">
            <v>256JP</v>
          </cell>
          <cell r="K388" t="str">
            <v>20</v>
          </cell>
          <cell r="L388" t="str">
            <v>1760</v>
          </cell>
          <cell r="O388" t="str">
            <v>Full no Cord</v>
          </cell>
          <cell r="P388" t="str">
            <v>ODP</v>
          </cell>
          <cell r="R388" t="str">
            <v>Continuous</v>
          </cell>
          <cell r="S388" t="str">
            <v>Has Lifting Eyes</v>
          </cell>
          <cell r="U388" t="str">
            <v>40C</v>
          </cell>
          <cell r="V388" t="str">
            <v>3</v>
          </cell>
          <cell r="W388" t="str">
            <v>60</v>
          </cell>
          <cell r="X388" t="str">
            <v>230/460</v>
          </cell>
          <cell r="Y388" t="str">
            <v>49.6/24.8</v>
          </cell>
          <cell r="AA388" t="str">
            <v>F1</v>
          </cell>
          <cell r="AD388" t="str">
            <v>-1</v>
          </cell>
          <cell r="AG388" t="str">
            <v>HP</v>
          </cell>
          <cell r="AI388" t="str">
            <v>6309</v>
          </cell>
          <cell r="AJ388" t="str">
            <v>6206</v>
          </cell>
          <cell r="AO388" t="str">
            <v>B</v>
          </cell>
          <cell r="AP388" t="str">
            <v>E</v>
          </cell>
          <cell r="AQ388" t="str">
            <v>F</v>
          </cell>
          <cell r="AR388" t="str">
            <v>82</v>
          </cell>
          <cell r="AS388" t="str">
            <v>1.15</v>
          </cell>
          <cell r="AT388" t="str">
            <v>91</v>
          </cell>
          <cell r="AU388" t="str">
            <v>37J644R292H1</v>
          </cell>
          <cell r="AV388" t="b">
            <v>0</v>
          </cell>
          <cell r="AY388" t="str">
            <v>Goulds</v>
          </cell>
          <cell r="AZ388" t="str">
            <v>5-9SC</v>
          </cell>
          <cell r="BA388" t="str">
            <v>1AK808LF-02B41</v>
          </cell>
          <cell r="BD388" t="str">
            <v>5BC</v>
          </cell>
          <cell r="EW388" t="str">
            <v>JPM2515T</v>
          </cell>
          <cell r="HD388" t="str">
            <v>Repair Shop</v>
          </cell>
          <cell r="HT388" t="b">
            <v>0</v>
          </cell>
          <cell r="HU388" t="str">
            <v>CITY OF FAIRFIELD</v>
          </cell>
        </row>
        <row r="389">
          <cell r="A389">
            <v>4397</v>
          </cell>
          <cell r="B389" t="str">
            <v>VEM1317</v>
          </cell>
          <cell r="D389" t="str">
            <v>OAKVILLE</v>
          </cell>
          <cell r="F389" t="str">
            <v>Baldor</v>
          </cell>
          <cell r="H389" t="str">
            <v>C1411200287</v>
          </cell>
          <cell r="I389" t="str">
            <v>364JP</v>
          </cell>
          <cell r="K389" t="str">
            <v>60</v>
          </cell>
          <cell r="L389" t="str">
            <v>1770</v>
          </cell>
          <cell r="O389" t="str">
            <v>Full no Cord</v>
          </cell>
          <cell r="P389" t="str">
            <v>ODP</v>
          </cell>
          <cell r="R389" t="str">
            <v>Continuous</v>
          </cell>
          <cell r="S389" t="str">
            <v>Has lifting eyes</v>
          </cell>
          <cell r="U389" t="str">
            <v>40C</v>
          </cell>
          <cell r="V389" t="str">
            <v>3</v>
          </cell>
          <cell r="W389" t="str">
            <v>60</v>
          </cell>
          <cell r="X389" t="str">
            <v>230/460</v>
          </cell>
          <cell r="Y389" t="str">
            <v>144/72</v>
          </cell>
          <cell r="AA389" t="str">
            <v>F1</v>
          </cell>
          <cell r="AD389" t="str">
            <v>0</v>
          </cell>
          <cell r="AG389" t="str">
            <v>HP</v>
          </cell>
          <cell r="AI389" t="str">
            <v>6313</v>
          </cell>
          <cell r="AJ389" t="str">
            <v>6311</v>
          </cell>
          <cell r="AP389" t="str">
            <v>G</v>
          </cell>
          <cell r="AQ389" t="str">
            <v>B</v>
          </cell>
          <cell r="AR389" t="str">
            <v>83</v>
          </cell>
          <cell r="AS389" t="str">
            <v>1.15</v>
          </cell>
          <cell r="AT389" t="str">
            <v>93.6</v>
          </cell>
          <cell r="AU389" t="str">
            <v>42G038W390G1</v>
          </cell>
          <cell r="AV389" t="b">
            <v>0</v>
          </cell>
          <cell r="AY389" t="str">
            <v>Peffered</v>
          </cell>
          <cell r="AZ389" t="str">
            <v>SRB62097-B6JPBMS</v>
          </cell>
          <cell r="BA389" t="str">
            <v>31150253</v>
          </cell>
          <cell r="BC389" t="str">
            <v>165</v>
          </cell>
          <cell r="BE389" t="str">
            <v>1050</v>
          </cell>
          <cell r="BF389" t="str">
            <v>NONE</v>
          </cell>
          <cell r="EW389" t="str">
            <v>JPM2547T</v>
          </cell>
          <cell r="HD389" t="str">
            <v>Repair Shop</v>
          </cell>
          <cell r="HT389" t="b">
            <v>0</v>
          </cell>
          <cell r="HU389" t="str">
            <v>OAKVILLE PUMP</v>
          </cell>
        </row>
        <row r="390">
          <cell r="A390">
            <v>4396</v>
          </cell>
          <cell r="B390" t="str">
            <v>VEM1316</v>
          </cell>
          <cell r="D390" t="str">
            <v>C &amp; T CABINET</v>
          </cell>
          <cell r="F390" t="str">
            <v>Master</v>
          </cell>
          <cell r="H390" t="str">
            <v>HN24627</v>
          </cell>
          <cell r="I390" t="str">
            <v>0184</v>
          </cell>
          <cell r="K390" t="str">
            <v>2</v>
          </cell>
          <cell r="L390" t="str">
            <v>3450</v>
          </cell>
          <cell r="M390" t="str">
            <v>RA</v>
          </cell>
          <cell r="O390" t="str">
            <v>Full no Cord</v>
          </cell>
          <cell r="P390" t="str">
            <v>ODP</v>
          </cell>
          <cell r="R390" t="str">
            <v>Continuous</v>
          </cell>
          <cell r="S390" t="str">
            <v>No</v>
          </cell>
          <cell r="T390" t="str">
            <v>yes</v>
          </cell>
          <cell r="U390" t="str">
            <v>40</v>
          </cell>
          <cell r="V390" t="str">
            <v>1</v>
          </cell>
          <cell r="W390" t="str">
            <v>60</v>
          </cell>
          <cell r="X390" t="str">
            <v>115/230</v>
          </cell>
          <cell r="Y390" t="str">
            <v>21/10.5</v>
          </cell>
          <cell r="AA390" t="str">
            <v>F1</v>
          </cell>
          <cell r="AD390" t="str">
            <v>0</v>
          </cell>
          <cell r="AG390" t="str">
            <v>HP</v>
          </cell>
          <cell r="AP390" t="str">
            <v>F</v>
          </cell>
          <cell r="AV390" t="b">
            <v>0</v>
          </cell>
          <cell r="EY390" t="str">
            <v>228841</v>
          </cell>
          <cell r="HD390" t="str">
            <v>Repair Shop</v>
          </cell>
          <cell r="HT390" t="b">
            <v>0</v>
          </cell>
          <cell r="HU390" t="str">
            <v>C &amp; T Cabinet</v>
          </cell>
        </row>
        <row r="391">
          <cell r="A391">
            <v>4395</v>
          </cell>
          <cell r="B391" t="str">
            <v>VEM1315</v>
          </cell>
          <cell r="D391" t="str">
            <v>JACOBS</v>
          </cell>
          <cell r="F391" t="str">
            <v>GE</v>
          </cell>
          <cell r="G391" t="str">
            <v>5K6336CC7</v>
          </cell>
          <cell r="H391" t="str">
            <v>XJ5985138</v>
          </cell>
          <cell r="I391" t="str">
            <v>6336S</v>
          </cell>
          <cell r="K391" t="str">
            <v>300</v>
          </cell>
          <cell r="L391" t="str">
            <v>1180</v>
          </cell>
          <cell r="M391" t="str">
            <v>K</v>
          </cell>
          <cell r="N391" t="str">
            <v>4000</v>
          </cell>
          <cell r="O391" t="str">
            <v>None</v>
          </cell>
          <cell r="P391" t="str">
            <v>ODP</v>
          </cell>
          <cell r="R391" t="str">
            <v>Continuous</v>
          </cell>
          <cell r="T391" t="str">
            <v>yes</v>
          </cell>
          <cell r="V391" t="str">
            <v>3</v>
          </cell>
          <cell r="W391" t="str">
            <v>60</v>
          </cell>
          <cell r="X391" t="str">
            <v>440</v>
          </cell>
          <cell r="Y391" t="str">
            <v>350</v>
          </cell>
          <cell r="AA391" t="str">
            <v>F1</v>
          </cell>
          <cell r="AG391" t="str">
            <v>HP</v>
          </cell>
          <cell r="AP391" t="str">
            <v>F</v>
          </cell>
          <cell r="AS391" t="str">
            <v>1.15</v>
          </cell>
          <cell r="AV391" t="b">
            <v>0</v>
          </cell>
          <cell r="HD391" t="str">
            <v>Repair Shop</v>
          </cell>
          <cell r="HT391" t="b">
            <v>0</v>
          </cell>
          <cell r="HU391" t="str">
            <v>JACOBS</v>
          </cell>
        </row>
        <row r="392">
          <cell r="A392">
            <v>4394</v>
          </cell>
          <cell r="B392" t="str">
            <v>VEM1314</v>
          </cell>
          <cell r="D392" t="str">
            <v>JACOBS</v>
          </cell>
          <cell r="F392" t="str">
            <v>GE</v>
          </cell>
          <cell r="G392" t="str">
            <v>5K6336CC7</v>
          </cell>
          <cell r="H392" t="str">
            <v>XJ6985138</v>
          </cell>
          <cell r="I392" t="str">
            <v>6336S</v>
          </cell>
          <cell r="K392" t="str">
            <v>300</v>
          </cell>
          <cell r="L392" t="str">
            <v>1180</v>
          </cell>
          <cell r="M392" t="str">
            <v>K</v>
          </cell>
          <cell r="N392" t="str">
            <v>5800</v>
          </cell>
          <cell r="O392" t="str">
            <v>None</v>
          </cell>
          <cell r="P392" t="str">
            <v>ODP</v>
          </cell>
          <cell r="R392" t="str">
            <v>Continuous</v>
          </cell>
          <cell r="T392" t="str">
            <v>YES</v>
          </cell>
          <cell r="U392" t="str">
            <v>40</v>
          </cell>
          <cell r="V392" t="str">
            <v>3</v>
          </cell>
          <cell r="W392" t="str">
            <v>60</v>
          </cell>
          <cell r="AA392" t="str">
            <v>F2</v>
          </cell>
          <cell r="AD392" t="str">
            <v>0</v>
          </cell>
          <cell r="AG392" t="str">
            <v>HP</v>
          </cell>
          <cell r="AP392" t="str">
            <v>F</v>
          </cell>
          <cell r="AV392" t="b">
            <v>0</v>
          </cell>
          <cell r="FB392" t="str">
            <v>200</v>
          </cell>
          <cell r="FC392" t="str">
            <v>1200</v>
          </cell>
          <cell r="GH392" t="str">
            <v>1333</v>
          </cell>
          <cell r="GV392" t="str">
            <v>1333</v>
          </cell>
          <cell r="GW392" t="str">
            <v>DC</v>
          </cell>
          <cell r="HD392" t="str">
            <v>Repair Shop</v>
          </cell>
          <cell r="HT392" t="b">
            <v>0</v>
          </cell>
          <cell r="HU392" t="str">
            <v>JACOBS</v>
          </cell>
        </row>
        <row r="393">
          <cell r="A393">
            <v>4393</v>
          </cell>
          <cell r="B393" t="str">
            <v>VEM1313</v>
          </cell>
          <cell r="D393" t="str">
            <v>NAPACOUNTY</v>
          </cell>
          <cell r="AG393" t="str">
            <v>HP</v>
          </cell>
          <cell r="AV393" t="b">
            <v>0</v>
          </cell>
          <cell r="HD393" t="str">
            <v>Repair Shop</v>
          </cell>
          <cell r="HT393" t="b">
            <v>0</v>
          </cell>
          <cell r="HU393" t="str">
            <v>NAPA COUNTY PUBLIC WORKS</v>
          </cell>
        </row>
        <row r="394">
          <cell r="A394">
            <v>4392</v>
          </cell>
          <cell r="B394" t="str">
            <v>VEM1312</v>
          </cell>
          <cell r="D394" t="str">
            <v>CONHAGEN</v>
          </cell>
          <cell r="F394" t="str">
            <v>US Motors</v>
          </cell>
          <cell r="I394" t="str">
            <v>145T</v>
          </cell>
          <cell r="K394" t="str">
            <v>2</v>
          </cell>
          <cell r="L394" t="str">
            <v>1735</v>
          </cell>
          <cell r="M394" t="str">
            <v>CT TE</v>
          </cell>
          <cell r="O394" t="str">
            <v>Half no Cord</v>
          </cell>
          <cell r="P394" t="str">
            <v>TEFC</v>
          </cell>
          <cell r="R394" t="str">
            <v>Continuous</v>
          </cell>
          <cell r="S394" t="str">
            <v>No</v>
          </cell>
          <cell r="T394" t="str">
            <v>none</v>
          </cell>
          <cell r="V394" t="str">
            <v>3</v>
          </cell>
          <cell r="W394" t="str">
            <v>60</v>
          </cell>
          <cell r="X394" t="str">
            <v>230/460</v>
          </cell>
          <cell r="Y394" t="str">
            <v>6.3/3.2</v>
          </cell>
          <cell r="AA394" t="str">
            <v>F2</v>
          </cell>
          <cell r="AG394" t="str">
            <v>HP</v>
          </cell>
          <cell r="AI394" t="str">
            <v>6205</v>
          </cell>
          <cell r="AJ394" t="str">
            <v>6203</v>
          </cell>
          <cell r="AO394" t="str">
            <v>B</v>
          </cell>
          <cell r="AP394" t="str">
            <v>L</v>
          </cell>
          <cell r="AQ394" t="str">
            <v>F</v>
          </cell>
          <cell r="AS394" t="str">
            <v>1.15</v>
          </cell>
          <cell r="AT394" t="str">
            <v>82.5</v>
          </cell>
          <cell r="AV394" t="b">
            <v>0</v>
          </cell>
          <cell r="EX394" t="str">
            <v>E392-50-P12P293RO14M</v>
          </cell>
          <cell r="HD394" t="str">
            <v>Repair Shop</v>
          </cell>
          <cell r="HT394" t="b">
            <v>0</v>
          </cell>
          <cell r="HU394" t="str">
            <v>ALFRED CONHAGEN CO. OF CA</v>
          </cell>
        </row>
        <row r="395">
          <cell r="A395">
            <v>4391</v>
          </cell>
          <cell r="B395" t="str">
            <v>VEM1311</v>
          </cell>
          <cell r="D395" t="str">
            <v>EECO</v>
          </cell>
          <cell r="AD395" t="str">
            <v>-1</v>
          </cell>
          <cell r="AG395" t="str">
            <v>HP</v>
          </cell>
          <cell r="AV395" t="b">
            <v>0</v>
          </cell>
          <cell r="HD395" t="str">
            <v>Repair Shop</v>
          </cell>
          <cell r="HT395" t="b">
            <v>0</v>
          </cell>
          <cell r="HU395" t="str">
            <v>ELECTRICAL EQUIPMENT CO.</v>
          </cell>
        </row>
        <row r="396">
          <cell r="A396">
            <v>4389</v>
          </cell>
          <cell r="B396" t="str">
            <v>VEM1309</v>
          </cell>
          <cell r="D396" t="str">
            <v>VALERO</v>
          </cell>
          <cell r="AG396" t="str">
            <v>HP</v>
          </cell>
          <cell r="AV396" t="b">
            <v>0</v>
          </cell>
          <cell r="HD396" t="str">
            <v>Repair Shop</v>
          </cell>
          <cell r="HT396" t="b">
            <v>0</v>
          </cell>
          <cell r="HU396" t="str">
            <v>VALERO REFINING CO. BENICIA</v>
          </cell>
        </row>
        <row r="397">
          <cell r="A397">
            <v>4388</v>
          </cell>
          <cell r="B397" t="str">
            <v>VEM1308</v>
          </cell>
          <cell r="D397" t="str">
            <v>C&amp;H</v>
          </cell>
          <cell r="AG397" t="str">
            <v>HP</v>
          </cell>
          <cell r="AV397" t="b">
            <v>0</v>
          </cell>
          <cell r="HD397" t="str">
            <v>Repair Shop</v>
          </cell>
          <cell r="HT397" t="b">
            <v>0</v>
          </cell>
          <cell r="HU397" t="str">
            <v>C &amp; H SUGAR CO.</v>
          </cell>
        </row>
        <row r="398">
          <cell r="A398">
            <v>4387</v>
          </cell>
          <cell r="B398" t="str">
            <v>VEM1307</v>
          </cell>
          <cell r="D398" t="str">
            <v>P66</v>
          </cell>
          <cell r="AD398" t="str">
            <v>0</v>
          </cell>
          <cell r="AG398" t="str">
            <v>HP</v>
          </cell>
          <cell r="AV398" t="b">
            <v>0</v>
          </cell>
          <cell r="FB398" t="str">
            <v>KVA  3.0</v>
          </cell>
          <cell r="FC398" t="str">
            <v>900</v>
          </cell>
          <cell r="FD398" t="str">
            <v>208</v>
          </cell>
          <cell r="FE398" t="str">
            <v>1</v>
          </cell>
          <cell r="FF398" t="str">
            <v>210</v>
          </cell>
          <cell r="FL398" t="str">
            <v>36-097</v>
          </cell>
          <cell r="GV398" t="str">
            <v>14.9</v>
          </cell>
          <cell r="HD398" t="str">
            <v>Repair Shop</v>
          </cell>
          <cell r="HT398" t="b">
            <v>0</v>
          </cell>
          <cell r="HU398" t="str">
            <v>PHILLIPS 66</v>
          </cell>
        </row>
        <row r="399">
          <cell r="A399">
            <v>4386</v>
          </cell>
          <cell r="B399" t="str">
            <v>VEM1306</v>
          </cell>
          <cell r="D399" t="str">
            <v>P66</v>
          </cell>
          <cell r="F399" t="str">
            <v>Reliance</v>
          </cell>
          <cell r="I399" t="str">
            <v>X284AC</v>
          </cell>
          <cell r="K399" t="str">
            <v>5</v>
          </cell>
          <cell r="L399" t="str">
            <v>1750</v>
          </cell>
          <cell r="M399" t="str">
            <v>T</v>
          </cell>
          <cell r="O399" t="str">
            <v>Full no Cord</v>
          </cell>
          <cell r="P399" t="str">
            <v>EXP</v>
          </cell>
          <cell r="R399" t="str">
            <v>Continuous</v>
          </cell>
          <cell r="T399" t="str">
            <v>none no key</v>
          </cell>
          <cell r="U399" t="str">
            <v>75</v>
          </cell>
          <cell r="X399" t="str">
            <v>125</v>
          </cell>
          <cell r="Y399" t="str">
            <v>34.8</v>
          </cell>
          <cell r="AA399" t="str">
            <v>F1</v>
          </cell>
          <cell r="AG399" t="str">
            <v>HP</v>
          </cell>
          <cell r="AQ399" t="str">
            <v>B</v>
          </cell>
          <cell r="AV399" t="b">
            <v>0</v>
          </cell>
          <cell r="ER399" t="str">
            <v>125</v>
          </cell>
          <cell r="ES399" t="str">
            <v>.311</v>
          </cell>
          <cell r="EX399" t="str">
            <v>1LA-B37708T2 PM</v>
          </cell>
          <cell r="HD399" t="str">
            <v>Repair Shop</v>
          </cell>
          <cell r="HT399" t="b">
            <v>0</v>
          </cell>
          <cell r="HU399" t="str">
            <v>PHILLIPS 66</v>
          </cell>
        </row>
        <row r="400">
          <cell r="A400">
            <v>4385</v>
          </cell>
          <cell r="B400" t="str">
            <v>VEM1305</v>
          </cell>
          <cell r="D400" t="str">
            <v>P66</v>
          </cell>
          <cell r="F400" t="str">
            <v>GE</v>
          </cell>
          <cell r="G400" t="str">
            <v>5BY452B139</v>
          </cell>
          <cell r="H400" t="str">
            <v>MY8-562-MY</v>
          </cell>
          <cell r="K400" t="str">
            <v>3</v>
          </cell>
          <cell r="L400" t="str">
            <v>1750</v>
          </cell>
          <cell r="M400" t="str">
            <v>CD189ATC</v>
          </cell>
          <cell r="O400" t="str">
            <v>Full no Cord</v>
          </cell>
          <cell r="R400" t="str">
            <v>Continuous</v>
          </cell>
          <cell r="T400" t="str">
            <v>none no key</v>
          </cell>
          <cell r="U400" t="str">
            <v>60</v>
          </cell>
          <cell r="X400" t="str">
            <v>120</v>
          </cell>
          <cell r="Y400" t="str">
            <v>21.4</v>
          </cell>
          <cell r="AA400" t="str">
            <v>F1</v>
          </cell>
          <cell r="AD400" t="str">
            <v>0</v>
          </cell>
          <cell r="AF400" t="str">
            <v>U-621360</v>
          </cell>
          <cell r="AG400" t="str">
            <v>HP</v>
          </cell>
          <cell r="AQ400" t="str">
            <v>F</v>
          </cell>
          <cell r="AV400" t="b">
            <v>0</v>
          </cell>
          <cell r="ER400" t="str">
            <v>120</v>
          </cell>
          <cell r="ES400" t="str">
            <v>.92</v>
          </cell>
          <cell r="GK400" t="str">
            <v>Field ohms 74.7</v>
          </cell>
          <cell r="HD400" t="str">
            <v>Repair Shop</v>
          </cell>
          <cell r="HT400" t="b">
            <v>0</v>
          </cell>
          <cell r="HU400" t="str">
            <v>PHILLIPS 66</v>
          </cell>
        </row>
        <row r="401">
          <cell r="A401">
            <v>4384</v>
          </cell>
          <cell r="B401" t="str">
            <v>VEM1304</v>
          </cell>
          <cell r="D401" t="str">
            <v>P66</v>
          </cell>
          <cell r="F401" t="str">
            <v>Westinghouse</v>
          </cell>
          <cell r="H401" t="str">
            <v>3-10-9009-62</v>
          </cell>
          <cell r="I401" t="str">
            <v>284TSC</v>
          </cell>
          <cell r="K401" t="str">
            <v>25</v>
          </cell>
          <cell r="L401" t="str">
            <v>3532</v>
          </cell>
          <cell r="M401" t="str">
            <v>HSB</v>
          </cell>
          <cell r="N401" t="str">
            <v>360</v>
          </cell>
          <cell r="O401" t="str">
            <v>Full no Cord</v>
          </cell>
          <cell r="P401" t="str">
            <v>TEFC</v>
          </cell>
          <cell r="R401" t="str">
            <v>Continuous</v>
          </cell>
          <cell r="S401" t="str">
            <v>Yes</v>
          </cell>
          <cell r="T401" t="str">
            <v>none no key</v>
          </cell>
          <cell r="U401" t="str">
            <v>40</v>
          </cell>
          <cell r="V401" t="str">
            <v>3</v>
          </cell>
          <cell r="W401" t="str">
            <v>60</v>
          </cell>
          <cell r="X401" t="str">
            <v>230/460</v>
          </cell>
          <cell r="Y401" t="str">
            <v>29.4/58</v>
          </cell>
          <cell r="AA401" t="str">
            <v>Vertical</v>
          </cell>
          <cell r="AG401" t="str">
            <v>HP</v>
          </cell>
          <cell r="AO401" t="str">
            <v>B</v>
          </cell>
          <cell r="AQ401" t="str">
            <v>F</v>
          </cell>
          <cell r="AS401" t="str">
            <v>1.15</v>
          </cell>
          <cell r="AV401" t="b">
            <v>0</v>
          </cell>
          <cell r="HD401" t="str">
            <v>Repair Shop</v>
          </cell>
          <cell r="HT401" t="b">
            <v>0</v>
          </cell>
          <cell r="HU401" t="str">
            <v>PHILLIPS 66</v>
          </cell>
        </row>
        <row r="402">
          <cell r="A402">
            <v>4383</v>
          </cell>
          <cell r="B402" t="str">
            <v>VEM1303</v>
          </cell>
          <cell r="D402" t="str">
            <v>VALLEJOSAN</v>
          </cell>
          <cell r="F402" t="str">
            <v>Flygt pump</v>
          </cell>
          <cell r="H402" t="str">
            <v>3102-095-1720095</v>
          </cell>
          <cell r="K402" t="str">
            <v>2.9</v>
          </cell>
          <cell r="L402" t="str">
            <v>1755</v>
          </cell>
          <cell r="N402" t="str">
            <v>107 kg</v>
          </cell>
          <cell r="O402" t="str">
            <v>Full w/ Cord</v>
          </cell>
          <cell r="R402" t="str">
            <v>Continuous</v>
          </cell>
          <cell r="U402" t="str">
            <v>40</v>
          </cell>
          <cell r="V402" t="str">
            <v>1</v>
          </cell>
          <cell r="W402" t="str">
            <v>60</v>
          </cell>
          <cell r="X402" t="str">
            <v>230</v>
          </cell>
          <cell r="Y402" t="str">
            <v>16</v>
          </cell>
          <cell r="AA402" t="str">
            <v>Other</v>
          </cell>
          <cell r="AG402" t="str">
            <v>KW</v>
          </cell>
          <cell r="AV402" t="b">
            <v>0</v>
          </cell>
          <cell r="GK402" t="str">
            <v>Product no. 3102.095-0122</v>
          </cell>
          <cell r="GL402" t="str">
            <v>Curve code 464</v>
          </cell>
          <cell r="HD402" t="str">
            <v>Repair Shop</v>
          </cell>
          <cell r="HT402" t="b">
            <v>0</v>
          </cell>
          <cell r="HU402" t="str">
            <v>VALLEJO FLOOD &amp; WASTEWATER DISTRICT</v>
          </cell>
        </row>
        <row r="403">
          <cell r="A403">
            <v>4382</v>
          </cell>
          <cell r="B403" t="str">
            <v>VEM1302</v>
          </cell>
          <cell r="D403" t="str">
            <v>P66</v>
          </cell>
          <cell r="F403" t="str">
            <v>GE</v>
          </cell>
          <cell r="G403" t="str">
            <v>V983</v>
          </cell>
          <cell r="I403" t="str">
            <v>215HP</v>
          </cell>
          <cell r="K403" t="str">
            <v>10</v>
          </cell>
          <cell r="L403" t="str">
            <v>1800</v>
          </cell>
          <cell r="P403" t="str">
            <v>TEFC</v>
          </cell>
          <cell r="V403" t="str">
            <v>3</v>
          </cell>
          <cell r="W403" t="str">
            <v>60</v>
          </cell>
          <cell r="X403" t="str">
            <v>230/460</v>
          </cell>
          <cell r="AA403" t="str">
            <v>Vertical</v>
          </cell>
          <cell r="AG403" t="str">
            <v>HP</v>
          </cell>
          <cell r="AV403" t="b">
            <v>0</v>
          </cell>
          <cell r="HD403" t="str">
            <v>Repair Shop</v>
          </cell>
          <cell r="HT403" t="b">
            <v>0</v>
          </cell>
          <cell r="HU403" t="str">
            <v>PHILLIPS 66</v>
          </cell>
        </row>
        <row r="404">
          <cell r="A404">
            <v>4381</v>
          </cell>
          <cell r="B404" t="str">
            <v>VEM1301</v>
          </cell>
          <cell r="D404" t="str">
            <v>C&amp;H</v>
          </cell>
          <cell r="F404" t="str">
            <v>Westinghouse</v>
          </cell>
          <cell r="G404" t="str">
            <v>TBFC</v>
          </cell>
          <cell r="H404" t="str">
            <v>6712</v>
          </cell>
          <cell r="I404" t="str">
            <v>215 TY</v>
          </cell>
          <cell r="K404" t="str">
            <v>10</v>
          </cell>
          <cell r="L404" t="str">
            <v>1745</v>
          </cell>
          <cell r="P404" t="str">
            <v>TEFC</v>
          </cell>
          <cell r="V404" t="str">
            <v>3</v>
          </cell>
          <cell r="W404" t="str">
            <v>60</v>
          </cell>
          <cell r="X404" t="str">
            <v>230/460</v>
          </cell>
          <cell r="Y404" t="str">
            <v>26..4/13.2</v>
          </cell>
          <cell r="AG404" t="str">
            <v>HP</v>
          </cell>
          <cell r="AV404" t="b">
            <v>0</v>
          </cell>
          <cell r="AX404" t="str">
            <v>4</v>
          </cell>
          <cell r="BY404" t="str">
            <v>8/72</v>
          </cell>
          <cell r="BZ404" t="str">
            <v>1800</v>
          </cell>
          <cell r="CA404" t="str">
            <v>215TYB43D</v>
          </cell>
          <cell r="CB404" t="str">
            <v>20.9</v>
          </cell>
          <cell r="CE404" t="str">
            <v>10</v>
          </cell>
          <cell r="EY404" t="str">
            <v>680E480045</v>
          </cell>
          <cell r="GK404" t="str">
            <v>GEARBOX</v>
          </cell>
          <cell r="HD404" t="str">
            <v>Repair Shop</v>
          </cell>
          <cell r="HE404" t="str">
            <v>679B411G17</v>
          </cell>
          <cell r="HT404" t="b">
            <v>0</v>
          </cell>
          <cell r="HU404" t="str">
            <v>C &amp; H SUGAR CO.</v>
          </cell>
        </row>
        <row r="405">
          <cell r="A405">
            <v>4380</v>
          </cell>
          <cell r="B405" t="str">
            <v>VEM1300</v>
          </cell>
          <cell r="D405" t="str">
            <v>EDF SCRAP</v>
          </cell>
          <cell r="F405" t="str">
            <v>LTI REENERGY</v>
          </cell>
          <cell r="G405" t="str">
            <v>FGVH 112LL-4-D-FR-D-C</v>
          </cell>
          <cell r="H405" t="str">
            <v>000478024</v>
          </cell>
          <cell r="I405" t="str">
            <v>112LL</v>
          </cell>
          <cell r="K405" t="str">
            <v>4.4/9.6</v>
          </cell>
          <cell r="L405" t="str">
            <v>1400</v>
          </cell>
          <cell r="P405" t="str">
            <v>Forced Vent</v>
          </cell>
          <cell r="X405" t="str">
            <v>288 VDC</v>
          </cell>
          <cell r="Y405" t="str">
            <v>18</v>
          </cell>
          <cell r="AD405" t="str">
            <v>-1</v>
          </cell>
          <cell r="AG405" t="str">
            <v>KW</v>
          </cell>
          <cell r="AV405" t="b">
            <v>0</v>
          </cell>
          <cell r="EQ405" t="str">
            <v>56</v>
          </cell>
          <cell r="ES405" t="str">
            <v>.76</v>
          </cell>
          <cell r="EX405" t="str">
            <v>681-00107</v>
          </cell>
          <cell r="GK405" t="str">
            <v>BLOWER 230 VAC .61 A 140 W 2100 RPM</v>
          </cell>
          <cell r="GL405" t="str">
            <v>BRAKE 288 VDC .17 A 50 W</v>
          </cell>
          <cell r="GM405" t="str">
            <v>S/N 000478024</v>
          </cell>
          <cell r="HD405" t="str">
            <v>Repair Shop</v>
          </cell>
          <cell r="HT405" t="b">
            <v>0</v>
          </cell>
          <cell r="HU405" t="str">
            <v>EDF RENEWABLES FOR SCRAP ONLY</v>
          </cell>
        </row>
        <row r="406">
          <cell r="A406">
            <v>4379</v>
          </cell>
          <cell r="B406" t="str">
            <v>VEM1299</v>
          </cell>
          <cell r="D406" t="str">
            <v>EDF RENEWABLES</v>
          </cell>
          <cell r="F406" t="str">
            <v>LTI RENEERGY</v>
          </cell>
          <cell r="G406" t="str">
            <v>FGVH 112LL-4-D-F-D-C</v>
          </cell>
          <cell r="H406" t="str">
            <v>000478671</v>
          </cell>
          <cell r="I406" t="str">
            <v>112LL</v>
          </cell>
          <cell r="K406" t="str">
            <v>4.4/9.6</v>
          </cell>
          <cell r="L406" t="str">
            <v>1400</v>
          </cell>
          <cell r="P406" t="str">
            <v>Forced Vent</v>
          </cell>
          <cell r="X406" t="str">
            <v>288 VDC</v>
          </cell>
          <cell r="Y406" t="str">
            <v>18</v>
          </cell>
          <cell r="AG406" t="str">
            <v>KW</v>
          </cell>
          <cell r="AV406" t="b">
            <v>0</v>
          </cell>
          <cell r="EQ406" t="str">
            <v>56</v>
          </cell>
          <cell r="ES406" t="str">
            <v>.76</v>
          </cell>
          <cell r="EX406" t="str">
            <v>681-00107</v>
          </cell>
          <cell r="GK406" t="str">
            <v>BLOWER 230 VAC .61 A 140 W 2100 RPM</v>
          </cell>
          <cell r="GL406" t="str">
            <v>BRAKE 288 VDC .17 A 50 W</v>
          </cell>
          <cell r="GM406" t="str">
            <v>S/N  000478688</v>
          </cell>
          <cell r="HD406" t="str">
            <v>Repair Shop</v>
          </cell>
          <cell r="HT406" t="b">
            <v>0</v>
          </cell>
          <cell r="HU406" t="str">
            <v>EDF RENEWABLES</v>
          </cell>
        </row>
        <row r="407">
          <cell r="A407">
            <v>4378</v>
          </cell>
          <cell r="B407" t="str">
            <v>VEM1298</v>
          </cell>
          <cell r="D407" t="str">
            <v>EDF RENEWABLES</v>
          </cell>
          <cell r="F407" t="str">
            <v>LTI REENERGY</v>
          </cell>
          <cell r="G407" t="str">
            <v>FGVH 112LL-4-D-F-D-C</v>
          </cell>
          <cell r="H407" t="str">
            <v>000478688</v>
          </cell>
          <cell r="I407" t="str">
            <v>112LL</v>
          </cell>
          <cell r="K407" t="str">
            <v>4.4/9.6</v>
          </cell>
          <cell r="L407" t="str">
            <v>1400</v>
          </cell>
          <cell r="P407" t="str">
            <v>Forced Vent</v>
          </cell>
          <cell r="X407" t="str">
            <v>288 VDC</v>
          </cell>
          <cell r="Y407" t="str">
            <v>18</v>
          </cell>
          <cell r="AG407" t="str">
            <v>KW</v>
          </cell>
          <cell r="AV407" t="b">
            <v>0</v>
          </cell>
          <cell r="EQ407" t="str">
            <v>56</v>
          </cell>
          <cell r="ES407" t="str">
            <v>.76</v>
          </cell>
          <cell r="EX407" t="str">
            <v>681-00107</v>
          </cell>
          <cell r="GK407" t="str">
            <v>BLOWER 230 VAC .61 A 140 W 2100 RPM</v>
          </cell>
          <cell r="GL407" t="str">
            <v>BRAKE 288 VDC .17 A 50 W</v>
          </cell>
          <cell r="GM407" t="str">
            <v>S/N 000478688</v>
          </cell>
          <cell r="HD407" t="str">
            <v>Repair Shop</v>
          </cell>
          <cell r="HT407" t="b">
            <v>0</v>
          </cell>
          <cell r="HU407" t="str">
            <v>EDF RENEWABLES</v>
          </cell>
        </row>
        <row r="408">
          <cell r="A408">
            <v>4377</v>
          </cell>
          <cell r="B408" t="str">
            <v>VEM1297</v>
          </cell>
          <cell r="D408" t="str">
            <v>EDF RENEWABLES</v>
          </cell>
          <cell r="F408" t="str">
            <v>LTI REENERGY</v>
          </cell>
          <cell r="G408" t="str">
            <v>FGVH 112LL-4-D-F-D-C</v>
          </cell>
          <cell r="H408" t="str">
            <v>000477544</v>
          </cell>
          <cell r="I408" t="str">
            <v>112LL</v>
          </cell>
          <cell r="K408" t="str">
            <v>4.4/9.6</v>
          </cell>
          <cell r="L408" t="str">
            <v>1400</v>
          </cell>
          <cell r="P408" t="str">
            <v>Forced Vent</v>
          </cell>
          <cell r="X408" t="str">
            <v>288 VDC</v>
          </cell>
          <cell r="Y408" t="str">
            <v>18</v>
          </cell>
          <cell r="AG408" t="str">
            <v>KW</v>
          </cell>
          <cell r="AV408" t="b">
            <v>0</v>
          </cell>
          <cell r="EQ408" t="str">
            <v>56</v>
          </cell>
          <cell r="ES408" t="str">
            <v>.76</v>
          </cell>
          <cell r="EX408" t="str">
            <v>681-00107</v>
          </cell>
          <cell r="GK408" t="str">
            <v>BLOWER 230 VAC .61 A 140 W 2100 RPM</v>
          </cell>
          <cell r="GL408" t="str">
            <v>BRAKE 288 VDC .17 A 50 W</v>
          </cell>
          <cell r="GM408" t="str">
            <v>S/N 000477544</v>
          </cell>
          <cell r="HD408" t="str">
            <v>Repair Shop</v>
          </cell>
          <cell r="HT408" t="b">
            <v>0</v>
          </cell>
          <cell r="HU408" t="str">
            <v>EDF RENEWABLES</v>
          </cell>
        </row>
        <row r="409">
          <cell r="A409">
            <v>4376</v>
          </cell>
          <cell r="B409" t="str">
            <v>VEM1296</v>
          </cell>
          <cell r="D409" t="str">
            <v>EDF RENEWABLES</v>
          </cell>
          <cell r="F409" t="str">
            <v>SSB DURADRIVE</v>
          </cell>
          <cell r="G409" t="str">
            <v>GXHIF-0730.29918.81</v>
          </cell>
          <cell r="H409" t="str">
            <v>21-031281</v>
          </cell>
          <cell r="K409" t="str">
            <v>5.5</v>
          </cell>
          <cell r="L409" t="str">
            <v>1750</v>
          </cell>
          <cell r="P409" t="str">
            <v>Forced Vent</v>
          </cell>
          <cell r="X409" t="str">
            <v>290 VDC</v>
          </cell>
          <cell r="Y409" t="str">
            <v>22</v>
          </cell>
          <cell r="AG409" t="str">
            <v>KW</v>
          </cell>
          <cell r="AV409" t="b">
            <v>0</v>
          </cell>
          <cell r="GK409" t="str">
            <v>BLOWER 230 VAC .74 A</v>
          </cell>
          <cell r="GL409" t="str">
            <v>BRAKE 280 VDC .3 A</v>
          </cell>
          <cell r="GM409" t="str">
            <v>S/N 21-031281</v>
          </cell>
          <cell r="HD409" t="str">
            <v>Repair Shop</v>
          </cell>
          <cell r="HT409" t="b">
            <v>0</v>
          </cell>
          <cell r="HU409" t="str">
            <v>EDF RENEWABLES</v>
          </cell>
        </row>
        <row r="410">
          <cell r="A410">
            <v>4375</v>
          </cell>
          <cell r="B410" t="str">
            <v>VEM1295</v>
          </cell>
          <cell r="D410" t="str">
            <v>EDF RENEWABLES</v>
          </cell>
          <cell r="F410" t="str">
            <v>SSB  DURADRIVE</v>
          </cell>
          <cell r="G410" t="str">
            <v>GXHIF-0730.29918.81</v>
          </cell>
          <cell r="H410" t="str">
            <v>21-032568</v>
          </cell>
          <cell r="K410" t="str">
            <v>5.5</v>
          </cell>
          <cell r="L410" t="str">
            <v>1750</v>
          </cell>
          <cell r="P410" t="str">
            <v>Forced Vent</v>
          </cell>
          <cell r="X410" t="str">
            <v>290 VDC</v>
          </cell>
          <cell r="Y410" t="str">
            <v>22</v>
          </cell>
          <cell r="AG410" t="str">
            <v>KW</v>
          </cell>
          <cell r="AV410" t="b">
            <v>0</v>
          </cell>
          <cell r="GK410" t="str">
            <v>BLOWER 230 VAC .74 A</v>
          </cell>
          <cell r="GL410" t="str">
            <v>BRAKE 280 VDC .3 A</v>
          </cell>
          <cell r="GM410" t="str">
            <v>S/N 21-032568</v>
          </cell>
          <cell r="HD410" t="str">
            <v>Repair Shop</v>
          </cell>
          <cell r="HT410" t="b">
            <v>0</v>
          </cell>
          <cell r="HU410" t="str">
            <v>EDF RENEWABLES</v>
          </cell>
        </row>
        <row r="411">
          <cell r="A411">
            <v>4374</v>
          </cell>
          <cell r="B411" t="str">
            <v>VEM1294</v>
          </cell>
          <cell r="D411" t="str">
            <v>EDF RENEWABLES</v>
          </cell>
          <cell r="F411" t="str">
            <v>LTI</v>
          </cell>
          <cell r="G411" t="str">
            <v>FGVH 112LL-4-D-F-C</v>
          </cell>
          <cell r="H411" t="str">
            <v>000478663</v>
          </cell>
          <cell r="I411" t="str">
            <v>112LL</v>
          </cell>
          <cell r="K411" t="str">
            <v>4.4/9.6</v>
          </cell>
          <cell r="L411" t="str">
            <v>1400</v>
          </cell>
          <cell r="P411" t="str">
            <v>Forced Vent</v>
          </cell>
          <cell r="W411" t="str">
            <v>50/60</v>
          </cell>
          <cell r="X411" t="str">
            <v>288 VDC</v>
          </cell>
          <cell r="Y411" t="str">
            <v>18</v>
          </cell>
          <cell r="AG411" t="str">
            <v>KW</v>
          </cell>
          <cell r="AV411" t="b">
            <v>0</v>
          </cell>
          <cell r="EQ411" t="str">
            <v>56</v>
          </cell>
          <cell r="ES411" t="str">
            <v>.76</v>
          </cell>
          <cell r="EX411" t="str">
            <v>681-00107</v>
          </cell>
          <cell r="GK411" t="str">
            <v>BLOWER 230 VACC .61 A 140 W 2100 RPM</v>
          </cell>
          <cell r="GL411" t="str">
            <v>BRAKE 288 VDC .17 A 50 W</v>
          </cell>
          <cell r="GM411" t="str">
            <v>S/N 000478663</v>
          </cell>
          <cell r="HD411" t="str">
            <v>Repair Shop</v>
          </cell>
          <cell r="HT411" t="b">
            <v>0</v>
          </cell>
          <cell r="HU411" t="str">
            <v>EDF RENEWABLES</v>
          </cell>
        </row>
        <row r="412">
          <cell r="A412">
            <v>4373</v>
          </cell>
          <cell r="B412" t="str">
            <v>VEM1293</v>
          </cell>
          <cell r="D412" t="str">
            <v>EDF RENEWABLES</v>
          </cell>
          <cell r="F412" t="str">
            <v>MOOG</v>
          </cell>
          <cell r="G412" t="str">
            <v>FGVH 112LL-4-D-F-C</v>
          </cell>
          <cell r="H412" t="str">
            <v>494405</v>
          </cell>
          <cell r="I412" t="str">
            <v>112LL</v>
          </cell>
          <cell r="K412" t="str">
            <v>4.4/9.6</v>
          </cell>
          <cell r="L412" t="str">
            <v>1400</v>
          </cell>
          <cell r="P412" t="str">
            <v>Forced Vent</v>
          </cell>
          <cell r="W412" t="str">
            <v>50/60</v>
          </cell>
          <cell r="X412" t="str">
            <v>288 VDC</v>
          </cell>
          <cell r="Y412" t="str">
            <v>18</v>
          </cell>
          <cell r="AG412" t="str">
            <v>KW</v>
          </cell>
          <cell r="AV412" t="b">
            <v>0</v>
          </cell>
          <cell r="EQ412" t="str">
            <v>56</v>
          </cell>
          <cell r="ES412" t="str">
            <v>.76</v>
          </cell>
          <cell r="EX412" t="str">
            <v>681-00107</v>
          </cell>
          <cell r="GK412" t="str">
            <v>BLOWER 230 VAC .61 A 140 W 2100 RPM</v>
          </cell>
          <cell r="GL412" t="str">
            <v>BRAKE 288 VDC .17 A 50 W</v>
          </cell>
          <cell r="GM412" t="str">
            <v>S/N 494405</v>
          </cell>
          <cell r="HD412" t="str">
            <v>Repair Shop</v>
          </cell>
          <cell r="HT412" t="b">
            <v>0</v>
          </cell>
          <cell r="HU412" t="str">
            <v>EDF RENEWABLES</v>
          </cell>
        </row>
        <row r="413">
          <cell r="A413">
            <v>4372</v>
          </cell>
          <cell r="B413" t="str">
            <v>VEM1292</v>
          </cell>
          <cell r="D413" t="str">
            <v>EDF RENEWABLES</v>
          </cell>
          <cell r="F413" t="str">
            <v>MOOG</v>
          </cell>
          <cell r="G413" t="str">
            <v>FGVH 112LL-4-D-F-C</v>
          </cell>
          <cell r="H413" t="str">
            <v>494769</v>
          </cell>
          <cell r="I413" t="str">
            <v>112LL</v>
          </cell>
          <cell r="K413" t="str">
            <v>4.4/9.6</v>
          </cell>
          <cell r="L413" t="str">
            <v>1400</v>
          </cell>
          <cell r="P413" t="str">
            <v>Forced Vent</v>
          </cell>
          <cell r="W413" t="str">
            <v>50/60</v>
          </cell>
          <cell r="X413" t="str">
            <v>288 VDC</v>
          </cell>
          <cell r="Y413" t="str">
            <v>18</v>
          </cell>
          <cell r="AD413" t="str">
            <v>-1</v>
          </cell>
          <cell r="AG413" t="str">
            <v>KW</v>
          </cell>
          <cell r="AV413" t="b">
            <v>0</v>
          </cell>
          <cell r="EQ413" t="str">
            <v>56</v>
          </cell>
          <cell r="ES413" t="str">
            <v>.76</v>
          </cell>
          <cell r="EX413" t="str">
            <v>681-00107</v>
          </cell>
          <cell r="GK413" t="str">
            <v>BLOWER 230 VAC .61 A 2100RPM 140 W</v>
          </cell>
          <cell r="GL413" t="str">
            <v>BRAKE 288 VDC .22 A 50 W</v>
          </cell>
          <cell r="GM413" t="str">
            <v>S/N 494769</v>
          </cell>
          <cell r="HD413" t="str">
            <v>Repair Shop</v>
          </cell>
          <cell r="HT413" t="b">
            <v>0</v>
          </cell>
          <cell r="HU413" t="str">
            <v>EDF RENEWABLES</v>
          </cell>
        </row>
        <row r="414">
          <cell r="A414">
            <v>4371</v>
          </cell>
          <cell r="B414" t="str">
            <v>VEM1291</v>
          </cell>
          <cell r="D414" t="str">
            <v>EDF RENEWABLES</v>
          </cell>
          <cell r="F414" t="str">
            <v>MOOG</v>
          </cell>
          <cell r="G414" t="str">
            <v>FGVH 112LL-4-D-F-C</v>
          </cell>
          <cell r="H414" t="str">
            <v>494648</v>
          </cell>
          <cell r="I414" t="str">
            <v>112LL</v>
          </cell>
          <cell r="K414" t="str">
            <v>4.4/9.6</v>
          </cell>
          <cell r="L414" t="str">
            <v>1400</v>
          </cell>
          <cell r="P414" t="str">
            <v>Forced Vent</v>
          </cell>
          <cell r="U414" t="str">
            <v>50</v>
          </cell>
          <cell r="W414" t="str">
            <v>50/60</v>
          </cell>
          <cell r="X414" t="str">
            <v>288 DC</v>
          </cell>
          <cell r="Y414" t="str">
            <v>18</v>
          </cell>
          <cell r="AA414" t="str">
            <v>Top</v>
          </cell>
          <cell r="AG414" t="str">
            <v>KW</v>
          </cell>
          <cell r="AV414" t="b">
            <v>0</v>
          </cell>
          <cell r="EQ414" t="str">
            <v>56</v>
          </cell>
          <cell r="ES414" t="str">
            <v>.76</v>
          </cell>
          <cell r="EX414" t="str">
            <v>681-00107</v>
          </cell>
          <cell r="GK414" t="str">
            <v>BLOWER 230VAC .61 A 140 W</v>
          </cell>
          <cell r="GL414" t="str">
            <v>BRAKE 288VDC .17A 50</v>
          </cell>
          <cell r="GM414" t="str">
            <v>S/N 494648</v>
          </cell>
          <cell r="HD414" t="str">
            <v>Repair Shop</v>
          </cell>
          <cell r="HT414" t="b">
            <v>0</v>
          </cell>
          <cell r="HU414" t="str">
            <v>EDF RENEWABLES</v>
          </cell>
        </row>
        <row r="415">
          <cell r="A415">
            <v>4370</v>
          </cell>
          <cell r="B415" t="str">
            <v>VEM1290</v>
          </cell>
          <cell r="D415" t="str">
            <v>DUBSAN</v>
          </cell>
          <cell r="AG415" t="str">
            <v>HP</v>
          </cell>
          <cell r="AV415" t="b">
            <v>0</v>
          </cell>
          <cell r="FB415" t="str">
            <v>500</v>
          </cell>
          <cell r="FC415" t="str">
            <v>1200</v>
          </cell>
          <cell r="FD415" t="str">
            <v>277/480</v>
          </cell>
          <cell r="FE415" t="str">
            <v>3</v>
          </cell>
          <cell r="FF415" t="str">
            <v>60</v>
          </cell>
          <cell r="FJ415" t="str">
            <v>KATO</v>
          </cell>
          <cell r="FL415" t="str">
            <v>500-683361111</v>
          </cell>
          <cell r="FM415" t="str">
            <v>87382-2</v>
          </cell>
          <cell r="GV415" t="str">
            <v>752 ?? (ILLEGIBLE)</v>
          </cell>
          <cell r="GW415" t="str">
            <v>AC</v>
          </cell>
          <cell r="HD415" t="str">
            <v>Repair Shop</v>
          </cell>
          <cell r="HT415" t="b">
            <v>0</v>
          </cell>
          <cell r="HU415" t="str">
            <v>DUBLIN SAN RAMON SERVICES DISTRICT</v>
          </cell>
        </row>
        <row r="416">
          <cell r="A416">
            <v>4369</v>
          </cell>
          <cell r="B416" t="str">
            <v>VEM1289</v>
          </cell>
          <cell r="D416" t="str">
            <v>P66</v>
          </cell>
          <cell r="F416" t="str">
            <v>GE</v>
          </cell>
          <cell r="G416" t="str">
            <v>5BY452BL39</v>
          </cell>
          <cell r="H416" t="str">
            <v>MY8-562-MY</v>
          </cell>
          <cell r="I416" t="str">
            <v>189ATC</v>
          </cell>
          <cell r="K416" t="str">
            <v>3</v>
          </cell>
          <cell r="L416" t="str">
            <v>1750</v>
          </cell>
          <cell r="AG416" t="str">
            <v>HP</v>
          </cell>
          <cell r="AV416" t="b">
            <v>0</v>
          </cell>
          <cell r="EP416" t="str">
            <v>120</v>
          </cell>
          <cell r="EQ416" t="str">
            <v>21.4</v>
          </cell>
          <cell r="ER416" t="str">
            <v>120</v>
          </cell>
          <cell r="ES416" t="str">
            <v>.92</v>
          </cell>
          <cell r="HD416" t="str">
            <v>Repair Shop</v>
          </cell>
          <cell r="HT416" t="b">
            <v>0</v>
          </cell>
          <cell r="HU416" t="str">
            <v>PHILLIPS 66</v>
          </cell>
        </row>
        <row r="417">
          <cell r="A417">
            <v>4368</v>
          </cell>
          <cell r="B417" t="str">
            <v>VEM1288</v>
          </cell>
          <cell r="D417" t="str">
            <v>P66</v>
          </cell>
          <cell r="F417" t="str">
            <v>Reliance</v>
          </cell>
          <cell r="I417" t="str">
            <v>284TSC</v>
          </cell>
          <cell r="K417" t="str">
            <v>25</v>
          </cell>
          <cell r="L417" t="str">
            <v>3600</v>
          </cell>
          <cell r="O417" t="str">
            <v>Full no Cord</v>
          </cell>
          <cell r="P417" t="str">
            <v>TEFC</v>
          </cell>
          <cell r="R417" t="str">
            <v>Continuous</v>
          </cell>
          <cell r="T417" t="str">
            <v>yes</v>
          </cell>
          <cell r="V417" t="str">
            <v>3</v>
          </cell>
          <cell r="W417" t="str">
            <v>60</v>
          </cell>
          <cell r="X417" t="str">
            <v>460</v>
          </cell>
          <cell r="Y417" t="str">
            <v>28.1</v>
          </cell>
          <cell r="AA417" t="str">
            <v>Vertical</v>
          </cell>
          <cell r="AD417" t="str">
            <v>-1</v>
          </cell>
          <cell r="AG417" t="str">
            <v>HP</v>
          </cell>
          <cell r="AI417" t="str">
            <v>50BC03J30X</v>
          </cell>
          <cell r="AJ417" t="str">
            <v>50BC03J30X</v>
          </cell>
          <cell r="AV417" t="b">
            <v>0</v>
          </cell>
          <cell r="HD417" t="str">
            <v>Repair Shop</v>
          </cell>
          <cell r="HT417" t="b">
            <v>0</v>
          </cell>
          <cell r="HU417" t="str">
            <v>PHILLIPS 66</v>
          </cell>
        </row>
        <row r="418">
          <cell r="A418">
            <v>4367</v>
          </cell>
          <cell r="B418" t="str">
            <v>VEM1287</v>
          </cell>
          <cell r="D418" t="str">
            <v>P66</v>
          </cell>
          <cell r="F418" t="str">
            <v>US Motors</v>
          </cell>
          <cell r="I418" t="str">
            <v>286VP</v>
          </cell>
          <cell r="K418" t="str">
            <v>20</v>
          </cell>
          <cell r="L418" t="str">
            <v>1200</v>
          </cell>
          <cell r="O418" t="str">
            <v>Full no Cord</v>
          </cell>
          <cell r="R418" t="str">
            <v>Continuous</v>
          </cell>
          <cell r="S418" t="str">
            <v>Yes</v>
          </cell>
          <cell r="V418" t="str">
            <v>3</v>
          </cell>
          <cell r="W418" t="str">
            <v>60</v>
          </cell>
          <cell r="X418" t="str">
            <v>480</v>
          </cell>
          <cell r="Y418" t="str">
            <v>24.9</v>
          </cell>
          <cell r="AA418" t="str">
            <v>Vertical</v>
          </cell>
          <cell r="AG418" t="str">
            <v>HP</v>
          </cell>
          <cell r="AI418" t="str">
            <v>6311-J/C3</v>
          </cell>
          <cell r="AJ418" t="str">
            <v>6210-J/C3</v>
          </cell>
          <cell r="AV418" t="b">
            <v>0</v>
          </cell>
          <cell r="HD418" t="str">
            <v>Repair Shop</v>
          </cell>
          <cell r="HT418" t="b">
            <v>0</v>
          </cell>
          <cell r="HU418" t="str">
            <v>PHILLIPS 66</v>
          </cell>
        </row>
        <row r="419">
          <cell r="A419">
            <v>4366</v>
          </cell>
          <cell r="B419" t="str">
            <v>VEM1286</v>
          </cell>
          <cell r="D419" t="str">
            <v>P66</v>
          </cell>
          <cell r="F419" t="str">
            <v>Baldor</v>
          </cell>
          <cell r="I419" t="str">
            <v>184TC</v>
          </cell>
          <cell r="K419" t="str">
            <v>5</v>
          </cell>
          <cell r="L419" t="str">
            <v>1800</v>
          </cell>
          <cell r="O419" t="str">
            <v>Full no Cord</v>
          </cell>
          <cell r="P419" t="str">
            <v>TEFC</v>
          </cell>
          <cell r="R419" t="str">
            <v>Continuous</v>
          </cell>
          <cell r="S419" t="str">
            <v>Yes</v>
          </cell>
          <cell r="T419" t="str">
            <v>none no key</v>
          </cell>
          <cell r="V419" t="str">
            <v>3</v>
          </cell>
          <cell r="W419" t="str">
            <v>60</v>
          </cell>
          <cell r="X419" t="str">
            <v>460</v>
          </cell>
          <cell r="AA419" t="str">
            <v>Vertical</v>
          </cell>
          <cell r="AG419" t="str">
            <v>HP</v>
          </cell>
          <cell r="AI419" t="str">
            <v>6206</v>
          </cell>
          <cell r="AJ419" t="str">
            <v>6206</v>
          </cell>
          <cell r="AV419" t="b">
            <v>0</v>
          </cell>
          <cell r="HD419" t="str">
            <v>Repair Shop</v>
          </cell>
          <cell r="HT419" t="b">
            <v>0</v>
          </cell>
          <cell r="HU419" t="str">
            <v>PHILLIPS 66</v>
          </cell>
        </row>
        <row r="420">
          <cell r="A420">
            <v>4365</v>
          </cell>
          <cell r="B420" t="str">
            <v>vem1400</v>
          </cell>
          <cell r="D420" t="str">
            <v>CONHAGEN</v>
          </cell>
          <cell r="AG420" t="str">
            <v>HP</v>
          </cell>
          <cell r="AV420" t="b">
            <v>0</v>
          </cell>
          <cell r="HD420" t="str">
            <v>Repair Shop</v>
          </cell>
          <cell r="HT420" t="b">
            <v>0</v>
          </cell>
          <cell r="HU420" t="str">
            <v>ALFRED CONHAGEN CO. OF CA</v>
          </cell>
        </row>
        <row r="421">
          <cell r="A421">
            <v>4364</v>
          </cell>
          <cell r="B421" t="str">
            <v>VEM1285</v>
          </cell>
          <cell r="D421" t="str">
            <v>VALERO</v>
          </cell>
          <cell r="V421" t="str">
            <v>3</v>
          </cell>
          <cell r="W421" t="str">
            <v>60</v>
          </cell>
          <cell r="AV421" t="b">
            <v>0</v>
          </cell>
          <cell r="HD421" t="str">
            <v>Repair Shop</v>
          </cell>
          <cell r="HT421" t="b">
            <v>0</v>
          </cell>
          <cell r="HU421" t="str">
            <v>VALERO REFINING CO. BENICIA</v>
          </cell>
        </row>
        <row r="422">
          <cell r="A422">
            <v>4363</v>
          </cell>
          <cell r="B422" t="str">
            <v>VEM1284</v>
          </cell>
          <cell r="D422" t="str">
            <v>CONHAGEN</v>
          </cell>
          <cell r="F422" t="str">
            <v>Reliance</v>
          </cell>
          <cell r="G422" t="str">
            <v>P18G3338G</v>
          </cell>
          <cell r="I422" t="str">
            <v>EB 184T</v>
          </cell>
          <cell r="K422" t="str">
            <v>5</v>
          </cell>
          <cell r="L422" t="str">
            <v>1750</v>
          </cell>
          <cell r="M422" t="str">
            <v>P</v>
          </cell>
          <cell r="N422" t="str">
            <v>126</v>
          </cell>
          <cell r="O422" t="str">
            <v>Full no Cord</v>
          </cell>
          <cell r="P422" t="str">
            <v>TEFC</v>
          </cell>
          <cell r="R422" t="str">
            <v>Continuous</v>
          </cell>
          <cell r="S422" t="str">
            <v>Yes</v>
          </cell>
          <cell r="T422" t="str">
            <v>none no key</v>
          </cell>
          <cell r="U422" t="str">
            <v>40</v>
          </cell>
          <cell r="V422" t="str">
            <v>3</v>
          </cell>
          <cell r="W422" t="str">
            <v>60</v>
          </cell>
          <cell r="X422" t="str">
            <v>230/460</v>
          </cell>
          <cell r="Y422" t="str">
            <v>12.2/6.10</v>
          </cell>
          <cell r="AA422" t="str">
            <v>F1</v>
          </cell>
          <cell r="AG422" t="str">
            <v>HP</v>
          </cell>
          <cell r="AO422" t="str">
            <v>B</v>
          </cell>
          <cell r="AP422" t="str">
            <v>J</v>
          </cell>
          <cell r="AQ422" t="str">
            <v>F</v>
          </cell>
          <cell r="AR422" t="str">
            <v>86.4</v>
          </cell>
          <cell r="AS422" t="str">
            <v>1.15</v>
          </cell>
          <cell r="AT422" t="str">
            <v>88.5</v>
          </cell>
          <cell r="AV422" t="b">
            <v>0</v>
          </cell>
          <cell r="EX422" t="str">
            <v>20GP183338G</v>
          </cell>
          <cell r="HD422" t="str">
            <v>Repair Shop</v>
          </cell>
          <cell r="HT422" t="b">
            <v>0</v>
          </cell>
          <cell r="HU422" t="str">
            <v>ALFRED CONHAGEN CO. OF CA</v>
          </cell>
        </row>
        <row r="423">
          <cell r="A423">
            <v>4362</v>
          </cell>
          <cell r="B423" t="str">
            <v>VEM1283</v>
          </cell>
          <cell r="D423" t="str">
            <v>P66</v>
          </cell>
          <cell r="F423" t="str">
            <v>Baldor</v>
          </cell>
          <cell r="H423" t="str">
            <v>Z1606070347</v>
          </cell>
          <cell r="I423" t="str">
            <v>254T</v>
          </cell>
          <cell r="K423" t="str">
            <v>7.5</v>
          </cell>
          <cell r="L423" t="str">
            <v>1180</v>
          </cell>
          <cell r="O423" t="str">
            <v>Full no Cord</v>
          </cell>
          <cell r="P423" t="str">
            <v>TEFC</v>
          </cell>
          <cell r="R423" t="str">
            <v>Continuous</v>
          </cell>
          <cell r="S423" t="str">
            <v>Yes</v>
          </cell>
          <cell r="T423" t="str">
            <v>none no key</v>
          </cell>
          <cell r="U423" t="str">
            <v>40</v>
          </cell>
          <cell r="V423" t="str">
            <v>3</v>
          </cell>
          <cell r="W423" t="str">
            <v>60</v>
          </cell>
          <cell r="X423" t="str">
            <v>230/460</v>
          </cell>
          <cell r="Y423" t="str">
            <v>22/11</v>
          </cell>
          <cell r="Z423" t="str">
            <v>No  v ring</v>
          </cell>
          <cell r="AA423" t="str">
            <v>F1</v>
          </cell>
          <cell r="AG423" t="str">
            <v>HP</v>
          </cell>
          <cell r="AI423" t="str">
            <v>6309</v>
          </cell>
          <cell r="AJ423" t="str">
            <v>6208</v>
          </cell>
          <cell r="AO423" t="str">
            <v>A</v>
          </cell>
          <cell r="AP423" t="str">
            <v>J</v>
          </cell>
          <cell r="AQ423" t="str">
            <v>F</v>
          </cell>
          <cell r="AR423" t="str">
            <v>70</v>
          </cell>
          <cell r="AS423" t="str">
            <v>1.15</v>
          </cell>
          <cell r="AT423" t="str">
            <v>91</v>
          </cell>
          <cell r="AU423" t="str">
            <v>09P011T118</v>
          </cell>
          <cell r="AV423" t="b">
            <v>0</v>
          </cell>
          <cell r="EW423" t="str">
            <v>EM2276T</v>
          </cell>
          <cell r="HD423" t="str">
            <v>Repair Shop</v>
          </cell>
          <cell r="HT423" t="b">
            <v>0</v>
          </cell>
          <cell r="HU423" t="str">
            <v>PHILLIPS 66</v>
          </cell>
        </row>
        <row r="424">
          <cell r="A424">
            <v>4361</v>
          </cell>
          <cell r="B424" t="str">
            <v>VEM1282</v>
          </cell>
          <cell r="D424" t="str">
            <v>CITYOFNAPA</v>
          </cell>
          <cell r="F424" t="str">
            <v>WEG</v>
          </cell>
          <cell r="G424" t="str">
            <v>01518ET3E254T</v>
          </cell>
          <cell r="H424" t="str">
            <v>13JUN07CC27910</v>
          </cell>
          <cell r="I424" t="str">
            <v>254T</v>
          </cell>
          <cell r="K424" t="str">
            <v>15</v>
          </cell>
          <cell r="L424" t="str">
            <v>1765</v>
          </cell>
          <cell r="M424" t="str">
            <v>ET</v>
          </cell>
          <cell r="N424" t="str">
            <v>274</v>
          </cell>
          <cell r="O424" t="str">
            <v>Full no Cord</v>
          </cell>
          <cell r="P424" t="str">
            <v>TEFCF</v>
          </cell>
          <cell r="Q424" t="str">
            <v>NONE</v>
          </cell>
          <cell r="R424" t="str">
            <v>Continuous</v>
          </cell>
          <cell r="S424" t="str">
            <v>Yes</v>
          </cell>
          <cell r="T424" t="str">
            <v>NONE</v>
          </cell>
          <cell r="U424" t="str">
            <v>40</v>
          </cell>
          <cell r="V424" t="str">
            <v>3</v>
          </cell>
          <cell r="W424" t="str">
            <v>60/50</v>
          </cell>
          <cell r="X424" t="str">
            <v>208-230/460</v>
          </cell>
          <cell r="AA424" t="str">
            <v>F1</v>
          </cell>
          <cell r="AG424" t="str">
            <v>HP</v>
          </cell>
          <cell r="AI424" t="str">
            <v>6309</v>
          </cell>
          <cell r="AJ424" t="str">
            <v>6209</v>
          </cell>
          <cell r="AO424" t="str">
            <v>B</v>
          </cell>
          <cell r="AP424" t="str">
            <v>H</v>
          </cell>
          <cell r="AQ424" t="str">
            <v>F</v>
          </cell>
          <cell r="AR424" t="str">
            <v>.83</v>
          </cell>
          <cell r="AS424" t="str">
            <v>1.25</v>
          </cell>
          <cell r="AT424" t="str">
            <v>92.4</v>
          </cell>
          <cell r="AV424" t="b">
            <v>0</v>
          </cell>
          <cell r="AW424" t="str">
            <v>39.8-36/18</v>
          </cell>
          <cell r="HD424" t="str">
            <v>Repair Shop</v>
          </cell>
          <cell r="HT424" t="b">
            <v>0</v>
          </cell>
          <cell r="HU424" t="str">
            <v>CITY OF NAPA, PUBLIC WORKS DEPT</v>
          </cell>
        </row>
        <row r="425">
          <cell r="A425">
            <v>4360</v>
          </cell>
          <cell r="B425" t="str">
            <v>VEM1281</v>
          </cell>
          <cell r="D425" t="str">
            <v>P66</v>
          </cell>
          <cell r="F425" t="str">
            <v>GE</v>
          </cell>
          <cell r="G425" t="str">
            <v>5BY4518171</v>
          </cell>
          <cell r="H425" t="str">
            <v>KY8-1117-KY</v>
          </cell>
          <cell r="K425" t="str">
            <v>1.5</v>
          </cell>
          <cell r="L425" t="str">
            <v>1750</v>
          </cell>
          <cell r="M425" t="str">
            <v>CD189AT</v>
          </cell>
          <cell r="O425" t="str">
            <v>Full no Cord</v>
          </cell>
          <cell r="P425" t="str">
            <v>TENV</v>
          </cell>
          <cell r="Q425" t="str">
            <v>Yes</v>
          </cell>
          <cell r="R425" t="str">
            <v>Continuous</v>
          </cell>
          <cell r="S425" t="str">
            <v>No</v>
          </cell>
          <cell r="U425" t="str">
            <v>50</v>
          </cell>
          <cell r="X425" t="str">
            <v>120</v>
          </cell>
          <cell r="Y425" t="str">
            <v>10.7</v>
          </cell>
          <cell r="AD425" t="str">
            <v>-1</v>
          </cell>
          <cell r="AG425" t="str">
            <v>HP</v>
          </cell>
          <cell r="AQ425" t="str">
            <v>F</v>
          </cell>
          <cell r="AV425" t="b">
            <v>0</v>
          </cell>
          <cell r="ER425" t="str">
            <v>120</v>
          </cell>
          <cell r="ES425" t="str">
            <v>.75</v>
          </cell>
          <cell r="HD425" t="str">
            <v>Repair Shop</v>
          </cell>
          <cell r="HT425" t="b">
            <v>0</v>
          </cell>
          <cell r="HU425" t="str">
            <v>PHILLIPS 66</v>
          </cell>
        </row>
        <row r="426">
          <cell r="A426">
            <v>4359</v>
          </cell>
          <cell r="B426" t="str">
            <v>VEM9999</v>
          </cell>
          <cell r="D426" t="str">
            <v>GE</v>
          </cell>
          <cell r="F426" t="str">
            <v>GE</v>
          </cell>
          <cell r="G426" t="str">
            <v>V770</v>
          </cell>
          <cell r="I426" t="str">
            <v>210LP</v>
          </cell>
          <cell r="K426" t="str">
            <v>7.5</v>
          </cell>
          <cell r="L426" t="str">
            <v>3600</v>
          </cell>
          <cell r="P426" t="str">
            <v>TEFC</v>
          </cell>
          <cell r="X426" t="str">
            <v>460</v>
          </cell>
          <cell r="AA426" t="str">
            <v>Vertical</v>
          </cell>
          <cell r="AG426" t="str">
            <v>HP</v>
          </cell>
          <cell r="AV426" t="b">
            <v>0</v>
          </cell>
          <cell r="HD426" t="str">
            <v>Repair Shop</v>
          </cell>
          <cell r="HT426" t="b">
            <v>0</v>
          </cell>
          <cell r="HU426" t="str">
            <v>General Electric</v>
          </cell>
        </row>
        <row r="427">
          <cell r="A427">
            <v>4358</v>
          </cell>
          <cell r="B427" t="str">
            <v>VEM1280</v>
          </cell>
          <cell r="D427" t="str">
            <v>ALFBURTLESON</v>
          </cell>
          <cell r="AD427" t="str">
            <v>0</v>
          </cell>
          <cell r="AG427" t="str">
            <v>HP</v>
          </cell>
          <cell r="AV427" t="b">
            <v>0</v>
          </cell>
          <cell r="HD427" t="str">
            <v>Repair Shop</v>
          </cell>
          <cell r="HT427" t="b">
            <v>0</v>
          </cell>
          <cell r="HU427" t="str">
            <v>ALF BURTLESON CONSTRUCTION CO.</v>
          </cell>
        </row>
        <row r="428">
          <cell r="A428">
            <v>4357</v>
          </cell>
          <cell r="B428" t="str">
            <v>VEM1279</v>
          </cell>
          <cell r="D428" t="str">
            <v>SIXFLAGSHURRICA</v>
          </cell>
          <cell r="F428" t="str">
            <v>Emerson</v>
          </cell>
          <cell r="G428" t="str">
            <v>BF48A</v>
          </cell>
          <cell r="I428" t="str">
            <v>324TP</v>
          </cell>
          <cell r="K428" t="str">
            <v>40</v>
          </cell>
          <cell r="L428" t="str">
            <v>1780</v>
          </cell>
          <cell r="M428" t="str">
            <v>RU</v>
          </cell>
          <cell r="N428" t="str">
            <v>635</v>
          </cell>
          <cell r="O428" t="str">
            <v>None</v>
          </cell>
          <cell r="P428" t="str">
            <v>ODP</v>
          </cell>
          <cell r="R428" t="str">
            <v>Continuous</v>
          </cell>
          <cell r="T428" t="str">
            <v>yes</v>
          </cell>
          <cell r="U428" t="str">
            <v>40</v>
          </cell>
          <cell r="V428" t="str">
            <v>3</v>
          </cell>
          <cell r="W428" t="str">
            <v>60</v>
          </cell>
          <cell r="X428" t="str">
            <v>230/460</v>
          </cell>
          <cell r="Y428" t="str">
            <v>112/56</v>
          </cell>
          <cell r="AA428" t="str">
            <v>Vertical</v>
          </cell>
          <cell r="AG428" t="str">
            <v>HP</v>
          </cell>
          <cell r="AI428" t="str">
            <v>6211</v>
          </cell>
          <cell r="AJ428" t="str">
            <v>7220</v>
          </cell>
          <cell r="AO428" t="str">
            <v>B</v>
          </cell>
          <cell r="AP428" t="str">
            <v>F</v>
          </cell>
          <cell r="AQ428" t="str">
            <v>F</v>
          </cell>
          <cell r="AR428" t="str">
            <v>85.7</v>
          </cell>
          <cell r="AS428" t="str">
            <v>1.15</v>
          </cell>
          <cell r="AT428" t="str">
            <v>89.5</v>
          </cell>
          <cell r="AV428" t="b">
            <v>0</v>
          </cell>
          <cell r="EW428" t="str">
            <v>H040S2BLG</v>
          </cell>
          <cell r="EX428" t="str">
            <v>R 03 7406991-0034 M 0008</v>
          </cell>
          <cell r="GK428" t="str">
            <v>Oil capacity 3 qts.</v>
          </cell>
          <cell r="HD428" t="str">
            <v>Repair Shop</v>
          </cell>
          <cell r="HT428" t="b">
            <v>0</v>
          </cell>
          <cell r="HU428" t="str">
            <v>SIX FLAGS HURRICANE HARBOR CONCORD</v>
          </cell>
        </row>
        <row r="429">
          <cell r="A429">
            <v>4356</v>
          </cell>
          <cell r="B429" t="str">
            <v>VEM1278</v>
          </cell>
          <cell r="D429" t="str">
            <v>SIXFLAGSHURRICA</v>
          </cell>
          <cell r="F429" t="str">
            <v>US Motors</v>
          </cell>
          <cell r="I429" t="str">
            <v>324TP</v>
          </cell>
          <cell r="K429" t="str">
            <v>40</v>
          </cell>
          <cell r="L429" t="str">
            <v>1775</v>
          </cell>
          <cell r="M429" t="str">
            <v>RU</v>
          </cell>
          <cell r="O429" t="str">
            <v>None</v>
          </cell>
          <cell r="P429" t="str">
            <v>ODP</v>
          </cell>
          <cell r="R429" t="str">
            <v>Continuous</v>
          </cell>
          <cell r="T429" t="str">
            <v>yes</v>
          </cell>
          <cell r="V429" t="str">
            <v>3</v>
          </cell>
          <cell r="W429" t="str">
            <v>60</v>
          </cell>
          <cell r="X429" t="str">
            <v>230/460</v>
          </cell>
          <cell r="Y429" t="str">
            <v>103/51.5</v>
          </cell>
          <cell r="AA429" t="str">
            <v>Vertical</v>
          </cell>
          <cell r="AG429" t="str">
            <v>HP</v>
          </cell>
          <cell r="AI429" t="str">
            <v>6211</v>
          </cell>
          <cell r="AJ429" t="str">
            <v>7220</v>
          </cell>
          <cell r="AO429" t="str">
            <v>B</v>
          </cell>
          <cell r="AP429" t="str">
            <v>F</v>
          </cell>
          <cell r="AS429" t="str">
            <v>1.15</v>
          </cell>
          <cell r="AT429" t="str">
            <v>89.5</v>
          </cell>
          <cell r="AV429" t="b">
            <v>0</v>
          </cell>
          <cell r="EX429" t="str">
            <v>6229A-50-YO2x325P355M</v>
          </cell>
          <cell r="GK429" t="str">
            <v>Oil capacity  3 1/4 qts.</v>
          </cell>
          <cell r="HD429" t="str">
            <v>Repair Shop</v>
          </cell>
          <cell r="HT429" t="b">
            <v>0</v>
          </cell>
          <cell r="HU429" t="str">
            <v>SIX FLAGS HURRICANE HARBOR CONCORD</v>
          </cell>
        </row>
        <row r="430">
          <cell r="A430">
            <v>4355</v>
          </cell>
          <cell r="B430" t="str">
            <v>VEM1277</v>
          </cell>
          <cell r="D430" t="str">
            <v>VALERO</v>
          </cell>
          <cell r="F430" t="str">
            <v>Louis Allis</v>
          </cell>
          <cell r="H430" t="str">
            <v>8289179001</v>
          </cell>
          <cell r="I430" t="str">
            <v>509US</v>
          </cell>
          <cell r="K430" t="str">
            <v>450</v>
          </cell>
          <cell r="L430" t="str">
            <v>1780</v>
          </cell>
          <cell r="M430" t="str">
            <v>CFX</v>
          </cell>
          <cell r="O430" t="str">
            <v>Full no Cord</v>
          </cell>
          <cell r="R430" t="str">
            <v>Continuous</v>
          </cell>
          <cell r="S430" t="str">
            <v>Yes</v>
          </cell>
          <cell r="T430" t="str">
            <v>flush</v>
          </cell>
          <cell r="U430" t="str">
            <v>60</v>
          </cell>
          <cell r="V430" t="str">
            <v>3</v>
          </cell>
          <cell r="W430" t="str">
            <v>60</v>
          </cell>
          <cell r="X430" t="str">
            <v>460</v>
          </cell>
          <cell r="Y430" t="str">
            <v>486</v>
          </cell>
          <cell r="AG430" t="str">
            <v>HP</v>
          </cell>
          <cell r="AP430" t="str">
            <v>F</v>
          </cell>
          <cell r="AQ430" t="str">
            <v>F</v>
          </cell>
          <cell r="AS430" t="str">
            <v>1.15</v>
          </cell>
          <cell r="AV430" t="b">
            <v>0</v>
          </cell>
          <cell r="HD430" t="str">
            <v>Repair Shop</v>
          </cell>
          <cell r="HT430" t="b">
            <v>0</v>
          </cell>
          <cell r="HU430" t="str">
            <v>VALERO REFINING CO. BENICIA</v>
          </cell>
        </row>
        <row r="431">
          <cell r="A431">
            <v>4354</v>
          </cell>
          <cell r="B431" t="str">
            <v>VEM1276</v>
          </cell>
          <cell r="D431" t="str">
            <v>RAGSDALE</v>
          </cell>
          <cell r="F431" t="str">
            <v>Sew</v>
          </cell>
          <cell r="P431" t="str">
            <v>TEFC</v>
          </cell>
          <cell r="R431" t="str">
            <v>Continuous</v>
          </cell>
          <cell r="U431" t="str">
            <v>40</v>
          </cell>
          <cell r="V431" t="str">
            <v>3</v>
          </cell>
          <cell r="W431" t="str">
            <v>60</v>
          </cell>
          <cell r="X431" t="str">
            <v>230/460</v>
          </cell>
          <cell r="Y431" t="str">
            <v>6/3</v>
          </cell>
          <cell r="AV431" t="b">
            <v>0</v>
          </cell>
          <cell r="HD431" t="str">
            <v>Repair Shop</v>
          </cell>
          <cell r="HT431" t="b">
            <v>0</v>
          </cell>
          <cell r="HU431" t="str">
            <v>GLEN RAGSDALE UNDERGROUND ASSOC. INC.</v>
          </cell>
        </row>
        <row r="432">
          <cell r="A432">
            <v>4353</v>
          </cell>
          <cell r="B432" t="str">
            <v>VEM1275</v>
          </cell>
          <cell r="D432" t="str">
            <v>VALERO</v>
          </cell>
          <cell r="F432" t="str">
            <v>Reliance</v>
          </cell>
          <cell r="G432" t="str">
            <v>B435295</v>
          </cell>
          <cell r="H432" t="str">
            <v>B435295-020    L002KL</v>
          </cell>
          <cell r="I432" t="str">
            <v>254T</v>
          </cell>
          <cell r="K432" t="str">
            <v>15</v>
          </cell>
          <cell r="L432" t="str">
            <v>1765</v>
          </cell>
          <cell r="M432" t="str">
            <v>P</v>
          </cell>
          <cell r="N432" t="str">
            <v>314</v>
          </cell>
          <cell r="O432" t="str">
            <v>None</v>
          </cell>
          <cell r="P432" t="str">
            <v>TEFC</v>
          </cell>
          <cell r="R432" t="str">
            <v>Continuous</v>
          </cell>
          <cell r="S432" t="str">
            <v>Yes</v>
          </cell>
          <cell r="T432" t="str">
            <v>none no key</v>
          </cell>
          <cell r="V432" t="str">
            <v>3</v>
          </cell>
          <cell r="X432" t="str">
            <v>460</v>
          </cell>
          <cell r="Y432" t="str">
            <v>18.1</v>
          </cell>
          <cell r="Z432" t="str">
            <v>Yes</v>
          </cell>
          <cell r="AA432" t="str">
            <v>F1</v>
          </cell>
          <cell r="AG432" t="str">
            <v>HP</v>
          </cell>
          <cell r="AO432" t="str">
            <v>B</v>
          </cell>
          <cell r="AP432" t="str">
            <v>G</v>
          </cell>
          <cell r="AQ432" t="str">
            <v>F</v>
          </cell>
          <cell r="AS432" t="str">
            <v>1.15</v>
          </cell>
          <cell r="AV432" t="b">
            <v>0</v>
          </cell>
          <cell r="HD432" t="str">
            <v>Repair Shop</v>
          </cell>
          <cell r="HT432" t="b">
            <v>0</v>
          </cell>
          <cell r="HU432" t="str">
            <v>VALERO REFINING CO. BENICIA</v>
          </cell>
        </row>
        <row r="433">
          <cell r="A433">
            <v>4352</v>
          </cell>
          <cell r="B433" t="str">
            <v>VEM1274</v>
          </cell>
          <cell r="D433" t="str">
            <v>BENICIAWASTE</v>
          </cell>
          <cell r="F433" t="str">
            <v>Sew</v>
          </cell>
          <cell r="K433" t="str">
            <v>7.5</v>
          </cell>
          <cell r="L433" t="str">
            <v>1768</v>
          </cell>
          <cell r="O433" t="str">
            <v>Half no Cord</v>
          </cell>
          <cell r="P433" t="str">
            <v>TEFC</v>
          </cell>
          <cell r="R433" t="str">
            <v>Continuous</v>
          </cell>
          <cell r="S433" t="str">
            <v>Yes</v>
          </cell>
          <cell r="T433" t="str">
            <v>none no key</v>
          </cell>
          <cell r="U433" t="str">
            <v>40</v>
          </cell>
          <cell r="V433" t="str">
            <v>3</v>
          </cell>
          <cell r="W433" t="str">
            <v>60</v>
          </cell>
          <cell r="X433" t="str">
            <v>230/460</v>
          </cell>
          <cell r="Y433" t="str">
            <v>18.40/9.20</v>
          </cell>
          <cell r="Z433" t="str">
            <v>Yes</v>
          </cell>
          <cell r="AD433" t="str">
            <v>0</v>
          </cell>
          <cell r="AG433" t="str">
            <v>HP</v>
          </cell>
          <cell r="AR433" t="str">
            <v>0.82</v>
          </cell>
          <cell r="AS433" t="str">
            <v>1.15</v>
          </cell>
          <cell r="AT433" t="str">
            <v>91.7</v>
          </cell>
          <cell r="AV433" t="b">
            <v>0</v>
          </cell>
          <cell r="HD433" t="str">
            <v>Repair Shop</v>
          </cell>
          <cell r="HT433" t="b">
            <v>0</v>
          </cell>
          <cell r="HU433" t="str">
            <v>CITY OF BENICIA WASTE WATER</v>
          </cell>
        </row>
        <row r="434">
          <cell r="A434">
            <v>4351</v>
          </cell>
          <cell r="B434" t="str">
            <v>VEM1273</v>
          </cell>
          <cell r="D434" t="str">
            <v>BENICIAWASTE</v>
          </cell>
          <cell r="F434" t="str">
            <v>US Motors</v>
          </cell>
          <cell r="I434" t="str">
            <v>213T</v>
          </cell>
          <cell r="K434" t="str">
            <v>3.0</v>
          </cell>
          <cell r="L434" t="str">
            <v>1165</v>
          </cell>
          <cell r="O434" t="str">
            <v>Half no Cord</v>
          </cell>
          <cell r="P434" t="str">
            <v>ODP</v>
          </cell>
          <cell r="Q434" t="str">
            <v>Yes</v>
          </cell>
          <cell r="R434" t="str">
            <v>Continuous</v>
          </cell>
          <cell r="S434" t="str">
            <v>Lifting eyes</v>
          </cell>
          <cell r="U434" t="str">
            <v>40</v>
          </cell>
          <cell r="V434" t="str">
            <v>3</v>
          </cell>
          <cell r="W434" t="str">
            <v>60</v>
          </cell>
          <cell r="X434" t="str">
            <v>230/460</v>
          </cell>
          <cell r="Y434" t="str">
            <v>10.28/5.14</v>
          </cell>
          <cell r="AA434" t="str">
            <v>F1</v>
          </cell>
          <cell r="AG434" t="str">
            <v>HP</v>
          </cell>
          <cell r="AI434" t="str">
            <v>6208</v>
          </cell>
          <cell r="AJ434" t="str">
            <v>6206</v>
          </cell>
          <cell r="AO434" t="str">
            <v>B</v>
          </cell>
          <cell r="AQ434" t="str">
            <v>B</v>
          </cell>
          <cell r="AS434" t="str">
            <v>1.15</v>
          </cell>
          <cell r="AV434" t="b">
            <v>0</v>
          </cell>
          <cell r="EX434" t="str">
            <v>F-9245-04-115</v>
          </cell>
          <cell r="HD434" t="str">
            <v>Repair Shop</v>
          </cell>
          <cell r="HT434" t="b">
            <v>0</v>
          </cell>
          <cell r="HU434" t="str">
            <v>CITY OF BENICIA WASTE WATER</v>
          </cell>
        </row>
        <row r="435">
          <cell r="A435">
            <v>4350</v>
          </cell>
          <cell r="B435" t="str">
            <v>VEM1272</v>
          </cell>
          <cell r="D435" t="str">
            <v>VALERO</v>
          </cell>
          <cell r="F435" t="str">
            <v>Westinghouse</v>
          </cell>
          <cell r="G435" t="str">
            <v>TBFC</v>
          </cell>
          <cell r="H435" t="str">
            <v>6907</v>
          </cell>
          <cell r="I435" t="str">
            <v>284TP</v>
          </cell>
          <cell r="K435" t="str">
            <v>25</v>
          </cell>
          <cell r="L435" t="str">
            <v>35409</v>
          </cell>
          <cell r="O435" t="str">
            <v>None</v>
          </cell>
          <cell r="P435" t="str">
            <v>TEFC</v>
          </cell>
          <cell r="R435" t="str">
            <v>Continuous</v>
          </cell>
          <cell r="S435" t="str">
            <v>lifting eyes on top of motor</v>
          </cell>
          <cell r="T435" t="str">
            <v>Nlone no key</v>
          </cell>
          <cell r="U435" t="str">
            <v>40</v>
          </cell>
          <cell r="V435" t="str">
            <v>3</v>
          </cell>
          <cell r="W435" t="str">
            <v>60</v>
          </cell>
          <cell r="X435" t="str">
            <v>230/460</v>
          </cell>
          <cell r="Y435" t="str">
            <v>59.629.8</v>
          </cell>
          <cell r="AA435" t="str">
            <v>Vertical</v>
          </cell>
          <cell r="AG435" t="str">
            <v>HP</v>
          </cell>
          <cell r="AI435" t="str">
            <v>6311</v>
          </cell>
          <cell r="AJ435" t="str">
            <v>6209</v>
          </cell>
          <cell r="AP435" t="str">
            <v>G</v>
          </cell>
          <cell r="AQ435" t="str">
            <v>B</v>
          </cell>
          <cell r="AS435" t="str">
            <v>1.0</v>
          </cell>
          <cell r="AV435" t="b">
            <v>0</v>
          </cell>
          <cell r="EY435" t="str">
            <v>69D42052</v>
          </cell>
          <cell r="HD435" t="str">
            <v>Repair Shop</v>
          </cell>
          <cell r="HT435" t="b">
            <v>0</v>
          </cell>
          <cell r="HU435" t="str">
            <v>VALERO REFINING CO. BENICIA</v>
          </cell>
        </row>
        <row r="436">
          <cell r="A436">
            <v>4348</v>
          </cell>
          <cell r="B436" t="str">
            <v>VEM1270</v>
          </cell>
          <cell r="D436" t="str">
            <v>UNICO</v>
          </cell>
          <cell r="F436" t="str">
            <v>Toshiba</v>
          </cell>
          <cell r="G436" t="str">
            <v>B0406FFF3A3</v>
          </cell>
          <cell r="H436" t="str">
            <v>50326723</v>
          </cell>
          <cell r="I436" t="str">
            <v>364T</v>
          </cell>
          <cell r="K436" t="str">
            <v>40</v>
          </cell>
          <cell r="L436" t="str">
            <v>1175</v>
          </cell>
          <cell r="M436" t="str">
            <v>TIKK</v>
          </cell>
          <cell r="O436" t="str">
            <v>Full no Cord</v>
          </cell>
          <cell r="P436" t="str">
            <v>TEFC</v>
          </cell>
          <cell r="R436" t="str">
            <v>Continuous</v>
          </cell>
          <cell r="S436" t="str">
            <v>Yes</v>
          </cell>
          <cell r="T436" t="str">
            <v>yes</v>
          </cell>
          <cell r="U436" t="str">
            <v>40</v>
          </cell>
          <cell r="V436" t="str">
            <v>3</v>
          </cell>
          <cell r="W436" t="str">
            <v>60</v>
          </cell>
          <cell r="X436" t="str">
            <v>230/460</v>
          </cell>
          <cell r="Y436" t="str">
            <v>102/51</v>
          </cell>
          <cell r="AA436" t="str">
            <v>F1</v>
          </cell>
          <cell r="AD436" t="str">
            <v>0</v>
          </cell>
          <cell r="AG436" t="str">
            <v>HP</v>
          </cell>
          <cell r="AI436" t="str">
            <v>6314</v>
          </cell>
          <cell r="AJ436" t="str">
            <v>6312</v>
          </cell>
          <cell r="AO436" t="str">
            <v>B</v>
          </cell>
          <cell r="AP436" t="str">
            <v>G</v>
          </cell>
          <cell r="AQ436" t="str">
            <v>B</v>
          </cell>
          <cell r="AS436" t="str">
            <v>1.0</v>
          </cell>
          <cell r="AV436" t="b">
            <v>0</v>
          </cell>
          <cell r="HD436" t="str">
            <v>Repair Shop</v>
          </cell>
          <cell r="HT436" t="b">
            <v>0</v>
          </cell>
          <cell r="HU436" t="str">
            <v>UNICO MECHANICAL CORP.</v>
          </cell>
        </row>
        <row r="437">
          <cell r="A437">
            <v>4347</v>
          </cell>
          <cell r="B437" t="str">
            <v>VEM1269</v>
          </cell>
          <cell r="D437" t="str">
            <v>DUBSAN</v>
          </cell>
          <cell r="AG437" t="str">
            <v>HP</v>
          </cell>
          <cell r="AV437" t="b">
            <v>0</v>
          </cell>
          <cell r="FB437" t="str">
            <v>500</v>
          </cell>
          <cell r="FC437" t="str">
            <v>1200</v>
          </cell>
          <cell r="FD437" t="str">
            <v>277/480</v>
          </cell>
          <cell r="FE437" t="str">
            <v>3</v>
          </cell>
          <cell r="FF437" t="str">
            <v>60</v>
          </cell>
          <cell r="GV437" t="str">
            <v>75</v>
          </cell>
          <cell r="HD437" t="str">
            <v>Repair Shop</v>
          </cell>
          <cell r="HT437" t="b">
            <v>0</v>
          </cell>
          <cell r="HU437" t="str">
            <v>DUBLIN SAN RAMON SERVICES DISTRICT</v>
          </cell>
        </row>
        <row r="438">
          <cell r="A438">
            <v>4346</v>
          </cell>
          <cell r="B438" t="str">
            <v>VEM1268</v>
          </cell>
          <cell r="D438" t="str">
            <v>MAACO</v>
          </cell>
          <cell r="F438" t="str">
            <v>WEG</v>
          </cell>
          <cell r="I438" t="str">
            <v>132M</v>
          </cell>
          <cell r="K438" t="str">
            <v>15</v>
          </cell>
          <cell r="L438" t="str">
            <v>3545</v>
          </cell>
          <cell r="M438" t="str">
            <v>ET</v>
          </cell>
          <cell r="N438" t="str">
            <v>179</v>
          </cell>
          <cell r="O438" t="str">
            <v>Full w/ Cord</v>
          </cell>
          <cell r="P438" t="str">
            <v>TEFC</v>
          </cell>
          <cell r="R438" t="str">
            <v>Continuous</v>
          </cell>
          <cell r="S438" t="str">
            <v>No</v>
          </cell>
          <cell r="T438" t="str">
            <v>key only</v>
          </cell>
          <cell r="U438" t="str">
            <v>40</v>
          </cell>
          <cell r="V438" t="str">
            <v>3</v>
          </cell>
          <cell r="W438" t="str">
            <v>60</v>
          </cell>
          <cell r="X438" t="str">
            <v>208-230/460</v>
          </cell>
          <cell r="Y438" t="str">
            <v>38.9-35.2/17.6</v>
          </cell>
          <cell r="AA438" t="str">
            <v>F1</v>
          </cell>
          <cell r="AG438" t="str">
            <v>HP</v>
          </cell>
          <cell r="AI438" t="str">
            <v>6308</v>
          </cell>
          <cell r="AJ438" t="str">
            <v>6207</v>
          </cell>
          <cell r="AP438" t="str">
            <v>K</v>
          </cell>
          <cell r="AQ438" t="str">
            <v>F</v>
          </cell>
          <cell r="AR438" t="str">
            <v>.87</v>
          </cell>
          <cell r="AS438" t="str">
            <v>1.20</v>
          </cell>
          <cell r="AV438" t="b">
            <v>0</v>
          </cell>
          <cell r="HD438" t="str">
            <v>Repair Shop</v>
          </cell>
          <cell r="HT438" t="b">
            <v>0</v>
          </cell>
          <cell r="HU438" t="str">
            <v>Maaco</v>
          </cell>
        </row>
        <row r="439">
          <cell r="A439">
            <v>4345</v>
          </cell>
          <cell r="B439" t="str">
            <v>VEM1267</v>
          </cell>
          <cell r="D439" t="str">
            <v>CITYOFNAPA</v>
          </cell>
          <cell r="F439" t="str">
            <v>Grunfos PUMP</v>
          </cell>
          <cell r="G439" t="str">
            <v>A 98126058 P2 1545</v>
          </cell>
          <cell r="K439" t="str">
            <v>5</v>
          </cell>
          <cell r="M439" t="str">
            <v>CME10 3 A S A E  AQQE Q A D N</v>
          </cell>
          <cell r="R439" t="str">
            <v>Continuous</v>
          </cell>
          <cell r="U439" t="str">
            <v>40</v>
          </cell>
          <cell r="V439" t="str">
            <v>3</v>
          </cell>
          <cell r="W439" t="str">
            <v>60</v>
          </cell>
          <cell r="X439" t="str">
            <v>208-230</v>
          </cell>
          <cell r="AG439" t="str">
            <v>HP</v>
          </cell>
          <cell r="AQ439" t="str">
            <v>F</v>
          </cell>
          <cell r="AV439" t="b">
            <v>0</v>
          </cell>
          <cell r="HD439" t="str">
            <v>Repair Shop</v>
          </cell>
          <cell r="HT439" t="b">
            <v>0</v>
          </cell>
          <cell r="HU439" t="str">
            <v>CITY OF NAPA, PUBLIC WORKS DEPT</v>
          </cell>
        </row>
        <row r="440">
          <cell r="A440">
            <v>4344</v>
          </cell>
          <cell r="B440" t="str">
            <v>FE1035</v>
          </cell>
          <cell r="D440" t="str">
            <v>CORDEIROVAULT</v>
          </cell>
          <cell r="AG440" t="str">
            <v>HP</v>
          </cell>
          <cell r="AV440" t="b">
            <v>0</v>
          </cell>
          <cell r="HD440" t="str">
            <v>Field Service</v>
          </cell>
          <cell r="HT440" t="b">
            <v>0</v>
          </cell>
          <cell r="HU440" t="str">
            <v>CORDEIRO VAULT CO.</v>
          </cell>
        </row>
        <row r="441">
          <cell r="A441">
            <v>4343</v>
          </cell>
          <cell r="B441" t="str">
            <v>VEM1266</v>
          </cell>
          <cell r="D441" t="str">
            <v>STOCKTONMUNI</v>
          </cell>
          <cell r="F441" t="str">
            <v>Fairbanks Morse pump</v>
          </cell>
          <cell r="H441" t="str">
            <v>K4H1-002??7-2</v>
          </cell>
          <cell r="I441" t="str">
            <v>3?07</v>
          </cell>
          <cell r="K441" t="str">
            <v>118</v>
          </cell>
          <cell r="L441" t="str">
            <v>1780</v>
          </cell>
          <cell r="O441" t="str">
            <v>Full w/ Cord</v>
          </cell>
          <cell r="R441" t="str">
            <v>Continuous</v>
          </cell>
          <cell r="U441" t="str">
            <v>40</v>
          </cell>
          <cell r="V441" t="str">
            <v>3</v>
          </cell>
          <cell r="W441" t="str">
            <v>60</v>
          </cell>
          <cell r="X441" t="str">
            <v>460</v>
          </cell>
          <cell r="Y441" t="str">
            <v>148</v>
          </cell>
          <cell r="AG441" t="str">
            <v>HP</v>
          </cell>
          <cell r="AO441" t="str">
            <v>B</v>
          </cell>
          <cell r="AQ441" t="str">
            <v>F</v>
          </cell>
          <cell r="AS441" t="str">
            <v>1.15</v>
          </cell>
          <cell r="AV441" t="b">
            <v>0</v>
          </cell>
          <cell r="EX441" t="str">
            <v>?125D2364D2X 1132 A</v>
          </cell>
          <cell r="HD441" t="str">
            <v>Repair Shop</v>
          </cell>
          <cell r="HT441" t="b">
            <v>0</v>
          </cell>
          <cell r="HU441" t="str">
            <v>CITY OF STOCKTON MUNICIPAL UTILITIES</v>
          </cell>
        </row>
        <row r="442">
          <cell r="A442">
            <v>4342</v>
          </cell>
          <cell r="B442" t="str">
            <v>VEM1265</v>
          </cell>
          <cell r="D442" t="str">
            <v>COUNTYASPHALT</v>
          </cell>
          <cell r="F442" t="str">
            <v>Baldor</v>
          </cell>
          <cell r="H442" t="str">
            <v>C0606280074</v>
          </cell>
          <cell r="I442" t="str">
            <v>365T</v>
          </cell>
          <cell r="K442" t="str">
            <v>75</v>
          </cell>
          <cell r="L442" t="str">
            <v>1775</v>
          </cell>
          <cell r="O442" t="str">
            <v>Full no Cord</v>
          </cell>
          <cell r="P442" t="str">
            <v>TEFC</v>
          </cell>
          <cell r="R442" t="str">
            <v>Continuous</v>
          </cell>
          <cell r="S442" t="str">
            <v>Yes</v>
          </cell>
          <cell r="T442" t="str">
            <v>none no key</v>
          </cell>
          <cell r="U442" t="str">
            <v>40</v>
          </cell>
          <cell r="V442" t="str">
            <v>3</v>
          </cell>
          <cell r="W442" t="str">
            <v>60</v>
          </cell>
          <cell r="X442" t="str">
            <v>230/460</v>
          </cell>
          <cell r="Y442" t="str">
            <v>174/87</v>
          </cell>
          <cell r="AA442" t="str">
            <v>F1</v>
          </cell>
          <cell r="AG442" t="str">
            <v>HP</v>
          </cell>
          <cell r="AI442" t="str">
            <v>6313</v>
          </cell>
          <cell r="AJ442" t="str">
            <v>6312</v>
          </cell>
          <cell r="AO442" t="str">
            <v>B</v>
          </cell>
          <cell r="AP442" t="str">
            <v>G</v>
          </cell>
          <cell r="AQ442" t="str">
            <v>F</v>
          </cell>
          <cell r="AR442" t="str">
            <v>86</v>
          </cell>
          <cell r="AS442" t="str">
            <v>1.15</v>
          </cell>
          <cell r="AT442" t="str">
            <v>94.1</v>
          </cell>
          <cell r="AU442" t="str">
            <v>14C051X385H1</v>
          </cell>
          <cell r="AV442" t="b">
            <v>0</v>
          </cell>
          <cell r="EW442" t="str">
            <v>M4316T</v>
          </cell>
          <cell r="HD442" t="str">
            <v>Repair Shop</v>
          </cell>
          <cell r="HT442" t="b">
            <v>0</v>
          </cell>
          <cell r="HU442" t="str">
            <v>COUNTY ASPHALT</v>
          </cell>
        </row>
        <row r="443">
          <cell r="A443">
            <v>4341</v>
          </cell>
          <cell r="B443" t="str">
            <v>VEM1264</v>
          </cell>
          <cell r="D443" t="str">
            <v>CONHAGEN</v>
          </cell>
          <cell r="AG443" t="str">
            <v>HP</v>
          </cell>
          <cell r="AV443" t="b">
            <v>0</v>
          </cell>
          <cell r="HD443" t="str">
            <v>Repair Shop</v>
          </cell>
          <cell r="HT443" t="b">
            <v>0</v>
          </cell>
          <cell r="HU443" t="str">
            <v>ALFRED CONHAGEN CO. OF CA</v>
          </cell>
        </row>
        <row r="444">
          <cell r="A444">
            <v>4340</v>
          </cell>
          <cell r="B444" t="str">
            <v>VEM1263</v>
          </cell>
          <cell r="D444" t="str">
            <v>VALLEJOSAN</v>
          </cell>
          <cell r="F444" t="str">
            <v>Siemens</v>
          </cell>
          <cell r="H444" t="str">
            <v>ORD NO. 51-502-041</v>
          </cell>
          <cell r="I444" t="str">
            <v>364T</v>
          </cell>
          <cell r="K444" t="str">
            <v>60</v>
          </cell>
          <cell r="L444" t="str">
            <v>1775</v>
          </cell>
          <cell r="M444" t="str">
            <v>RGZESD</v>
          </cell>
          <cell r="O444" t="str">
            <v>None</v>
          </cell>
          <cell r="P444" t="str">
            <v>TEFC</v>
          </cell>
          <cell r="Q444" t="str">
            <v>Yes</v>
          </cell>
          <cell r="R444" t="str">
            <v>Continuous</v>
          </cell>
          <cell r="S444" t="str">
            <v>Yes</v>
          </cell>
          <cell r="U444" t="str">
            <v>40</v>
          </cell>
          <cell r="V444" t="str">
            <v>3</v>
          </cell>
          <cell r="W444" t="str">
            <v>60</v>
          </cell>
          <cell r="X444" t="str">
            <v>460</v>
          </cell>
          <cell r="Y444" t="str">
            <v>67</v>
          </cell>
          <cell r="AA444" t="str">
            <v>F1</v>
          </cell>
          <cell r="AO444" t="str">
            <v>B</v>
          </cell>
          <cell r="AP444" t="str">
            <v>G</v>
          </cell>
          <cell r="AQ444" t="str">
            <v>F</v>
          </cell>
          <cell r="AS444" t="str">
            <v>1.15</v>
          </cell>
          <cell r="AT444" t="str">
            <v>94.5</v>
          </cell>
          <cell r="AV444" t="b">
            <v>0</v>
          </cell>
          <cell r="HD444" t="str">
            <v>Repair Shop</v>
          </cell>
          <cell r="HT444" t="b">
            <v>0</v>
          </cell>
          <cell r="HU444" t="str">
            <v>VALLEJO FLOOD &amp; WASTEWATER DISTRICT</v>
          </cell>
        </row>
        <row r="445">
          <cell r="A445">
            <v>4339</v>
          </cell>
          <cell r="B445" t="str">
            <v>VEM1262</v>
          </cell>
          <cell r="D445" t="str">
            <v>C&amp;H</v>
          </cell>
          <cell r="F445" t="str">
            <v>Electra-Gear</v>
          </cell>
          <cell r="G445" t="str">
            <v>CM500ETDY0002</v>
          </cell>
          <cell r="H445" t="str">
            <v>93E16916 FF</v>
          </cell>
          <cell r="I445" t="str">
            <v>CM184TDZ</v>
          </cell>
          <cell r="K445" t="str">
            <v>5</v>
          </cell>
          <cell r="L445" t="str">
            <v>1725</v>
          </cell>
          <cell r="O445" t="str">
            <v>Full no Cord</v>
          </cell>
          <cell r="P445" t="str">
            <v>TEFC</v>
          </cell>
          <cell r="Q445" t="str">
            <v>NONE</v>
          </cell>
          <cell r="R445" t="str">
            <v>Continuous</v>
          </cell>
          <cell r="S445" t="str">
            <v>NONE</v>
          </cell>
          <cell r="T445" t="str">
            <v>GEAR</v>
          </cell>
          <cell r="U445" t="str">
            <v>40</v>
          </cell>
          <cell r="V445" t="str">
            <v>3</v>
          </cell>
          <cell r="W445" t="str">
            <v>60</v>
          </cell>
          <cell r="X445" t="str">
            <v>230/460</v>
          </cell>
          <cell r="Z445" t="str">
            <v>NONE</v>
          </cell>
          <cell r="AA445" t="str">
            <v>Vertical</v>
          </cell>
          <cell r="AD445" t="str">
            <v>-1</v>
          </cell>
          <cell r="AG445" t="str">
            <v>HP</v>
          </cell>
          <cell r="AO445" t="str">
            <v>B</v>
          </cell>
          <cell r="AP445" t="str">
            <v>K</v>
          </cell>
          <cell r="AS445" t="str">
            <v>1.0</v>
          </cell>
          <cell r="AV445" t="b">
            <v>0</v>
          </cell>
          <cell r="AW445" t="str">
            <v>14/7</v>
          </cell>
          <cell r="GK445" t="str">
            <v>LE-1 5/8</v>
          </cell>
          <cell r="GL445" t="str">
            <v>Ope- 1 5/8</v>
          </cell>
          <cell r="GM445" t="str">
            <v>measured  from behind</v>
          </cell>
          <cell r="HD445" t="str">
            <v>Repair Shop</v>
          </cell>
          <cell r="HT445" t="b">
            <v>0</v>
          </cell>
          <cell r="HU445" t="str">
            <v>C &amp; H SUGAR CO.</v>
          </cell>
        </row>
        <row r="446">
          <cell r="A446">
            <v>4338</v>
          </cell>
          <cell r="B446" t="str">
            <v>VEM1261</v>
          </cell>
          <cell r="D446" t="str">
            <v>EDF RENEWABLES</v>
          </cell>
          <cell r="F446" t="str">
            <v>Lust</v>
          </cell>
          <cell r="G446" t="str">
            <v>DC Motor FGVH 112LL-4-D-F-D-C</v>
          </cell>
          <cell r="H446" t="str">
            <v>Mot. No.000463835</v>
          </cell>
          <cell r="K446" t="str">
            <v>4.4/9.6</v>
          </cell>
          <cell r="O446" t="str">
            <v>Half no Cord</v>
          </cell>
          <cell r="P446" t="str">
            <v>Forced Vent</v>
          </cell>
          <cell r="T446" t="str">
            <v>none no key</v>
          </cell>
          <cell r="U446" t="str">
            <v>50</v>
          </cell>
          <cell r="X446" t="str">
            <v>288 VDC</v>
          </cell>
          <cell r="Y446" t="str">
            <v>18/56</v>
          </cell>
          <cell r="AG446" t="str">
            <v>KW</v>
          </cell>
          <cell r="AV446" t="b">
            <v>0</v>
          </cell>
          <cell r="ER446" t="str">
            <v>288 VDC</v>
          </cell>
          <cell r="ES446" t="str">
            <v>.76</v>
          </cell>
          <cell r="GK446" t="str">
            <v>Blower 230VAC,.61A,60Hz,2100 rpm,140W</v>
          </cell>
          <cell r="GL446" t="str">
            <v>Heater 230VAC,60Hz,.22A,50W</v>
          </cell>
          <cell r="GM446" t="str">
            <v>Brake 288VDC,.17A,50W,100Nm</v>
          </cell>
          <cell r="GN446" t="str">
            <v>Encoder</v>
          </cell>
          <cell r="GO446" t="str">
            <v>S/N 000463835</v>
          </cell>
          <cell r="HD446" t="str">
            <v>Repair Shop</v>
          </cell>
          <cell r="HT446" t="b">
            <v>0</v>
          </cell>
          <cell r="HU446" t="str">
            <v>EDF RENEWABLES</v>
          </cell>
        </row>
        <row r="447">
          <cell r="A447">
            <v>4337</v>
          </cell>
          <cell r="B447" t="str">
            <v>VEM1260</v>
          </cell>
          <cell r="D447" t="str">
            <v>EDF SCRAP</v>
          </cell>
          <cell r="F447" t="str">
            <v>Lust</v>
          </cell>
          <cell r="G447" t="str">
            <v>DC-Motor FGVH 112LL-4-D-F-D-c</v>
          </cell>
          <cell r="H447" t="str">
            <v>Mot.-No. 000464852</v>
          </cell>
          <cell r="K447" t="str">
            <v>4.4/9.6</v>
          </cell>
          <cell r="L447" t="str">
            <v>1400/920</v>
          </cell>
          <cell r="O447" t="str">
            <v>Half no Cord</v>
          </cell>
          <cell r="P447" t="str">
            <v>Forced Vent</v>
          </cell>
          <cell r="T447" t="str">
            <v>none no key</v>
          </cell>
          <cell r="U447" t="str">
            <v>50</v>
          </cell>
          <cell r="X447" t="str">
            <v>288 VDC</v>
          </cell>
          <cell r="Y447" t="str">
            <v>18/56</v>
          </cell>
          <cell r="AG447" t="str">
            <v>KW</v>
          </cell>
          <cell r="AV447" t="b">
            <v>0</v>
          </cell>
          <cell r="ER447" t="str">
            <v>288 VDC</v>
          </cell>
          <cell r="ES447" t="str">
            <v>.76</v>
          </cell>
          <cell r="GK447" t="str">
            <v>Heater 230VAC,.22A,50W,60Hz</v>
          </cell>
          <cell r="GL447" t="str">
            <v>Brake 288VDC,.17A,50W,100Nm</v>
          </cell>
          <cell r="GM447" t="str">
            <v>Blower 230VAC,.61A,60Hz,140W,2100rpm</v>
          </cell>
          <cell r="GN447" t="str">
            <v>Encoder</v>
          </cell>
          <cell r="GO447" t="str">
            <v>S/N 000464852</v>
          </cell>
          <cell r="HD447" t="str">
            <v>Repair Shop</v>
          </cell>
          <cell r="HT447" t="b">
            <v>0</v>
          </cell>
          <cell r="HU447" t="str">
            <v>EDF RENEWABLES FOR SCRAP ONLY</v>
          </cell>
        </row>
        <row r="448">
          <cell r="A448">
            <v>4336</v>
          </cell>
          <cell r="B448" t="str">
            <v>VEM1259</v>
          </cell>
          <cell r="D448" t="str">
            <v>VALERO</v>
          </cell>
          <cell r="F448" t="str">
            <v>Westinghouse</v>
          </cell>
          <cell r="G448" t="str">
            <v>TBFC</v>
          </cell>
          <cell r="H448" t="str">
            <v>6802</v>
          </cell>
          <cell r="I448" t="str">
            <v>182TP</v>
          </cell>
          <cell r="K448" t="str">
            <v>3</v>
          </cell>
          <cell r="L448" t="str">
            <v>1735</v>
          </cell>
          <cell r="O448" t="str">
            <v>Full no Cord</v>
          </cell>
          <cell r="P448" t="str">
            <v>TEFC</v>
          </cell>
          <cell r="Q448" t="str">
            <v>NONE</v>
          </cell>
          <cell r="R448" t="str">
            <v>Continuous</v>
          </cell>
          <cell r="S448" t="str">
            <v>NONE</v>
          </cell>
          <cell r="T448" t="str">
            <v>NONE</v>
          </cell>
          <cell r="U448" t="str">
            <v>40</v>
          </cell>
          <cell r="V448" t="str">
            <v>3</v>
          </cell>
          <cell r="W448" t="str">
            <v>60</v>
          </cell>
          <cell r="X448" t="str">
            <v>460</v>
          </cell>
          <cell r="Z448" t="str">
            <v>NONE</v>
          </cell>
          <cell r="AA448" t="str">
            <v>Vertical</v>
          </cell>
          <cell r="AD448" t="str">
            <v>0</v>
          </cell>
          <cell r="AG448" t="str">
            <v>HP</v>
          </cell>
          <cell r="AP448" t="str">
            <v>K</v>
          </cell>
          <cell r="AQ448" t="str">
            <v>B</v>
          </cell>
          <cell r="AS448" t="str">
            <v>1.0</v>
          </cell>
          <cell r="AV448" t="b">
            <v>0</v>
          </cell>
          <cell r="AW448" t="str">
            <v>4.5</v>
          </cell>
          <cell r="EY448" t="str">
            <v>68C12348</v>
          </cell>
          <cell r="HD448" t="str">
            <v>Repair Shop</v>
          </cell>
          <cell r="HT448" t="b">
            <v>0</v>
          </cell>
          <cell r="HU448" t="str">
            <v>VALERO REFINING CO. BENICIA</v>
          </cell>
        </row>
        <row r="449">
          <cell r="A449">
            <v>4335</v>
          </cell>
          <cell r="B449" t="str">
            <v>VEM1258</v>
          </cell>
          <cell r="D449" t="str">
            <v>P66</v>
          </cell>
          <cell r="F449" t="str">
            <v>Louis Allis</v>
          </cell>
          <cell r="G449" t="str">
            <v>4107026001</v>
          </cell>
          <cell r="I449" t="str">
            <v>364TS</v>
          </cell>
          <cell r="K449" t="str">
            <v>60</v>
          </cell>
          <cell r="L449" t="str">
            <v>3600</v>
          </cell>
          <cell r="R449" t="str">
            <v>Continuous</v>
          </cell>
          <cell r="U449" t="str">
            <v>40B</v>
          </cell>
          <cell r="V449" t="str">
            <v>3</v>
          </cell>
          <cell r="W449" t="str">
            <v>60</v>
          </cell>
          <cell r="X449" t="str">
            <v>230/460</v>
          </cell>
          <cell r="AG449" t="str">
            <v>HP</v>
          </cell>
          <cell r="AV449" t="b">
            <v>0</v>
          </cell>
          <cell r="HD449" t="str">
            <v>Repair Shop</v>
          </cell>
          <cell r="HT449" t="b">
            <v>0</v>
          </cell>
          <cell r="HU449" t="str">
            <v>PHILLIPS 66</v>
          </cell>
        </row>
        <row r="450">
          <cell r="A450">
            <v>4334</v>
          </cell>
          <cell r="B450" t="str">
            <v>VEM1257</v>
          </cell>
          <cell r="D450" t="str">
            <v>P66</v>
          </cell>
          <cell r="F450" t="str">
            <v>Reliance</v>
          </cell>
          <cell r="I450" t="str">
            <v>210LP</v>
          </cell>
          <cell r="K450" t="str">
            <v>7.5</v>
          </cell>
          <cell r="L450" t="str">
            <v>3520</v>
          </cell>
          <cell r="M450" t="str">
            <v>P</v>
          </cell>
          <cell r="O450" t="str">
            <v>None</v>
          </cell>
          <cell r="P450" t="str">
            <v>TEFC</v>
          </cell>
          <cell r="R450" t="str">
            <v>Continuous</v>
          </cell>
          <cell r="T450" t="str">
            <v>none no key</v>
          </cell>
          <cell r="U450" t="str">
            <v>40</v>
          </cell>
          <cell r="V450" t="str">
            <v>3</v>
          </cell>
          <cell r="W450" t="str">
            <v>60</v>
          </cell>
          <cell r="X450" t="str">
            <v>460</v>
          </cell>
          <cell r="Y450" t="str">
            <v>8.8</v>
          </cell>
          <cell r="AA450" t="str">
            <v>Vertical</v>
          </cell>
          <cell r="AG450" t="str">
            <v>HP</v>
          </cell>
          <cell r="AI450" t="str">
            <v>6211</v>
          </cell>
          <cell r="AJ450" t="str">
            <v>2-7306</v>
          </cell>
          <cell r="AO450" t="str">
            <v>B</v>
          </cell>
          <cell r="AP450" t="str">
            <v>H</v>
          </cell>
          <cell r="AS450" t="str">
            <v>1.0</v>
          </cell>
          <cell r="AV450" t="b">
            <v>0</v>
          </cell>
          <cell r="EX450" t="str">
            <v>2YWB40607A2</v>
          </cell>
          <cell r="HD450" t="str">
            <v>Repair Shop</v>
          </cell>
          <cell r="HT450" t="b">
            <v>0</v>
          </cell>
          <cell r="HU450" t="str">
            <v>PHILLIPS 66</v>
          </cell>
        </row>
        <row r="451">
          <cell r="A451">
            <v>4333</v>
          </cell>
          <cell r="B451" t="str">
            <v>VEM1256</v>
          </cell>
          <cell r="D451" t="str">
            <v>EDF SCRAP</v>
          </cell>
          <cell r="F451" t="str">
            <v>Lust</v>
          </cell>
          <cell r="G451" t="str">
            <v>DC-Motor FGVH 112LL-4-D-F-D-C</v>
          </cell>
          <cell r="H451" t="str">
            <v>Mot. No 000463769</v>
          </cell>
          <cell r="K451" t="str">
            <v>4.4/9.6</v>
          </cell>
          <cell r="L451" t="str">
            <v>1400</v>
          </cell>
          <cell r="O451" t="str">
            <v>Half no Cord</v>
          </cell>
          <cell r="P451" t="str">
            <v>Forced Vent</v>
          </cell>
          <cell r="R451" t="str">
            <v>Continuous</v>
          </cell>
          <cell r="T451" t="str">
            <v>none no key</v>
          </cell>
          <cell r="U451" t="str">
            <v>50</v>
          </cell>
          <cell r="X451" t="str">
            <v>288 VDC</v>
          </cell>
          <cell r="Y451" t="str">
            <v>18/56</v>
          </cell>
          <cell r="Z451" t="str">
            <v>No</v>
          </cell>
          <cell r="AG451" t="str">
            <v>KW</v>
          </cell>
          <cell r="AV451" t="b">
            <v>0</v>
          </cell>
          <cell r="ER451" t="str">
            <v>288 VDC</v>
          </cell>
          <cell r="ES451" t="str">
            <v>.76</v>
          </cell>
          <cell r="GK451" t="str">
            <v>Blower,230VAC,.61A,60Hz,2100rpm,140W</v>
          </cell>
          <cell r="GL451" t="str">
            <v>Heater,230VAC,.22A,60Hz,50W</v>
          </cell>
          <cell r="GM451" t="str">
            <v>Brake,288VDC,.17A,50W,100Nm</v>
          </cell>
          <cell r="GN451" t="str">
            <v>Encoder LDT R/AE 24B/SSI</v>
          </cell>
          <cell r="GO451" t="str">
            <v>S/N  000463769</v>
          </cell>
          <cell r="HD451" t="str">
            <v>Repair Shop</v>
          </cell>
          <cell r="HO451" t="str">
            <v>920</v>
          </cell>
          <cell r="HT451" t="b">
            <v>0</v>
          </cell>
          <cell r="HU451" t="str">
            <v>EDF RENEWABLES FOR SCRAP ONLY</v>
          </cell>
        </row>
        <row r="452">
          <cell r="A452">
            <v>4332</v>
          </cell>
          <cell r="B452" t="str">
            <v>VEM1255</v>
          </cell>
          <cell r="D452" t="str">
            <v>ALLBAY</v>
          </cell>
          <cell r="F452" t="str">
            <v>Louis Allis</v>
          </cell>
          <cell r="H452" t="str">
            <v>476819</v>
          </cell>
          <cell r="I452" t="str">
            <v>284</v>
          </cell>
          <cell r="K452" t="str">
            <v>7.5</v>
          </cell>
          <cell r="L452" t="str">
            <v>1750</v>
          </cell>
          <cell r="M452" t="str">
            <v>JX</v>
          </cell>
          <cell r="O452" t="str">
            <v>Full no Cord</v>
          </cell>
          <cell r="P452" t="str">
            <v>TEFC</v>
          </cell>
          <cell r="R452" t="str">
            <v>Continuous</v>
          </cell>
          <cell r="S452" t="str">
            <v>No</v>
          </cell>
          <cell r="U452" t="str">
            <v>55</v>
          </cell>
          <cell r="V452" t="str">
            <v>3</v>
          </cell>
          <cell r="W452" t="str">
            <v>60</v>
          </cell>
          <cell r="X452" t="str">
            <v>220/440</v>
          </cell>
          <cell r="Y452" t="str">
            <v>19.6/9.8</v>
          </cell>
          <cell r="AA452" t="str">
            <v>F1</v>
          </cell>
          <cell r="AG452" t="str">
            <v>HP</v>
          </cell>
          <cell r="AP452" t="str">
            <v>G</v>
          </cell>
          <cell r="AV452" t="b">
            <v>0</v>
          </cell>
          <cell r="HD452" t="str">
            <v>Repair Shop</v>
          </cell>
          <cell r="HT452" t="b">
            <v>0</v>
          </cell>
          <cell r="HU452" t="str">
            <v>ALL BAY LUMBER</v>
          </cell>
        </row>
        <row r="453">
          <cell r="A453">
            <v>4331</v>
          </cell>
          <cell r="B453" t="str">
            <v>VEM1254</v>
          </cell>
          <cell r="D453" t="str">
            <v>VALLEJOSAN</v>
          </cell>
          <cell r="F453" t="str">
            <v>Siemens</v>
          </cell>
          <cell r="H453" t="str">
            <v>ORD NO. 2-5141-LR25265-1</v>
          </cell>
          <cell r="I453" t="str">
            <v>404T</v>
          </cell>
          <cell r="K453" t="str">
            <v>60/40</v>
          </cell>
          <cell r="L453" t="str">
            <v>1785/1190</v>
          </cell>
          <cell r="M453" t="str">
            <v>RGZESD</v>
          </cell>
          <cell r="O453" t="str">
            <v>None</v>
          </cell>
          <cell r="P453" t="str">
            <v>TEFC</v>
          </cell>
          <cell r="Q453" t="str">
            <v>Yes</v>
          </cell>
          <cell r="R453" t="str">
            <v>Continuous</v>
          </cell>
          <cell r="S453" t="str">
            <v>Yes</v>
          </cell>
          <cell r="U453" t="str">
            <v>40</v>
          </cell>
          <cell r="V453" t="str">
            <v>3</v>
          </cell>
          <cell r="W453" t="str">
            <v>60</v>
          </cell>
          <cell r="X453" t="str">
            <v>460</v>
          </cell>
          <cell r="Y453" t="str">
            <v>70/48</v>
          </cell>
          <cell r="AA453" t="str">
            <v>F1</v>
          </cell>
          <cell r="AG453" t="str">
            <v>HP</v>
          </cell>
          <cell r="AI453" t="str">
            <v>6316</v>
          </cell>
          <cell r="AJ453" t="str">
            <v>6316</v>
          </cell>
          <cell r="AQ453" t="str">
            <v>F</v>
          </cell>
          <cell r="AS453" t="str">
            <v>1.15</v>
          </cell>
          <cell r="AV453" t="b">
            <v>0</v>
          </cell>
          <cell r="GK453" t="str">
            <v>Heater 115 volt 240 watt</v>
          </cell>
          <cell r="HD453" t="str">
            <v>Repair Shop</v>
          </cell>
          <cell r="HT453" t="b">
            <v>0</v>
          </cell>
          <cell r="HU453" t="str">
            <v>VALLEJO FLOOD &amp; WASTEWATER DISTRICT</v>
          </cell>
        </row>
        <row r="454">
          <cell r="A454">
            <v>4330</v>
          </cell>
          <cell r="B454" t="str">
            <v>VEM1253</v>
          </cell>
          <cell r="D454" t="str">
            <v>VALLEJOWATER</v>
          </cell>
          <cell r="F454" t="str">
            <v>Flygt pump</v>
          </cell>
          <cell r="H454" t="str">
            <v>3127090-0179</v>
          </cell>
          <cell r="K454" t="str">
            <v>7.5</v>
          </cell>
          <cell r="L454" t="str">
            <v>1735</v>
          </cell>
          <cell r="N454" t="str">
            <v>160kg</v>
          </cell>
          <cell r="O454" t="str">
            <v>Full w/ Cord</v>
          </cell>
          <cell r="R454" t="str">
            <v>Continuous</v>
          </cell>
          <cell r="V454" t="str">
            <v>3</v>
          </cell>
          <cell r="W454" t="str">
            <v>60</v>
          </cell>
          <cell r="X454" t="str">
            <v>230/460</v>
          </cell>
          <cell r="Y454" t="str">
            <v>25/13</v>
          </cell>
          <cell r="AA454" t="str">
            <v>Vertical</v>
          </cell>
          <cell r="AD454" t="str">
            <v>0</v>
          </cell>
          <cell r="AG454" t="str">
            <v>KW</v>
          </cell>
          <cell r="AV454" t="b">
            <v>0</v>
          </cell>
          <cell r="GK454" t="str">
            <v>Impeller code 432</v>
          </cell>
          <cell r="HD454" t="str">
            <v>Repair Shop</v>
          </cell>
          <cell r="HT454" t="b">
            <v>0</v>
          </cell>
          <cell r="HU454" t="str">
            <v>CITY OF VALLEJO WATER TREATMENT</v>
          </cell>
        </row>
        <row r="455">
          <cell r="A455">
            <v>4329</v>
          </cell>
          <cell r="B455" t="str">
            <v>VEM1252</v>
          </cell>
          <cell r="D455" t="str">
            <v>TURBO</v>
          </cell>
          <cell r="F455" t="str">
            <v>GE</v>
          </cell>
          <cell r="G455" t="str">
            <v>5 K 446 Y9</v>
          </cell>
          <cell r="H455" t="str">
            <v>5674424</v>
          </cell>
          <cell r="K455" t="str">
            <v>25</v>
          </cell>
          <cell r="L455" t="str">
            <v>705</v>
          </cell>
          <cell r="M455" t="str">
            <v>K</v>
          </cell>
          <cell r="O455" t="str">
            <v>None</v>
          </cell>
          <cell r="P455" t="str">
            <v>ODP</v>
          </cell>
          <cell r="R455" t="str">
            <v>Continuous</v>
          </cell>
          <cell r="T455" t="str">
            <v>yes</v>
          </cell>
          <cell r="V455" t="str">
            <v>3</v>
          </cell>
          <cell r="W455" t="str">
            <v>60</v>
          </cell>
          <cell r="X455" t="str">
            <v>220/440</v>
          </cell>
          <cell r="Y455" t="str">
            <v>69/34.5</v>
          </cell>
          <cell r="AG455" t="str">
            <v>HP</v>
          </cell>
          <cell r="AS455" t="str">
            <v>1.15</v>
          </cell>
          <cell r="AV455" t="b">
            <v>0</v>
          </cell>
          <cell r="HD455" t="str">
            <v>Repair Shop</v>
          </cell>
          <cell r="HT455" t="b">
            <v>0</v>
          </cell>
          <cell r="HU455" t="str">
            <v>TURBO MACHINE</v>
          </cell>
        </row>
        <row r="456">
          <cell r="A456">
            <v>4328</v>
          </cell>
          <cell r="B456" t="str">
            <v>VEM1251</v>
          </cell>
          <cell r="D456" t="str">
            <v>VALLEJOSAN</v>
          </cell>
          <cell r="F456" t="str">
            <v>Flygt pump</v>
          </cell>
          <cell r="H456" t="str">
            <v>3102.095-1660073</v>
          </cell>
          <cell r="K456" t="str">
            <v>3.7</v>
          </cell>
          <cell r="L456" t="str">
            <v>1745</v>
          </cell>
          <cell r="N456" t="str">
            <v>107 kg</v>
          </cell>
          <cell r="O456" t="str">
            <v>Full w/ Cord</v>
          </cell>
          <cell r="R456" t="str">
            <v>Continuous</v>
          </cell>
          <cell r="V456" t="str">
            <v>3</v>
          </cell>
          <cell r="W456" t="str">
            <v>60</v>
          </cell>
          <cell r="X456" t="str">
            <v>230/460</v>
          </cell>
          <cell r="Y456" t="str">
            <v>14/6.8</v>
          </cell>
          <cell r="AD456" t="str">
            <v>0</v>
          </cell>
          <cell r="AG456" t="str">
            <v>KW</v>
          </cell>
          <cell r="AV456" t="b">
            <v>0</v>
          </cell>
          <cell r="HD456" t="str">
            <v>Repair Shop</v>
          </cell>
          <cell r="HT456" t="b">
            <v>0</v>
          </cell>
          <cell r="HU456" t="str">
            <v>VALLEJO FLOOD &amp; WASTEWATER DISTRICT</v>
          </cell>
        </row>
        <row r="457">
          <cell r="A457">
            <v>4327</v>
          </cell>
          <cell r="B457" t="str">
            <v>FE1034</v>
          </cell>
          <cell r="D457" t="str">
            <v>LIXIT</v>
          </cell>
          <cell r="AG457" t="str">
            <v>HP</v>
          </cell>
          <cell r="AV457" t="b">
            <v>0</v>
          </cell>
          <cell r="HD457" t="str">
            <v>Field Service</v>
          </cell>
          <cell r="HT457" t="b">
            <v>0</v>
          </cell>
          <cell r="HU457" t="str">
            <v>LIXIT CORPORATION</v>
          </cell>
        </row>
        <row r="458">
          <cell r="A458">
            <v>4326</v>
          </cell>
          <cell r="B458" t="str">
            <v>VEM1250</v>
          </cell>
          <cell r="D458" t="str">
            <v>COUNTYASPHALT</v>
          </cell>
          <cell r="AG458" t="str">
            <v>HP</v>
          </cell>
          <cell r="AV458" t="b">
            <v>0</v>
          </cell>
          <cell r="HD458" t="str">
            <v>Repair Shop</v>
          </cell>
          <cell r="HT458" t="b">
            <v>0</v>
          </cell>
          <cell r="HU458" t="str">
            <v>COUNTY ASPHALT</v>
          </cell>
        </row>
        <row r="459">
          <cell r="A459">
            <v>4325</v>
          </cell>
          <cell r="B459" t="str">
            <v>VEM1249</v>
          </cell>
          <cell r="D459" t="str">
            <v>COUNTYQUAR</v>
          </cell>
          <cell r="AG459" t="str">
            <v>HP</v>
          </cell>
          <cell r="AV459" t="b">
            <v>0</v>
          </cell>
          <cell r="HD459" t="str">
            <v>Repair Shop</v>
          </cell>
          <cell r="HT459" t="b">
            <v>0</v>
          </cell>
          <cell r="HU459" t="str">
            <v>COUNTY QUARRY</v>
          </cell>
        </row>
        <row r="460">
          <cell r="A460">
            <v>4324</v>
          </cell>
          <cell r="B460" t="str">
            <v>VEM1248</v>
          </cell>
          <cell r="D460" t="str">
            <v>SUPERSTORES</v>
          </cell>
          <cell r="F460" t="str">
            <v>Baldor</v>
          </cell>
          <cell r="I460" t="str">
            <v>213TC</v>
          </cell>
          <cell r="K460" t="str">
            <v>7.5</v>
          </cell>
          <cell r="L460" t="str">
            <v>3520</v>
          </cell>
          <cell r="O460" t="str">
            <v>Full no Cord</v>
          </cell>
          <cell r="P460" t="str">
            <v>TEFC</v>
          </cell>
          <cell r="R460" t="str">
            <v>Continuous</v>
          </cell>
          <cell r="T460" t="str">
            <v>npne no key</v>
          </cell>
          <cell r="U460" t="str">
            <v>40</v>
          </cell>
          <cell r="V460" t="str">
            <v>3</v>
          </cell>
          <cell r="W460" t="str">
            <v>60</v>
          </cell>
          <cell r="X460" t="str">
            <v>208-230/460</v>
          </cell>
          <cell r="Y460" t="str">
            <v>19.4-18/9</v>
          </cell>
          <cell r="AA460" t="str">
            <v>F1</v>
          </cell>
          <cell r="AG460" t="str">
            <v>HP</v>
          </cell>
          <cell r="AI460" t="str">
            <v>6307</v>
          </cell>
          <cell r="AJ460" t="str">
            <v>6206</v>
          </cell>
          <cell r="AO460" t="str">
            <v>A</v>
          </cell>
          <cell r="AP460" t="str">
            <v>J</v>
          </cell>
          <cell r="AR460" t="str">
            <v>84</v>
          </cell>
          <cell r="AS460" t="str">
            <v>1.15</v>
          </cell>
          <cell r="AT460" t="str">
            <v>89.5</v>
          </cell>
          <cell r="AV460" t="b">
            <v>0</v>
          </cell>
          <cell r="HD460" t="str">
            <v>Repair Shop</v>
          </cell>
          <cell r="HT460" t="b">
            <v>0</v>
          </cell>
          <cell r="HU460" t="str">
            <v>Producers Dairy Foods</v>
          </cell>
        </row>
        <row r="461">
          <cell r="A461">
            <v>4323</v>
          </cell>
          <cell r="B461" t="str">
            <v>VEM1247</v>
          </cell>
          <cell r="D461" t="str">
            <v>SUPERSTORES</v>
          </cell>
          <cell r="F461" t="str">
            <v>REULAND</v>
          </cell>
          <cell r="H461" t="str">
            <v>822844812</v>
          </cell>
          <cell r="I461" t="str">
            <v>AXL184</v>
          </cell>
          <cell r="K461" t="str">
            <v>1.5</v>
          </cell>
          <cell r="L461" t="str">
            <v>1800</v>
          </cell>
          <cell r="O461" t="str">
            <v>Half no Cord</v>
          </cell>
          <cell r="P461" t="str">
            <v>ODP</v>
          </cell>
          <cell r="R461" t="str">
            <v>Continuous</v>
          </cell>
          <cell r="S461" t="str">
            <v>No</v>
          </cell>
          <cell r="T461" t="str">
            <v>NONE NO KEY</v>
          </cell>
          <cell r="V461" t="str">
            <v>3</v>
          </cell>
          <cell r="W461" t="str">
            <v>60</v>
          </cell>
          <cell r="X461" t="str">
            <v>230/460</v>
          </cell>
          <cell r="Y461" t="str">
            <v>4.8/2.4</v>
          </cell>
          <cell r="AA461" t="str">
            <v>F1</v>
          </cell>
          <cell r="AG461" t="str">
            <v>HP</v>
          </cell>
          <cell r="AS461" t="str">
            <v>1.5</v>
          </cell>
          <cell r="AV461" t="b">
            <v>0</v>
          </cell>
          <cell r="CJ461" t="str">
            <v>Reuland</v>
          </cell>
          <cell r="CK461" t="str">
            <v>29B2</v>
          </cell>
          <cell r="CL461" t="str">
            <v>H16-2657A-1</v>
          </cell>
          <cell r="CM461" t="str">
            <v>6</v>
          </cell>
          <cell r="CN461" t="str">
            <v>230</v>
          </cell>
          <cell r="CO461" t="str">
            <v>.56</v>
          </cell>
          <cell r="CQ461" t="str">
            <v>60</v>
          </cell>
          <cell r="CR461" t="str">
            <v>OADA</v>
          </cell>
          <cell r="HD461" t="str">
            <v>Repair Shop</v>
          </cell>
          <cell r="HT461" t="b">
            <v>0</v>
          </cell>
          <cell r="HU461" t="str">
            <v>Producers Dairy Foods</v>
          </cell>
        </row>
        <row r="462">
          <cell r="A462">
            <v>4322</v>
          </cell>
          <cell r="B462" t="str">
            <v>VEM0156</v>
          </cell>
          <cell r="D462" t="str">
            <v>C&amp;H</v>
          </cell>
          <cell r="F462" t="str">
            <v>GE</v>
          </cell>
          <cell r="G462" t="str">
            <v>5KS184XAA108D4</v>
          </cell>
          <cell r="H462" t="str">
            <v>HLFT224S012</v>
          </cell>
          <cell r="I462" t="str">
            <v>184T</v>
          </cell>
          <cell r="K462" t="str">
            <v>5</v>
          </cell>
          <cell r="L462" t="str">
            <v>3530</v>
          </cell>
          <cell r="M462" t="str">
            <v>KS</v>
          </cell>
          <cell r="N462" t="str">
            <v>101</v>
          </cell>
          <cell r="O462" t="str">
            <v>Full no Cord</v>
          </cell>
          <cell r="P462" t="str">
            <v>TEFC</v>
          </cell>
          <cell r="R462" t="str">
            <v>Continuous</v>
          </cell>
          <cell r="S462" t="str">
            <v>No</v>
          </cell>
          <cell r="T462" t="str">
            <v>no</v>
          </cell>
          <cell r="U462" t="str">
            <v>40</v>
          </cell>
          <cell r="V462" t="str">
            <v>3</v>
          </cell>
          <cell r="W462" t="str">
            <v>60</v>
          </cell>
          <cell r="X462" t="str">
            <v>460</v>
          </cell>
          <cell r="Z462" t="str">
            <v>Yes</v>
          </cell>
          <cell r="AA462" t="str">
            <v>Vertical</v>
          </cell>
          <cell r="AG462" t="str">
            <v>HP</v>
          </cell>
          <cell r="AI462" t="str">
            <v>6206</v>
          </cell>
          <cell r="AJ462" t="str">
            <v>6206</v>
          </cell>
          <cell r="AO462" t="str">
            <v>B</v>
          </cell>
          <cell r="AP462" t="str">
            <v>J</v>
          </cell>
          <cell r="AQ462" t="str">
            <v>H</v>
          </cell>
          <cell r="AR462" t="str">
            <v>80.5</v>
          </cell>
          <cell r="AS462" t="str">
            <v>1.15</v>
          </cell>
          <cell r="AT462" t="str">
            <v>88.5</v>
          </cell>
          <cell r="AV462" t="b">
            <v>0</v>
          </cell>
          <cell r="EW462" t="str">
            <v>M9422</v>
          </cell>
          <cell r="HT462" t="b">
            <v>0</v>
          </cell>
          <cell r="HU462" t="str">
            <v>C &amp; H SUGAR CO.</v>
          </cell>
        </row>
        <row r="463">
          <cell r="A463">
            <v>4321</v>
          </cell>
          <cell r="B463" t="str">
            <v>VEM1246</v>
          </cell>
          <cell r="D463" t="str">
            <v>AMPORTS</v>
          </cell>
          <cell r="F463" t="str">
            <v>GE</v>
          </cell>
          <cell r="G463" t="str">
            <v>5K6238XM18</v>
          </cell>
          <cell r="H463" t="str">
            <v>FMJ609390</v>
          </cell>
          <cell r="I463" t="str">
            <v>C326HP</v>
          </cell>
          <cell r="K463" t="str">
            <v>30</v>
          </cell>
          <cell r="L463" t="str">
            <v>1165</v>
          </cell>
          <cell r="M463" t="str">
            <v>K</v>
          </cell>
          <cell r="O463" t="str">
            <v>Full no Cord</v>
          </cell>
          <cell r="P463" t="str">
            <v>ODP</v>
          </cell>
          <cell r="R463" t="str">
            <v>Continuous</v>
          </cell>
          <cell r="T463" t="str">
            <v>YES</v>
          </cell>
          <cell r="U463" t="str">
            <v>40</v>
          </cell>
          <cell r="V463" t="str">
            <v>3</v>
          </cell>
          <cell r="W463" t="str">
            <v>60</v>
          </cell>
          <cell r="X463" t="str">
            <v>230/460</v>
          </cell>
          <cell r="Y463" t="str">
            <v>79.4/39.7</v>
          </cell>
          <cell r="AA463" t="str">
            <v>Top</v>
          </cell>
          <cell r="AG463" t="str">
            <v>HP</v>
          </cell>
          <cell r="AO463" t="str">
            <v>B</v>
          </cell>
          <cell r="AP463" t="str">
            <v>G</v>
          </cell>
          <cell r="AQ463" t="str">
            <v>F</v>
          </cell>
          <cell r="AS463" t="str">
            <v>1.15</v>
          </cell>
          <cell r="AV463" t="b">
            <v>0</v>
          </cell>
          <cell r="HD463" t="str">
            <v>Repair Shop</v>
          </cell>
          <cell r="HT463" t="b">
            <v>0</v>
          </cell>
          <cell r="HU463" t="str">
            <v>AMPORTS BENICIA PORT TERMINAL</v>
          </cell>
        </row>
        <row r="464">
          <cell r="A464">
            <v>4320</v>
          </cell>
          <cell r="B464" t="str">
            <v>VEM1245</v>
          </cell>
          <cell r="D464" t="str">
            <v>CONHAGEN</v>
          </cell>
          <cell r="R464" t="str">
            <v>Continuous</v>
          </cell>
          <cell r="V464" t="str">
            <v>3</v>
          </cell>
          <cell r="W464" t="str">
            <v>60</v>
          </cell>
          <cell r="AA464" t="str">
            <v>Vertical</v>
          </cell>
          <cell r="AV464" t="b">
            <v>0</v>
          </cell>
          <cell r="HD464" t="str">
            <v>Repair Shop</v>
          </cell>
          <cell r="HT464" t="b">
            <v>0</v>
          </cell>
          <cell r="HU464" t="str">
            <v>ALFRED CONHAGEN CO. OF CA</v>
          </cell>
        </row>
        <row r="465">
          <cell r="A465">
            <v>4319</v>
          </cell>
          <cell r="B465" t="str">
            <v>VEM1244</v>
          </cell>
          <cell r="D465" t="str">
            <v>CONHAGEN</v>
          </cell>
          <cell r="F465" t="str">
            <v>Reliance</v>
          </cell>
          <cell r="I465" t="str">
            <v>184LPZ</v>
          </cell>
          <cell r="K465" t="str">
            <v>5</v>
          </cell>
          <cell r="L465" t="str">
            <v>3500</v>
          </cell>
          <cell r="M465" t="str">
            <v>P</v>
          </cell>
          <cell r="O465" t="str">
            <v>None</v>
          </cell>
          <cell r="P465" t="str">
            <v>TEFC</v>
          </cell>
          <cell r="R465" t="str">
            <v>Continuous</v>
          </cell>
          <cell r="S465" t="str">
            <v>No</v>
          </cell>
          <cell r="T465" t="str">
            <v>none no key</v>
          </cell>
          <cell r="U465" t="str">
            <v>40</v>
          </cell>
          <cell r="V465" t="str">
            <v>3</v>
          </cell>
          <cell r="W465" t="str">
            <v>60</v>
          </cell>
          <cell r="X465" t="str">
            <v>460</v>
          </cell>
          <cell r="Y465" t="str">
            <v>6</v>
          </cell>
          <cell r="AA465" t="str">
            <v>Top</v>
          </cell>
          <cell r="AD465" t="str">
            <v>0</v>
          </cell>
          <cell r="AG465" t="str">
            <v>HP</v>
          </cell>
          <cell r="AI465" t="str">
            <v>6308</v>
          </cell>
          <cell r="AJ465" t="str">
            <v>7305</v>
          </cell>
          <cell r="AO465" t="str">
            <v>B</v>
          </cell>
          <cell r="AP465" t="str">
            <v>J</v>
          </cell>
          <cell r="AV465" t="b">
            <v>0</v>
          </cell>
          <cell r="EX465" t="str">
            <v>1YWB41265A2</v>
          </cell>
          <cell r="HD465" t="str">
            <v>Repair Shop</v>
          </cell>
          <cell r="HT465" t="b">
            <v>0</v>
          </cell>
          <cell r="HU465" t="str">
            <v>ALFRED CONHAGEN CO. OF CA</v>
          </cell>
        </row>
        <row r="466">
          <cell r="A466">
            <v>4318</v>
          </cell>
          <cell r="B466" t="str">
            <v>VEM1243</v>
          </cell>
          <cell r="D466" t="str">
            <v>CONHAGEN</v>
          </cell>
          <cell r="AG466" t="str">
            <v>HP</v>
          </cell>
          <cell r="AV466" t="b">
            <v>0</v>
          </cell>
          <cell r="HD466" t="str">
            <v>Repair Shop</v>
          </cell>
          <cell r="HT466" t="b">
            <v>0</v>
          </cell>
          <cell r="HU466" t="str">
            <v>ALFRED CONHAGEN CO. OF CA</v>
          </cell>
        </row>
        <row r="467">
          <cell r="A467">
            <v>4317</v>
          </cell>
          <cell r="B467" t="str">
            <v>VEM1242</v>
          </cell>
          <cell r="D467" t="str">
            <v>CITYOFNAPA</v>
          </cell>
          <cell r="F467" t="str">
            <v>GE</v>
          </cell>
          <cell r="G467" t="str">
            <v>5KS286DAE6420</v>
          </cell>
          <cell r="H467" t="str">
            <v>BCFTO59A19</v>
          </cell>
          <cell r="I467" t="str">
            <v>L286VP10</v>
          </cell>
          <cell r="K467" t="str">
            <v>30</v>
          </cell>
          <cell r="L467" t="str">
            <v>1775</v>
          </cell>
          <cell r="M467" t="str">
            <v>KS</v>
          </cell>
          <cell r="N467" t="str">
            <v>470</v>
          </cell>
          <cell r="O467" t="str">
            <v>Full no Cord</v>
          </cell>
          <cell r="P467" t="str">
            <v>TEFC</v>
          </cell>
          <cell r="R467" t="str">
            <v>Continuous</v>
          </cell>
          <cell r="T467" t="str">
            <v>none no key</v>
          </cell>
          <cell r="U467" t="str">
            <v>40</v>
          </cell>
          <cell r="V467" t="str">
            <v>3</v>
          </cell>
          <cell r="W467" t="str">
            <v>60</v>
          </cell>
          <cell r="Y467" t="str">
            <v>34.7</v>
          </cell>
          <cell r="AA467" t="str">
            <v>Vertical</v>
          </cell>
          <cell r="AG467" t="str">
            <v>HP</v>
          </cell>
          <cell r="AI467" t="str">
            <v>7310</v>
          </cell>
          <cell r="AJ467" t="str">
            <v>6207</v>
          </cell>
          <cell r="AP467" t="str">
            <v>G</v>
          </cell>
          <cell r="AQ467" t="str">
            <v>F</v>
          </cell>
          <cell r="AR467" t="str">
            <v>86.5</v>
          </cell>
          <cell r="AS467" t="str">
            <v>1.15</v>
          </cell>
          <cell r="AT467" t="str">
            <v>92</v>
          </cell>
          <cell r="AV467" t="b">
            <v>0</v>
          </cell>
          <cell r="HD467" t="str">
            <v>Repair Shop</v>
          </cell>
          <cell r="HT467" t="b">
            <v>0</v>
          </cell>
          <cell r="HU467" t="str">
            <v>CITY OF NAPA, PUBLIC WORKS DEPT</v>
          </cell>
        </row>
        <row r="468">
          <cell r="A468">
            <v>4316</v>
          </cell>
          <cell r="B468" t="str">
            <v>VEM1241</v>
          </cell>
          <cell r="D468" t="str">
            <v>ECOSERVICE</v>
          </cell>
          <cell r="F468" t="str">
            <v>GE</v>
          </cell>
          <cell r="H468" t="str">
            <v>CF8375930</v>
          </cell>
          <cell r="I468" t="str">
            <v>8188S</v>
          </cell>
          <cell r="K468" t="str">
            <v>250</v>
          </cell>
          <cell r="L468" t="str">
            <v>1775</v>
          </cell>
          <cell r="M468" t="str">
            <v>K</v>
          </cell>
          <cell r="O468" t="str">
            <v>None</v>
          </cell>
          <cell r="R468" t="str">
            <v>Continuous</v>
          </cell>
          <cell r="T468" t="str">
            <v>yes</v>
          </cell>
          <cell r="U468" t="str">
            <v>80</v>
          </cell>
          <cell r="V468" t="str">
            <v>3</v>
          </cell>
          <cell r="W468" t="str">
            <v>60</v>
          </cell>
          <cell r="X468" t="str">
            <v>4000</v>
          </cell>
          <cell r="Y468" t="str">
            <v>34</v>
          </cell>
          <cell r="AA468" t="str">
            <v>F1</v>
          </cell>
          <cell r="AG468" t="str">
            <v>HP</v>
          </cell>
          <cell r="AI468" t="str">
            <v>6316</v>
          </cell>
          <cell r="AJ468" t="str">
            <v>6316</v>
          </cell>
          <cell r="AP468" t="str">
            <v>F</v>
          </cell>
          <cell r="AV468" t="b">
            <v>0</v>
          </cell>
          <cell r="GK468" t="str">
            <v>Heaters 115 VAC 800 watt connected in paralell.</v>
          </cell>
          <cell r="HD468" t="str">
            <v>Repair Shop</v>
          </cell>
          <cell r="HT468" t="b">
            <v>0</v>
          </cell>
          <cell r="HU468" t="str">
            <v>ECO SERVICES</v>
          </cell>
        </row>
        <row r="469">
          <cell r="A469">
            <v>4315</v>
          </cell>
          <cell r="B469" t="str">
            <v>VEM1240</v>
          </cell>
          <cell r="D469" t="str">
            <v>ECOSERVICE</v>
          </cell>
          <cell r="AG469" t="str">
            <v>HP</v>
          </cell>
          <cell r="AV469" t="b">
            <v>0</v>
          </cell>
          <cell r="HD469" t="str">
            <v>Field Service</v>
          </cell>
          <cell r="HT469" t="b">
            <v>0</v>
          </cell>
          <cell r="HU469" t="str">
            <v>ECO SERVICES</v>
          </cell>
        </row>
        <row r="470">
          <cell r="A470">
            <v>4314</v>
          </cell>
          <cell r="B470" t="str">
            <v>VEM1239</v>
          </cell>
          <cell r="D470" t="str">
            <v>CONHAGEN</v>
          </cell>
          <cell r="AG470" t="str">
            <v>HP</v>
          </cell>
          <cell r="AV470" t="b">
            <v>0</v>
          </cell>
          <cell r="HD470" t="str">
            <v>Repair Shop</v>
          </cell>
          <cell r="HT470" t="b">
            <v>0</v>
          </cell>
          <cell r="HU470" t="str">
            <v>ALFRED CONHAGEN CO. OF CA</v>
          </cell>
        </row>
        <row r="471">
          <cell r="A471">
            <v>4312</v>
          </cell>
          <cell r="B471" t="str">
            <v>VEM1237</v>
          </cell>
          <cell r="D471" t="str">
            <v>FRFLD-SUISUN</v>
          </cell>
          <cell r="AG471" t="str">
            <v>HP</v>
          </cell>
          <cell r="AV471" t="b">
            <v>0</v>
          </cell>
          <cell r="HD471" t="str">
            <v>Repair Shop</v>
          </cell>
          <cell r="HT471" t="b">
            <v>0</v>
          </cell>
          <cell r="HU471" t="str">
            <v>FAIRFIELD-SUISUN SEWER DISTRICT</v>
          </cell>
        </row>
        <row r="472">
          <cell r="A472">
            <v>4311</v>
          </cell>
          <cell r="B472" t="str">
            <v>VEM1236</v>
          </cell>
          <cell r="D472" t="str">
            <v>VALLEJOSAN</v>
          </cell>
          <cell r="F472" t="str">
            <v>Flygt pump</v>
          </cell>
          <cell r="H472" t="str">
            <v>3102.090-0450155</v>
          </cell>
          <cell r="K472" t="str">
            <v>3.7</v>
          </cell>
          <cell r="L472" t="str">
            <v>1745</v>
          </cell>
          <cell r="O472" t="str">
            <v>Full w/ Cord</v>
          </cell>
          <cell r="R472" t="str">
            <v>Continuous</v>
          </cell>
          <cell r="U472" t="str">
            <v>40</v>
          </cell>
          <cell r="V472" t="str">
            <v>3</v>
          </cell>
          <cell r="W472" t="str">
            <v>60</v>
          </cell>
          <cell r="X472" t="str">
            <v>230/46014/6.8</v>
          </cell>
          <cell r="AD472" t="str">
            <v>0</v>
          </cell>
          <cell r="AG472" t="str">
            <v>KW</v>
          </cell>
          <cell r="AV472" t="b">
            <v>0</v>
          </cell>
          <cell r="GK472" t="str">
            <v>Product no. 3102.090-0643</v>
          </cell>
          <cell r="HD472" t="str">
            <v>Repair Shop</v>
          </cell>
          <cell r="HT472" t="b">
            <v>0</v>
          </cell>
          <cell r="HU472" t="str">
            <v>VALLEJO FLOOD &amp; WASTEWATER DISTRICT</v>
          </cell>
        </row>
        <row r="473">
          <cell r="A473">
            <v>4310</v>
          </cell>
          <cell r="B473" t="str">
            <v>VEM0152</v>
          </cell>
          <cell r="D473" t="str">
            <v>C&amp;H</v>
          </cell>
          <cell r="F473" t="str">
            <v>VEM</v>
          </cell>
          <cell r="H473" t="str">
            <v>VEM 102014</v>
          </cell>
          <cell r="K473" t="str">
            <v>100</v>
          </cell>
          <cell r="L473" t="str">
            <v>1750</v>
          </cell>
          <cell r="O473" t="str">
            <v>None</v>
          </cell>
          <cell r="P473" t="str">
            <v>TEFC</v>
          </cell>
          <cell r="R473" t="str">
            <v>Continuous</v>
          </cell>
          <cell r="T473" t="str">
            <v>NONE NO KEY</v>
          </cell>
          <cell r="V473" t="str">
            <v>3</v>
          </cell>
          <cell r="W473" t="str">
            <v>60</v>
          </cell>
          <cell r="X473" t="str">
            <v>460</v>
          </cell>
          <cell r="AD473" t="str">
            <v>-1</v>
          </cell>
          <cell r="AG473" t="str">
            <v>HP</v>
          </cell>
          <cell r="AV473" t="b">
            <v>0</v>
          </cell>
          <cell r="GK473" t="str">
            <v>GREASE -FAG ARCONOL TEMP 90</v>
          </cell>
          <cell r="HT473" t="b">
            <v>0</v>
          </cell>
          <cell r="HU473" t="str">
            <v>C &amp; H SUGAR CO.</v>
          </cell>
        </row>
        <row r="474">
          <cell r="A474">
            <v>4309</v>
          </cell>
          <cell r="B474" t="str">
            <v>VEM1235</v>
          </cell>
          <cell r="D474" t="str">
            <v>DELTADIABLO</v>
          </cell>
          <cell r="F474" t="str">
            <v>Teco</v>
          </cell>
          <cell r="H474" t="str">
            <v>DED44231-4</v>
          </cell>
          <cell r="K474" t="str">
            <v>250</v>
          </cell>
          <cell r="L474" t="str">
            <v>882</v>
          </cell>
          <cell r="M474" t="str">
            <v>AEVA-TL001</v>
          </cell>
          <cell r="N474" t="str">
            <v>1800 kg</v>
          </cell>
          <cell r="O474" t="str">
            <v>None</v>
          </cell>
          <cell r="P474" t="str">
            <v>TEFC</v>
          </cell>
          <cell r="R474" t="str">
            <v>Continuous</v>
          </cell>
          <cell r="T474" t="str">
            <v>Yes</v>
          </cell>
          <cell r="U474" t="str">
            <v>40</v>
          </cell>
          <cell r="V474" t="str">
            <v>3</v>
          </cell>
          <cell r="W474" t="str">
            <v>60</v>
          </cell>
          <cell r="X474" t="str">
            <v>480</v>
          </cell>
          <cell r="Y474" t="str">
            <v>288</v>
          </cell>
          <cell r="AA474" t="str">
            <v>Vertical</v>
          </cell>
          <cell r="AG474" t="str">
            <v>HP</v>
          </cell>
          <cell r="AI474" t="str">
            <v>6220</v>
          </cell>
          <cell r="AJ474" t="str">
            <v>7320</v>
          </cell>
          <cell r="AO474" t="str">
            <v>B</v>
          </cell>
          <cell r="AP474" t="str">
            <v>G</v>
          </cell>
          <cell r="AQ474" t="str">
            <v>F</v>
          </cell>
          <cell r="AS474" t="str">
            <v>1.15</v>
          </cell>
          <cell r="AV474" t="b">
            <v>0</v>
          </cell>
          <cell r="HD474" t="str">
            <v>Repair Shop</v>
          </cell>
          <cell r="HT474" t="b">
            <v>0</v>
          </cell>
          <cell r="HU474" t="str">
            <v>DELTA DIABLO WASTE WATER</v>
          </cell>
        </row>
        <row r="475">
          <cell r="A475">
            <v>4308</v>
          </cell>
          <cell r="B475" t="str">
            <v>VEM1234</v>
          </cell>
          <cell r="D475" t="str">
            <v>P66</v>
          </cell>
          <cell r="F475" t="str">
            <v>US Motors</v>
          </cell>
          <cell r="I475" t="str">
            <v>286T</v>
          </cell>
          <cell r="K475" t="str">
            <v>30</v>
          </cell>
          <cell r="L475" t="str">
            <v>1800</v>
          </cell>
          <cell r="P475" t="str">
            <v>TEFC</v>
          </cell>
          <cell r="R475" t="str">
            <v>Continuous</v>
          </cell>
          <cell r="V475" t="str">
            <v>3</v>
          </cell>
          <cell r="W475" t="str">
            <v>60</v>
          </cell>
          <cell r="X475" t="str">
            <v>460</v>
          </cell>
          <cell r="AG475" t="str">
            <v>HP</v>
          </cell>
          <cell r="AV475" t="b">
            <v>0</v>
          </cell>
          <cell r="HD475" t="str">
            <v>Repair Shop</v>
          </cell>
          <cell r="HT475" t="b">
            <v>0</v>
          </cell>
          <cell r="HU475" t="str">
            <v>PHILLIPS 66</v>
          </cell>
        </row>
        <row r="476">
          <cell r="A476">
            <v>4307</v>
          </cell>
          <cell r="B476" t="str">
            <v>VEM1233</v>
          </cell>
          <cell r="D476" t="str">
            <v>TURBO</v>
          </cell>
          <cell r="F476" t="str">
            <v>Flygt pump</v>
          </cell>
          <cell r="H476" t="str">
            <v>3171.090-0520032</v>
          </cell>
          <cell r="K476" t="str">
            <v>22</v>
          </cell>
          <cell r="L476" t="str">
            <v>1760</v>
          </cell>
          <cell r="N476" t="str">
            <v>312kg</v>
          </cell>
          <cell r="O476" t="str">
            <v>Full w/ Cord</v>
          </cell>
          <cell r="R476" t="str">
            <v>Continuous</v>
          </cell>
          <cell r="U476" t="str">
            <v>40</v>
          </cell>
          <cell r="V476" t="str">
            <v>3</v>
          </cell>
          <cell r="W476" t="str">
            <v>60</v>
          </cell>
          <cell r="X476" t="str">
            <v>230/460</v>
          </cell>
          <cell r="Y476" t="str">
            <v>75/38</v>
          </cell>
          <cell r="AG476" t="str">
            <v>KW</v>
          </cell>
          <cell r="AV476" t="b">
            <v>0</v>
          </cell>
          <cell r="GK476" t="str">
            <v>Curve code-434</v>
          </cell>
          <cell r="GL476" t="str">
            <v>Product no. 3171.090-0374</v>
          </cell>
          <cell r="GZ476" t="str">
            <v>C,D,E,F,G</v>
          </cell>
          <cell r="HA476" t="str">
            <v>I,II,II</v>
          </cell>
          <cell r="HD476" t="str">
            <v>Repair Shop</v>
          </cell>
          <cell r="HT476" t="b">
            <v>0</v>
          </cell>
          <cell r="HU476" t="str">
            <v>TURBO MACHINE</v>
          </cell>
        </row>
        <row r="477">
          <cell r="A477">
            <v>4306</v>
          </cell>
          <cell r="B477" t="str">
            <v>VEM1232</v>
          </cell>
          <cell r="D477" t="str">
            <v>P66</v>
          </cell>
          <cell r="F477" t="str">
            <v>Siemens</v>
          </cell>
          <cell r="H477" t="str">
            <v>D13T2284XPE 2</v>
          </cell>
          <cell r="I477" t="str">
            <v>215 TCV</v>
          </cell>
          <cell r="K477" t="str">
            <v>10</v>
          </cell>
          <cell r="L477" t="str">
            <v>1755</v>
          </cell>
          <cell r="N477" t="str">
            <v>185</v>
          </cell>
          <cell r="O477" t="str">
            <v>Full no Cord</v>
          </cell>
          <cell r="P477" t="str">
            <v>EXP</v>
          </cell>
          <cell r="R477" t="str">
            <v>Continuous</v>
          </cell>
          <cell r="T477" t="str">
            <v>none no key</v>
          </cell>
          <cell r="U477" t="str">
            <v>40</v>
          </cell>
          <cell r="V477" t="str">
            <v>3</v>
          </cell>
          <cell r="W477" t="str">
            <v>60</v>
          </cell>
          <cell r="X477" t="str">
            <v>230/460</v>
          </cell>
          <cell r="Y477" t="str">
            <v>25/12.5</v>
          </cell>
          <cell r="AA477" t="str">
            <v>Vertical</v>
          </cell>
          <cell r="AF477" t="str">
            <v>337382</v>
          </cell>
          <cell r="AG477" t="str">
            <v>HP</v>
          </cell>
          <cell r="AO477" t="str">
            <v>B</v>
          </cell>
          <cell r="AP477" t="str">
            <v>H</v>
          </cell>
          <cell r="AQ477" t="str">
            <v>F</v>
          </cell>
          <cell r="AS477" t="str">
            <v>1.0</v>
          </cell>
          <cell r="AT477" t="str">
            <v>91.7</v>
          </cell>
          <cell r="AV477" t="b">
            <v>0</v>
          </cell>
          <cell r="GZ477" t="str">
            <v>F &amp; G</v>
          </cell>
          <cell r="HA477" t="str">
            <v>C &amp; D</v>
          </cell>
          <cell r="HD477" t="str">
            <v>Repair Shop</v>
          </cell>
          <cell r="HT477" t="b">
            <v>0</v>
          </cell>
          <cell r="HU477" t="str">
            <v>PHILLIPS 66</v>
          </cell>
        </row>
        <row r="478">
          <cell r="A478">
            <v>4305</v>
          </cell>
          <cell r="B478" t="str">
            <v>VEM1231</v>
          </cell>
          <cell r="D478" t="str">
            <v>CONHAGEN</v>
          </cell>
          <cell r="F478" t="str">
            <v>Reliance</v>
          </cell>
          <cell r="I478" t="str">
            <v>256HPZ</v>
          </cell>
          <cell r="K478" t="str">
            <v>20</v>
          </cell>
          <cell r="L478" t="str">
            <v>3500</v>
          </cell>
          <cell r="M478" t="str">
            <v>P</v>
          </cell>
          <cell r="O478" t="str">
            <v>Full no Cord</v>
          </cell>
          <cell r="P478" t="str">
            <v>TEFC</v>
          </cell>
          <cell r="R478" t="str">
            <v>Continuous</v>
          </cell>
          <cell r="T478" t="str">
            <v>none no key</v>
          </cell>
          <cell r="U478" t="str">
            <v>40</v>
          </cell>
          <cell r="V478" t="str">
            <v>3</v>
          </cell>
          <cell r="W478" t="str">
            <v>60</v>
          </cell>
          <cell r="X478" t="str">
            <v>460</v>
          </cell>
          <cell r="Y478" t="str">
            <v>25.0</v>
          </cell>
          <cell r="AA478" t="str">
            <v>Vertical</v>
          </cell>
          <cell r="AG478" t="str">
            <v>HP</v>
          </cell>
          <cell r="AO478" t="str">
            <v>B</v>
          </cell>
          <cell r="AP478" t="str">
            <v>F</v>
          </cell>
          <cell r="AQ478" t="str">
            <v>B</v>
          </cell>
          <cell r="AS478" t="str">
            <v>1.0</v>
          </cell>
          <cell r="AV478" t="b">
            <v>0</v>
          </cell>
          <cell r="EX478" t="str">
            <v>1MAF73428  G001</v>
          </cell>
          <cell r="HD478" t="str">
            <v>Repair Shop</v>
          </cell>
          <cell r="HT478" t="b">
            <v>0</v>
          </cell>
          <cell r="HU478" t="str">
            <v>ALFRED CONHAGEN CO. OF CA</v>
          </cell>
        </row>
        <row r="479">
          <cell r="A479">
            <v>4304</v>
          </cell>
          <cell r="B479" t="str">
            <v>VEM1230</v>
          </cell>
          <cell r="D479" t="str">
            <v>GE</v>
          </cell>
          <cell r="F479" t="str">
            <v>GENERAL ELECTRIC</v>
          </cell>
          <cell r="G479" t="str">
            <v>V775</v>
          </cell>
          <cell r="I479" t="str">
            <v>L286LP10</v>
          </cell>
          <cell r="K479" t="str">
            <v>30</v>
          </cell>
          <cell r="L479" t="str">
            <v>3600</v>
          </cell>
          <cell r="P479" t="str">
            <v>TEFC</v>
          </cell>
          <cell r="R479" t="str">
            <v>Continuous</v>
          </cell>
          <cell r="V479" t="str">
            <v>3</v>
          </cell>
          <cell r="W479" t="str">
            <v>60</v>
          </cell>
          <cell r="X479" t="str">
            <v>460</v>
          </cell>
          <cell r="AA479" t="str">
            <v>Vertical</v>
          </cell>
          <cell r="AG479" t="str">
            <v>HP</v>
          </cell>
          <cell r="AV479" t="b">
            <v>0</v>
          </cell>
          <cell r="HD479" t="str">
            <v>Repair Shop</v>
          </cell>
          <cell r="HT479" t="b">
            <v>0</v>
          </cell>
          <cell r="HU479" t="str">
            <v>General Electric</v>
          </cell>
        </row>
        <row r="480">
          <cell r="A480">
            <v>4303</v>
          </cell>
          <cell r="B480" t="str">
            <v>VEM1229</v>
          </cell>
          <cell r="D480" t="str">
            <v>VALERO</v>
          </cell>
          <cell r="F480" t="str">
            <v>Reliance</v>
          </cell>
          <cell r="I480" t="str">
            <v>364LPZ</v>
          </cell>
          <cell r="K480" t="str">
            <v>40</v>
          </cell>
          <cell r="L480" t="str">
            <v>1185</v>
          </cell>
          <cell r="M480" t="str">
            <v>P</v>
          </cell>
          <cell r="O480" t="str">
            <v>Full no Cord</v>
          </cell>
          <cell r="P480" t="str">
            <v>TEFC</v>
          </cell>
          <cell r="R480" t="str">
            <v>Continuous</v>
          </cell>
          <cell r="T480" t="str">
            <v>yes</v>
          </cell>
          <cell r="U480" t="str">
            <v>40</v>
          </cell>
          <cell r="V480" t="str">
            <v>3</v>
          </cell>
          <cell r="W480" t="str">
            <v>60</v>
          </cell>
          <cell r="X480" t="str">
            <v>460</v>
          </cell>
          <cell r="Y480" t="str">
            <v>47.7</v>
          </cell>
          <cell r="AA480" t="str">
            <v>Vertical</v>
          </cell>
          <cell r="AG480" t="str">
            <v>HP</v>
          </cell>
          <cell r="AI480" t="str">
            <v>6313</v>
          </cell>
          <cell r="AJ480" t="str">
            <v>2-7310</v>
          </cell>
          <cell r="AO480" t="str">
            <v>B</v>
          </cell>
          <cell r="AP480" t="str">
            <v>G</v>
          </cell>
          <cell r="AQ480" t="str">
            <v>F</v>
          </cell>
          <cell r="AR480" t="str">
            <v>83.9</v>
          </cell>
          <cell r="AS480" t="str">
            <v>1.15</v>
          </cell>
          <cell r="AT480" t="str">
            <v>93.0</v>
          </cell>
          <cell r="AV480" t="b">
            <v>0</v>
          </cell>
          <cell r="EX480" t="str">
            <v>1MAF30863-G2-UN</v>
          </cell>
          <cell r="HD480" t="str">
            <v>Repair Shop</v>
          </cell>
          <cell r="HT480" t="b">
            <v>0</v>
          </cell>
          <cell r="HU480" t="str">
            <v>VALERO REFINING CO. BENICIA</v>
          </cell>
        </row>
        <row r="481">
          <cell r="A481">
            <v>4302</v>
          </cell>
          <cell r="B481" t="str">
            <v>VEM1228</v>
          </cell>
          <cell r="D481" t="str">
            <v>P66CARBON</v>
          </cell>
          <cell r="F481" t="str">
            <v>Reliance</v>
          </cell>
          <cell r="G481" t="str">
            <v>TBFC</v>
          </cell>
          <cell r="I481" t="str">
            <v>256T</v>
          </cell>
          <cell r="K481" t="str">
            <v>20</v>
          </cell>
          <cell r="L481" t="str">
            <v>1755</v>
          </cell>
          <cell r="O481" t="str">
            <v>Full no Cord</v>
          </cell>
          <cell r="P481" t="str">
            <v>TEFC</v>
          </cell>
          <cell r="R481" t="str">
            <v>Continuous</v>
          </cell>
          <cell r="S481" t="str">
            <v>Yes</v>
          </cell>
          <cell r="T481" t="str">
            <v>none no key</v>
          </cell>
          <cell r="U481" t="str">
            <v>40</v>
          </cell>
          <cell r="V481" t="str">
            <v>3</v>
          </cell>
          <cell r="W481" t="str">
            <v>60</v>
          </cell>
          <cell r="X481" t="str">
            <v>230/460</v>
          </cell>
          <cell r="Y481" t="str">
            <v>46/23</v>
          </cell>
          <cell r="AA481" t="str">
            <v>F1</v>
          </cell>
          <cell r="AG481" t="str">
            <v>HP</v>
          </cell>
          <cell r="AO481" t="str">
            <v>B</v>
          </cell>
          <cell r="AP481" t="str">
            <v>G</v>
          </cell>
          <cell r="AQ481" t="str">
            <v>B</v>
          </cell>
          <cell r="AS481" t="str">
            <v>1.15</v>
          </cell>
          <cell r="AT481" t="str">
            <v>89.6</v>
          </cell>
          <cell r="AV481" t="b">
            <v>0</v>
          </cell>
          <cell r="EW481" t="str">
            <v>WP25F312</v>
          </cell>
          <cell r="HD481" t="str">
            <v>Repair Shop</v>
          </cell>
          <cell r="HT481" t="b">
            <v>0</v>
          </cell>
          <cell r="HU481" t="str">
            <v>PHILLIPS 66 CARBON PLANT</v>
          </cell>
        </row>
        <row r="482">
          <cell r="A482">
            <v>4301</v>
          </cell>
          <cell r="B482" t="str">
            <v>VEM1227</v>
          </cell>
          <cell r="D482" t="str">
            <v>CONHAGEN</v>
          </cell>
          <cell r="F482" t="str">
            <v>Reliance</v>
          </cell>
          <cell r="G482" t="str">
            <v>46171705</v>
          </cell>
          <cell r="I482" t="str">
            <v>286LPZ</v>
          </cell>
          <cell r="K482" t="str">
            <v>30</v>
          </cell>
          <cell r="L482" t="str">
            <v>3540</v>
          </cell>
          <cell r="M482" t="str">
            <v>P</v>
          </cell>
          <cell r="N482" t="str">
            <v>512</v>
          </cell>
          <cell r="O482" t="str">
            <v>Full no Cord</v>
          </cell>
          <cell r="P482" t="str">
            <v>TEFC</v>
          </cell>
          <cell r="R482" t="str">
            <v>Continuous</v>
          </cell>
          <cell r="T482" t="str">
            <v>no</v>
          </cell>
          <cell r="U482" t="str">
            <v>40</v>
          </cell>
          <cell r="V482" t="str">
            <v>3</v>
          </cell>
          <cell r="W482" t="str">
            <v>60</v>
          </cell>
          <cell r="X482" t="str">
            <v>460</v>
          </cell>
          <cell r="Y482" t="str">
            <v>33.9</v>
          </cell>
          <cell r="AA482" t="str">
            <v>Vertical</v>
          </cell>
          <cell r="AD482" t="str">
            <v>0</v>
          </cell>
          <cell r="AG482" t="str">
            <v>HP</v>
          </cell>
          <cell r="AO482" t="str">
            <v>B</v>
          </cell>
          <cell r="AP482" t="str">
            <v>G</v>
          </cell>
          <cell r="AQ482" t="str">
            <v>F</v>
          </cell>
          <cell r="AS482" t="str">
            <v>1.15</v>
          </cell>
          <cell r="AT482" t="str">
            <v>93.0</v>
          </cell>
          <cell r="AV482" t="b">
            <v>0</v>
          </cell>
          <cell r="EX482" t="str">
            <v>6171705 G001 KE</v>
          </cell>
          <cell r="HD482" t="str">
            <v>Repair Shop</v>
          </cell>
          <cell r="HT482" t="b">
            <v>0</v>
          </cell>
          <cell r="HU482" t="str">
            <v>ALFRED CONHAGEN CO. OF CA</v>
          </cell>
        </row>
        <row r="483">
          <cell r="A483">
            <v>4300</v>
          </cell>
          <cell r="B483" t="str">
            <v>VEM1226</v>
          </cell>
          <cell r="D483" t="str">
            <v>VALERO</v>
          </cell>
          <cell r="F483" t="str">
            <v>Siemens</v>
          </cell>
          <cell r="H483" t="str">
            <v>011560800101</v>
          </cell>
          <cell r="I483" t="str">
            <v>5810S</v>
          </cell>
          <cell r="K483" t="str">
            <v>1500</v>
          </cell>
          <cell r="L483" t="str">
            <v>3572</v>
          </cell>
          <cell r="M483" t="str">
            <v>CGII</v>
          </cell>
          <cell r="N483" t="str">
            <v>6525</v>
          </cell>
          <cell r="R483" t="str">
            <v>Continuous</v>
          </cell>
          <cell r="T483" t="str">
            <v>flush</v>
          </cell>
          <cell r="V483" t="str">
            <v>3</v>
          </cell>
          <cell r="X483" t="str">
            <v>2300/4000</v>
          </cell>
          <cell r="Y483" t="str">
            <v>319/185</v>
          </cell>
          <cell r="AG483" t="str">
            <v>HP</v>
          </cell>
          <cell r="AS483" t="str">
            <v>1.15</v>
          </cell>
          <cell r="AV483" t="b">
            <v>0</v>
          </cell>
          <cell r="GK483" t="str">
            <v>Heaters</v>
          </cell>
          <cell r="GL483" t="str">
            <v>RTD</v>
          </cell>
          <cell r="HD483" t="str">
            <v>Repair Shop</v>
          </cell>
          <cell r="HT483" t="b">
            <v>0</v>
          </cell>
          <cell r="HU483" t="str">
            <v>VALERO REFINING CO. BENICIA</v>
          </cell>
        </row>
        <row r="484">
          <cell r="A484">
            <v>4299</v>
          </cell>
          <cell r="B484" t="str">
            <v>VEM1225</v>
          </cell>
          <cell r="D484" t="str">
            <v>VALERO</v>
          </cell>
          <cell r="F484" t="str">
            <v>Siemens</v>
          </cell>
          <cell r="H484" t="str">
            <v>A18508-03-2</v>
          </cell>
          <cell r="I484" t="str">
            <v>5810S</v>
          </cell>
          <cell r="K484" t="str">
            <v>1250</v>
          </cell>
          <cell r="L484" t="str">
            <v>3530</v>
          </cell>
          <cell r="M484" t="str">
            <v>CGII</v>
          </cell>
          <cell r="N484" t="str">
            <v>6405</v>
          </cell>
          <cell r="O484" t="str">
            <v>None</v>
          </cell>
          <cell r="P484" t="str">
            <v>WP2</v>
          </cell>
          <cell r="R484" t="str">
            <v>Continuous</v>
          </cell>
          <cell r="S484" t="str">
            <v>Yes</v>
          </cell>
          <cell r="T484" t="str">
            <v>flush</v>
          </cell>
          <cell r="U484" t="str">
            <v>40</v>
          </cell>
          <cell r="V484" t="str">
            <v>3</v>
          </cell>
          <cell r="W484" t="str">
            <v>60</v>
          </cell>
          <cell r="X484" t="str">
            <v>4000</v>
          </cell>
          <cell r="Y484" t="str">
            <v>156</v>
          </cell>
          <cell r="AA484" t="str">
            <v>F1</v>
          </cell>
          <cell r="AG484" t="str">
            <v>HP</v>
          </cell>
          <cell r="AP484" t="str">
            <v>F</v>
          </cell>
          <cell r="AQ484" t="str">
            <v>F</v>
          </cell>
          <cell r="AS484" t="str">
            <v>1.15</v>
          </cell>
          <cell r="AV484" t="b">
            <v>0</v>
          </cell>
          <cell r="HD484" t="str">
            <v>Repair Shop</v>
          </cell>
          <cell r="HT484" t="b">
            <v>0</v>
          </cell>
          <cell r="HU484" t="str">
            <v>VALERO REFINING CO. BENICIA</v>
          </cell>
        </row>
        <row r="485">
          <cell r="A485">
            <v>4298</v>
          </cell>
          <cell r="B485" t="str">
            <v>VEM1224</v>
          </cell>
          <cell r="D485" t="str">
            <v>CONHAGEN</v>
          </cell>
          <cell r="AD485" t="str">
            <v>0</v>
          </cell>
          <cell r="AV485" t="b">
            <v>0</v>
          </cell>
          <cell r="HD485" t="str">
            <v>Repair Shop</v>
          </cell>
          <cell r="HT485" t="b">
            <v>0</v>
          </cell>
          <cell r="HU485" t="str">
            <v>ALFRED CONHAGEN CO. OF CA</v>
          </cell>
        </row>
        <row r="486">
          <cell r="A486">
            <v>4297</v>
          </cell>
          <cell r="B486" t="str">
            <v>VEM1223</v>
          </cell>
          <cell r="D486" t="str">
            <v>VALERO</v>
          </cell>
          <cell r="F486" t="str">
            <v>Siemens</v>
          </cell>
          <cell r="H486" t="str">
            <v>F06T0270NPX014</v>
          </cell>
          <cell r="I486" t="str">
            <v>B 444T</v>
          </cell>
          <cell r="K486" t="str">
            <v>125</v>
          </cell>
          <cell r="L486" t="str">
            <v>1785</v>
          </cell>
          <cell r="M486" t="str">
            <v>RGZEESDX</v>
          </cell>
          <cell r="N486" t="str">
            <v>1577</v>
          </cell>
          <cell r="O486" t="str">
            <v>Full no Cord</v>
          </cell>
          <cell r="P486" t="str">
            <v>TEFC</v>
          </cell>
          <cell r="R486" t="str">
            <v>Continuous</v>
          </cell>
          <cell r="S486" t="str">
            <v>Yes</v>
          </cell>
          <cell r="T486" t="str">
            <v>KEY ONLY</v>
          </cell>
          <cell r="U486" t="str">
            <v>40</v>
          </cell>
          <cell r="V486" t="str">
            <v>3</v>
          </cell>
          <cell r="W486" t="str">
            <v>60</v>
          </cell>
          <cell r="Y486" t="str">
            <v>143</v>
          </cell>
          <cell r="Z486" t="str">
            <v>Yes</v>
          </cell>
          <cell r="AA486" t="str">
            <v>F1</v>
          </cell>
          <cell r="AG486" t="str">
            <v>HP</v>
          </cell>
          <cell r="AI486" t="str">
            <v>6318</v>
          </cell>
          <cell r="AJ486" t="str">
            <v>6316</v>
          </cell>
          <cell r="AO486" t="str">
            <v>B</v>
          </cell>
          <cell r="AP486" t="str">
            <v>G</v>
          </cell>
          <cell r="AQ486" t="str">
            <v>F</v>
          </cell>
          <cell r="AS486" t="str">
            <v>1.15</v>
          </cell>
          <cell r="AT486" t="str">
            <v>95.4</v>
          </cell>
          <cell r="AV486" t="b">
            <v>0</v>
          </cell>
          <cell r="HD486" t="str">
            <v>Repair Shop</v>
          </cell>
          <cell r="HT486" t="b">
            <v>0</v>
          </cell>
          <cell r="HU486" t="str">
            <v>VALERO REFINING CO. BENICIA</v>
          </cell>
        </row>
        <row r="487">
          <cell r="A487">
            <v>4296</v>
          </cell>
          <cell r="B487" t="str">
            <v>VEM1222</v>
          </cell>
          <cell r="D487" t="str">
            <v>VALERO</v>
          </cell>
          <cell r="AG487" t="str">
            <v>HP</v>
          </cell>
          <cell r="AV487" t="b">
            <v>0</v>
          </cell>
          <cell r="HD487" t="str">
            <v>Repair Shop</v>
          </cell>
          <cell r="HT487" t="b">
            <v>0</v>
          </cell>
          <cell r="HU487" t="str">
            <v>VALERO REFINING CO. BENICIA</v>
          </cell>
        </row>
        <row r="488">
          <cell r="A488">
            <v>4294</v>
          </cell>
          <cell r="B488" t="str">
            <v>VEM1220</v>
          </cell>
          <cell r="D488" t="str">
            <v>CLEANHARBORS</v>
          </cell>
          <cell r="AG488" t="str">
            <v>HP</v>
          </cell>
          <cell r="AV488" t="b">
            <v>0</v>
          </cell>
          <cell r="HD488" t="str">
            <v>Repair Shop</v>
          </cell>
          <cell r="HT488" t="b">
            <v>0</v>
          </cell>
          <cell r="HU488" t="str">
            <v>CLEAN HARBORS</v>
          </cell>
        </row>
        <row r="489">
          <cell r="A489">
            <v>4287</v>
          </cell>
          <cell r="B489" t="str">
            <v>VEM1214</v>
          </cell>
          <cell r="D489" t="str">
            <v>SUPERSTORES</v>
          </cell>
          <cell r="F489" t="str">
            <v>Flygt pump</v>
          </cell>
          <cell r="H489" t="str">
            <v>3127180-0270800</v>
          </cell>
          <cell r="K489" t="str">
            <v>7.5</v>
          </cell>
          <cell r="L489" t="str">
            <v>1735</v>
          </cell>
          <cell r="N489" t="str">
            <v>147kg</v>
          </cell>
          <cell r="O489" t="str">
            <v>Full w/ Cord</v>
          </cell>
          <cell r="R489" t="str">
            <v>Continuous</v>
          </cell>
          <cell r="S489" t="str">
            <v>lifting device</v>
          </cell>
          <cell r="U489" t="str">
            <v>40</v>
          </cell>
          <cell r="V489" t="str">
            <v>3</v>
          </cell>
          <cell r="W489" t="str">
            <v>60</v>
          </cell>
          <cell r="X489" t="str">
            <v>230/460</v>
          </cell>
          <cell r="Y489" t="str">
            <v>25/13</v>
          </cell>
          <cell r="AG489" t="str">
            <v>KW</v>
          </cell>
          <cell r="AV489" t="b">
            <v>0</v>
          </cell>
          <cell r="GK489" t="str">
            <v>curve,propeller code -484</v>
          </cell>
          <cell r="HD489" t="str">
            <v>Repair Shop</v>
          </cell>
          <cell r="HT489" t="b">
            <v>0</v>
          </cell>
          <cell r="HU489" t="str">
            <v>Producers Dairy Foods</v>
          </cell>
        </row>
        <row r="490">
          <cell r="A490">
            <v>4285</v>
          </cell>
          <cell r="B490" t="str">
            <v>VEM1212</v>
          </cell>
          <cell r="D490" t="str">
            <v>VALERO</v>
          </cell>
          <cell r="AG490" t="str">
            <v>HP</v>
          </cell>
          <cell r="AV490" t="b">
            <v>0</v>
          </cell>
          <cell r="HD490" t="str">
            <v>Repair Shop</v>
          </cell>
          <cell r="HT490" t="b">
            <v>0</v>
          </cell>
          <cell r="HU490" t="str">
            <v>VALERO REFINING CO. BENICIA</v>
          </cell>
        </row>
        <row r="491">
          <cell r="A491">
            <v>4284</v>
          </cell>
          <cell r="B491" t="str">
            <v>VEM1211</v>
          </cell>
          <cell r="D491" t="str">
            <v>EDF SCRAP</v>
          </cell>
          <cell r="H491" t="str">
            <v>Mot. No. 000459116</v>
          </cell>
          <cell r="K491" t="str">
            <v>4.4/9.6</v>
          </cell>
          <cell r="L491" t="str">
            <v>1400</v>
          </cell>
          <cell r="O491" t="str">
            <v>Half no Cord</v>
          </cell>
          <cell r="P491" t="str">
            <v>Forced Vent</v>
          </cell>
          <cell r="R491" t="str">
            <v>Continuous</v>
          </cell>
          <cell r="S491" t="str">
            <v>No</v>
          </cell>
          <cell r="T491" t="str">
            <v>KEY ONLY</v>
          </cell>
          <cell r="U491" t="str">
            <v>50</v>
          </cell>
          <cell r="X491" t="str">
            <v>288</v>
          </cell>
          <cell r="Y491" t="str">
            <v>18/56</v>
          </cell>
          <cell r="AG491" t="str">
            <v>KW</v>
          </cell>
          <cell r="AI491" t="str">
            <v>6307</v>
          </cell>
          <cell r="AJ491" t="str">
            <v>6306</v>
          </cell>
          <cell r="AV491" t="b">
            <v>0</v>
          </cell>
          <cell r="CM491" t="str">
            <v>100 Nm</v>
          </cell>
          <cell r="CN491" t="str">
            <v>288 VDC</v>
          </cell>
          <cell r="CO491" t="str">
            <v>.17</v>
          </cell>
          <cell r="ER491" t="str">
            <v>288</v>
          </cell>
          <cell r="ES491" t="str">
            <v>.76</v>
          </cell>
          <cell r="GK491" t="str">
            <v>Heater 230 VAC ,.22 A, 50 Watt</v>
          </cell>
          <cell r="GL491" t="str">
            <v>Brake 288 VDC, .17 A, 100 Nm</v>
          </cell>
          <cell r="GM491" t="str">
            <v>Blower 230 VAC ,.61 A,140 Watt, 2100 rpm</v>
          </cell>
          <cell r="GN491" t="str">
            <v>S/N 000459116</v>
          </cell>
          <cell r="HD491" t="str">
            <v>Repair Shop</v>
          </cell>
          <cell r="HO491" t="str">
            <v>920</v>
          </cell>
          <cell r="HT491" t="b">
            <v>0</v>
          </cell>
          <cell r="HU491" t="str">
            <v>EDF RENEWABLES FOR SCRAP ONLY</v>
          </cell>
        </row>
        <row r="492">
          <cell r="A492">
            <v>4283</v>
          </cell>
          <cell r="B492" t="str">
            <v>VEM1210</v>
          </cell>
          <cell r="D492" t="str">
            <v>EDF RENEWABLES</v>
          </cell>
          <cell r="F492" t="str">
            <v>Lust</v>
          </cell>
          <cell r="H492" t="str">
            <v>Mot. No. 000457303</v>
          </cell>
          <cell r="K492" t="str">
            <v>4.4/9.6</v>
          </cell>
          <cell r="L492" t="str">
            <v>1400</v>
          </cell>
          <cell r="O492" t="str">
            <v>Half no Cord</v>
          </cell>
          <cell r="P492" t="str">
            <v>Forced Vent</v>
          </cell>
          <cell r="R492" t="str">
            <v>Continuous</v>
          </cell>
          <cell r="T492" t="str">
            <v>none no key</v>
          </cell>
          <cell r="U492" t="str">
            <v>50</v>
          </cell>
          <cell r="X492" t="str">
            <v>288</v>
          </cell>
          <cell r="AD492" t="str">
            <v>0</v>
          </cell>
          <cell r="AG492" t="str">
            <v>KW</v>
          </cell>
          <cell r="AV492" t="b">
            <v>0</v>
          </cell>
          <cell r="CM492" t="str">
            <v>100 Nm</v>
          </cell>
          <cell r="CN492" t="str">
            <v>288 DC</v>
          </cell>
          <cell r="CO492" t="str">
            <v>.17</v>
          </cell>
          <cell r="DX492" t="str">
            <v>230  VAC</v>
          </cell>
          <cell r="ER492" t="str">
            <v>288</v>
          </cell>
          <cell r="ES492" t="str">
            <v>.76</v>
          </cell>
          <cell r="GK492" t="str">
            <v>Heater 230 VAC,.22A,50 Watt</v>
          </cell>
          <cell r="GL492" t="str">
            <v>Blower 230 VAC,.61 A,140 Watt,2100 rpm</v>
          </cell>
          <cell r="GM492" t="str">
            <v>S/N 000457303</v>
          </cell>
          <cell r="HD492" t="str">
            <v>Repair Shop</v>
          </cell>
          <cell r="HO492" t="str">
            <v>920</v>
          </cell>
          <cell r="HT492" t="b">
            <v>0</v>
          </cell>
          <cell r="HU492" t="str">
            <v>EDF RENEWABLES</v>
          </cell>
        </row>
        <row r="493">
          <cell r="A493">
            <v>4282</v>
          </cell>
          <cell r="B493" t="str">
            <v>VEM1209</v>
          </cell>
          <cell r="D493" t="str">
            <v>CROSSINGGROUP</v>
          </cell>
          <cell r="F493" t="str">
            <v>Invicta</v>
          </cell>
          <cell r="G493" t="str">
            <v>Vibrator</v>
          </cell>
          <cell r="H493" t="str">
            <v>271476</v>
          </cell>
          <cell r="K493" t="str">
            <v>15</v>
          </cell>
          <cell r="O493" t="str">
            <v>Full no Cord</v>
          </cell>
          <cell r="P493" t="str">
            <v>TENV</v>
          </cell>
          <cell r="R493" t="str">
            <v>Continuous</v>
          </cell>
          <cell r="V493" t="str">
            <v>3</v>
          </cell>
          <cell r="W493" t="str">
            <v>60</v>
          </cell>
          <cell r="X493" t="str">
            <v>230/460</v>
          </cell>
          <cell r="Y493" t="str">
            <v>3.9/2.2</v>
          </cell>
          <cell r="AG493" t="str">
            <v>HP</v>
          </cell>
          <cell r="AQ493" t="str">
            <v>F</v>
          </cell>
          <cell r="AV493" t="b">
            <v>0</v>
          </cell>
          <cell r="GK493" t="str">
            <v>Force ( lbs ) 5500</v>
          </cell>
          <cell r="GL493" t="str">
            <v>Watts 1150</v>
          </cell>
          <cell r="HD493" t="str">
            <v>Repair Shop</v>
          </cell>
          <cell r="HT493" t="b">
            <v>0</v>
          </cell>
          <cell r="HU493" t="str">
            <v>THE CROSSING GROUP</v>
          </cell>
        </row>
        <row r="494">
          <cell r="A494">
            <v>4281</v>
          </cell>
          <cell r="B494" t="str">
            <v>VEM1208</v>
          </cell>
          <cell r="D494" t="str">
            <v>CROSSINGGROUP</v>
          </cell>
          <cell r="F494" t="str">
            <v>INVICTA</v>
          </cell>
          <cell r="G494" t="str">
            <v>Vibrator</v>
          </cell>
          <cell r="H494" t="str">
            <v>497920</v>
          </cell>
          <cell r="L494" t="str">
            <v>1720</v>
          </cell>
          <cell r="N494" t="str">
            <v>165</v>
          </cell>
          <cell r="O494" t="str">
            <v>Full no Cord</v>
          </cell>
          <cell r="P494" t="str">
            <v>TENV</v>
          </cell>
          <cell r="R494" t="str">
            <v>Continuous</v>
          </cell>
          <cell r="V494" t="str">
            <v>3</v>
          </cell>
          <cell r="W494" t="str">
            <v>60</v>
          </cell>
          <cell r="X494" t="str">
            <v>230/460</v>
          </cell>
          <cell r="Y494" t="str">
            <v>3.93/2.25</v>
          </cell>
          <cell r="AV494" t="b">
            <v>0</v>
          </cell>
          <cell r="GK494" t="str">
            <v>FORCE ( LBS ) 5500</v>
          </cell>
          <cell r="GL494" t="str">
            <v>Watts  1150</v>
          </cell>
          <cell r="HD494" t="str">
            <v>Repair Shop</v>
          </cell>
          <cell r="HT494" t="b">
            <v>0</v>
          </cell>
          <cell r="HU494" t="str">
            <v>THE CROSSING GROUP</v>
          </cell>
        </row>
        <row r="495">
          <cell r="A495">
            <v>4280</v>
          </cell>
          <cell r="B495" t="str">
            <v>VEM1207</v>
          </cell>
          <cell r="D495" t="str">
            <v>EDF RENEWABLES</v>
          </cell>
          <cell r="F495" t="str">
            <v>Lust</v>
          </cell>
          <cell r="H495" t="str">
            <v>Mot. No. 000464904</v>
          </cell>
          <cell r="K495" t="str">
            <v>4.4/9.6</v>
          </cell>
          <cell r="L495" t="str">
            <v>1400</v>
          </cell>
          <cell r="O495" t="str">
            <v>Half no Cord</v>
          </cell>
          <cell r="P495" t="str">
            <v>Forced Vent</v>
          </cell>
          <cell r="R495" t="str">
            <v>Continuous</v>
          </cell>
          <cell r="S495" t="str">
            <v>No</v>
          </cell>
          <cell r="T495" t="str">
            <v>none no key</v>
          </cell>
          <cell r="U495" t="str">
            <v>50</v>
          </cell>
          <cell r="X495" t="str">
            <v>288</v>
          </cell>
          <cell r="Y495" t="str">
            <v>18/56</v>
          </cell>
          <cell r="AG495" t="str">
            <v>KW</v>
          </cell>
          <cell r="AV495" t="b">
            <v>0</v>
          </cell>
          <cell r="ER495" t="str">
            <v>288</v>
          </cell>
          <cell r="ES495" t="str">
            <v>.76</v>
          </cell>
          <cell r="GK495" t="str">
            <v>Brake</v>
          </cell>
          <cell r="GL495" t="str">
            <v>Blower</v>
          </cell>
          <cell r="GM495" t="str">
            <v>Heater</v>
          </cell>
          <cell r="GN495" t="str">
            <v>S/N  000464904</v>
          </cell>
          <cell r="HD495" t="str">
            <v>Repair Shop</v>
          </cell>
          <cell r="HO495" t="str">
            <v>920</v>
          </cell>
          <cell r="HT495" t="b">
            <v>0</v>
          </cell>
          <cell r="HU495" t="str">
            <v>EDF RENEWABLES</v>
          </cell>
        </row>
        <row r="496">
          <cell r="A496">
            <v>4279</v>
          </cell>
          <cell r="B496" t="str">
            <v>VEM1206</v>
          </cell>
          <cell r="D496" t="str">
            <v>EDF SCRAP</v>
          </cell>
          <cell r="F496" t="str">
            <v>Lust</v>
          </cell>
          <cell r="G496" t="str">
            <v>DC Motor FGVH 112LL-4-D-F-D-C</v>
          </cell>
          <cell r="H496" t="str">
            <v>Mot. No. 000460465</v>
          </cell>
          <cell r="K496" t="str">
            <v>4.4/9.6</v>
          </cell>
          <cell r="L496" t="str">
            <v>1400</v>
          </cell>
          <cell r="O496" t="str">
            <v>Half no Cord</v>
          </cell>
          <cell r="P496" t="str">
            <v>Forced Vent</v>
          </cell>
          <cell r="R496" t="str">
            <v>Continuous</v>
          </cell>
          <cell r="S496" t="str">
            <v>No</v>
          </cell>
          <cell r="T496" t="str">
            <v>None no key.</v>
          </cell>
          <cell r="U496" t="str">
            <v>50</v>
          </cell>
          <cell r="X496" t="str">
            <v>288</v>
          </cell>
          <cell r="AG496" t="str">
            <v>KW</v>
          </cell>
          <cell r="AV496" t="b">
            <v>0</v>
          </cell>
          <cell r="CM496" t="str">
            <v>100 Nmm</v>
          </cell>
          <cell r="CN496" t="str">
            <v>288 VDC</v>
          </cell>
          <cell r="ER496" t="str">
            <v>288</v>
          </cell>
          <cell r="ES496" t="str">
            <v>.76</v>
          </cell>
          <cell r="GK496" t="str">
            <v>Heater 230 VAC .22 A 50 W</v>
          </cell>
          <cell r="GL496" t="str">
            <v>Blower 230 VAC .61 A</v>
          </cell>
          <cell r="GM496" t="str">
            <v>Brake 288 VDC .17</v>
          </cell>
          <cell r="GN496" t="str">
            <v>Encoder</v>
          </cell>
          <cell r="GO496" t="str">
            <v>S/N 000460465</v>
          </cell>
          <cell r="HD496" t="str">
            <v>Repair Shop</v>
          </cell>
          <cell r="HO496" t="str">
            <v>920</v>
          </cell>
          <cell r="HT496" t="b">
            <v>0</v>
          </cell>
          <cell r="HU496" t="str">
            <v>EDF RENEWABLES FOR SCRAP ONLY</v>
          </cell>
        </row>
        <row r="497">
          <cell r="A497">
            <v>4278</v>
          </cell>
          <cell r="B497" t="str">
            <v>VEM1205</v>
          </cell>
          <cell r="D497" t="str">
            <v>BENICIAWASTE</v>
          </cell>
          <cell r="F497" t="str">
            <v>US Motors</v>
          </cell>
          <cell r="I497" t="str">
            <v>284T</v>
          </cell>
          <cell r="K497" t="str">
            <v>15</v>
          </cell>
          <cell r="L497" t="str">
            <v>1770</v>
          </cell>
          <cell r="M497" t="str">
            <v>R</v>
          </cell>
          <cell r="O497" t="str">
            <v>None</v>
          </cell>
          <cell r="P497" t="str">
            <v>ODP</v>
          </cell>
          <cell r="Q497" t="str">
            <v>Yes</v>
          </cell>
          <cell r="R497" t="str">
            <v>Continuous</v>
          </cell>
          <cell r="S497" t="str">
            <v>Yes</v>
          </cell>
          <cell r="U497" t="str">
            <v>40</v>
          </cell>
          <cell r="V497" t="str">
            <v>3</v>
          </cell>
          <cell r="W497" t="str">
            <v>60</v>
          </cell>
          <cell r="X497" t="str">
            <v>230/460</v>
          </cell>
          <cell r="Y497" t="str">
            <v>37.0/18.5</v>
          </cell>
          <cell r="AA497" t="str">
            <v>F1</v>
          </cell>
          <cell r="AG497" t="str">
            <v>HP</v>
          </cell>
          <cell r="AI497" t="str">
            <v>6310</v>
          </cell>
          <cell r="AJ497" t="str">
            <v>6210</v>
          </cell>
          <cell r="AO497" t="str">
            <v>B</v>
          </cell>
          <cell r="AQ497" t="str">
            <v>F</v>
          </cell>
          <cell r="AS497" t="str">
            <v>1.15</v>
          </cell>
          <cell r="AV497" t="b">
            <v>0</v>
          </cell>
          <cell r="EX497" t="str">
            <v>9905195-737 D2430252</v>
          </cell>
          <cell r="HD497" t="str">
            <v>Repair Shop</v>
          </cell>
          <cell r="HT497" t="b">
            <v>0</v>
          </cell>
          <cell r="HU497" t="str">
            <v>CITY OF BENICIA WASTE WATER</v>
          </cell>
        </row>
        <row r="498">
          <cell r="A498">
            <v>4277</v>
          </cell>
          <cell r="B498" t="str">
            <v>VEM1204</v>
          </cell>
          <cell r="D498" t="str">
            <v>P66</v>
          </cell>
          <cell r="F498" t="str">
            <v>Siemens</v>
          </cell>
          <cell r="G498" t="str">
            <v>034</v>
          </cell>
          <cell r="I498" t="str">
            <v>405T</v>
          </cell>
          <cell r="K498" t="str">
            <v>100</v>
          </cell>
          <cell r="L498" t="str">
            <v>1780</v>
          </cell>
          <cell r="M498" t="str">
            <v>RGZE-CH</v>
          </cell>
          <cell r="O498" t="str">
            <v>Full no Cord</v>
          </cell>
          <cell r="R498" t="str">
            <v>Continuous</v>
          </cell>
          <cell r="S498" t="str">
            <v>Yes</v>
          </cell>
          <cell r="T498" t="str">
            <v>yes</v>
          </cell>
          <cell r="U498" t="str">
            <v>40</v>
          </cell>
          <cell r="V498" t="str">
            <v>3</v>
          </cell>
          <cell r="W498" t="str">
            <v>60</v>
          </cell>
          <cell r="X498" t="str">
            <v>230/460</v>
          </cell>
          <cell r="Y498" t="str">
            <v>222/111</v>
          </cell>
          <cell r="AA498" t="str">
            <v>F1</v>
          </cell>
          <cell r="AD498" t="str">
            <v>0</v>
          </cell>
          <cell r="AG498" t="str">
            <v>HP</v>
          </cell>
          <cell r="AO498" t="str">
            <v>B</v>
          </cell>
          <cell r="AP498" t="str">
            <v>G</v>
          </cell>
          <cell r="AQ498" t="str">
            <v>F</v>
          </cell>
          <cell r="AS498" t="str">
            <v>1.15</v>
          </cell>
          <cell r="AT498" t="str">
            <v>95.0</v>
          </cell>
          <cell r="AV498" t="b">
            <v>0</v>
          </cell>
          <cell r="HD498" t="str">
            <v>Repair Shop</v>
          </cell>
          <cell r="HT498" t="b">
            <v>0</v>
          </cell>
          <cell r="HU498" t="str">
            <v>PHILLIPS 66</v>
          </cell>
        </row>
        <row r="499">
          <cell r="A499">
            <v>4276</v>
          </cell>
          <cell r="B499" t="str">
            <v>VEM1203</v>
          </cell>
          <cell r="D499" t="str">
            <v>P66</v>
          </cell>
          <cell r="F499" t="str">
            <v>US Motors</v>
          </cell>
          <cell r="G499" t="str">
            <v>H22301</v>
          </cell>
          <cell r="I499" t="str">
            <v>182T</v>
          </cell>
          <cell r="K499" t="str">
            <v>3</v>
          </cell>
          <cell r="L499" t="str">
            <v>1760</v>
          </cell>
          <cell r="M499" t="str">
            <v>CE</v>
          </cell>
          <cell r="N499" t="str">
            <v>100</v>
          </cell>
          <cell r="O499" t="str">
            <v>None</v>
          </cell>
          <cell r="P499" t="str">
            <v>TEFC</v>
          </cell>
          <cell r="R499" t="str">
            <v>Continuous</v>
          </cell>
          <cell r="S499" t="str">
            <v>Yes</v>
          </cell>
          <cell r="T499" t="str">
            <v>yes</v>
          </cell>
          <cell r="U499" t="str">
            <v>40</v>
          </cell>
          <cell r="V499" t="str">
            <v>3</v>
          </cell>
          <cell r="W499" t="str">
            <v>60</v>
          </cell>
          <cell r="Y499" t="str">
            <v>4.05</v>
          </cell>
          <cell r="Z499" t="str">
            <v>Yes</v>
          </cell>
          <cell r="AA499" t="str">
            <v>F1</v>
          </cell>
          <cell r="AG499" t="str">
            <v>HP</v>
          </cell>
          <cell r="AP499" t="str">
            <v>K</v>
          </cell>
          <cell r="AR499" t="str">
            <v>81.5</v>
          </cell>
          <cell r="AT499" t="str">
            <v>89.5</v>
          </cell>
          <cell r="AV499" t="b">
            <v>0</v>
          </cell>
          <cell r="EX499" t="str">
            <v>A11A2820174F</v>
          </cell>
          <cell r="HD499" t="str">
            <v>Repair Shop</v>
          </cell>
          <cell r="HT499" t="b">
            <v>0</v>
          </cell>
          <cell r="HU499" t="str">
            <v>PHILLIPS 66</v>
          </cell>
        </row>
        <row r="500">
          <cell r="A500">
            <v>4275</v>
          </cell>
          <cell r="B500" t="str">
            <v>VEM1202</v>
          </cell>
          <cell r="D500" t="str">
            <v>VALERO</v>
          </cell>
          <cell r="F500" t="str">
            <v>GE</v>
          </cell>
          <cell r="G500" t="str">
            <v>5K182RK2712</v>
          </cell>
          <cell r="H500" t="str">
            <v>EC</v>
          </cell>
          <cell r="I500" t="str">
            <v>182TD</v>
          </cell>
          <cell r="K500" t="str">
            <v>3</v>
          </cell>
          <cell r="L500" t="str">
            <v>1755</v>
          </cell>
          <cell r="O500" t="str">
            <v>Full no Cord</v>
          </cell>
          <cell r="P500" t="str">
            <v>TEFC</v>
          </cell>
          <cell r="R500" t="str">
            <v>Continuous</v>
          </cell>
          <cell r="S500" t="str">
            <v>Yes</v>
          </cell>
          <cell r="U500" t="str">
            <v>40</v>
          </cell>
          <cell r="V500" t="str">
            <v>3</v>
          </cell>
          <cell r="W500" t="str">
            <v>60</v>
          </cell>
          <cell r="X500" t="str">
            <v>230/460</v>
          </cell>
          <cell r="Y500" t="str">
            <v>9.2/4.6</v>
          </cell>
          <cell r="AA500" t="str">
            <v>F1</v>
          </cell>
          <cell r="AF500" t="str">
            <v>952345</v>
          </cell>
          <cell r="AG500" t="str">
            <v>HP</v>
          </cell>
          <cell r="AO500" t="str">
            <v>B</v>
          </cell>
          <cell r="AP500" t="str">
            <v>K</v>
          </cell>
          <cell r="AS500" t="str">
            <v>1.0</v>
          </cell>
          <cell r="AV500" t="b">
            <v>0</v>
          </cell>
          <cell r="AY500" t="str">
            <v>FLODYNE</v>
          </cell>
          <cell r="AZ500" t="str">
            <v>Part No. 153SDBUA</v>
          </cell>
          <cell r="BA500" t="str">
            <v>10219</v>
          </cell>
          <cell r="BP500" t="str">
            <v>ATF</v>
          </cell>
          <cell r="GZ500" t="str">
            <v>D,F,G</v>
          </cell>
          <cell r="HD500" t="str">
            <v>Repair Shop</v>
          </cell>
          <cell r="HT500" t="b">
            <v>0</v>
          </cell>
          <cell r="HU500" t="str">
            <v>VALERO REFINING CO. BENICIA</v>
          </cell>
        </row>
        <row r="501">
          <cell r="A501">
            <v>4274</v>
          </cell>
          <cell r="B501" t="str">
            <v>VEM1201</v>
          </cell>
          <cell r="D501" t="str">
            <v>SUPERSTORES</v>
          </cell>
          <cell r="F501" t="str">
            <v>Stearns</v>
          </cell>
          <cell r="G501" t="str">
            <v>105604100DQF</v>
          </cell>
          <cell r="K501" t="str">
            <v>5</v>
          </cell>
          <cell r="R501" t="str">
            <v>Continuous</v>
          </cell>
          <cell r="T501" t="str">
            <v>None no key</v>
          </cell>
          <cell r="V501" t="str">
            <v>3</v>
          </cell>
          <cell r="X501" t="str">
            <v>230/460</v>
          </cell>
          <cell r="Y501" t="str">
            <v>13.4/6.</v>
          </cell>
          <cell r="AG501" t="str">
            <v>HP</v>
          </cell>
          <cell r="AV501" t="b">
            <v>0</v>
          </cell>
          <cell r="CJ501" t="str">
            <v>Stearns</v>
          </cell>
          <cell r="CK501" t="str">
            <v>105604100DQF</v>
          </cell>
          <cell r="CL501" t="str">
            <v>20130N001-00019-3316</v>
          </cell>
          <cell r="CM501" t="str">
            <v>15</v>
          </cell>
          <cell r="CN501" t="str">
            <v>230/460</v>
          </cell>
          <cell r="CO501" t="str">
            <v>2.0/1.0</v>
          </cell>
          <cell r="EW501" t="str">
            <v>EBM3635TY</v>
          </cell>
          <cell r="HD501" t="str">
            <v>Repair Shop</v>
          </cell>
          <cell r="HT501" t="b">
            <v>0</v>
          </cell>
          <cell r="HU501" t="str">
            <v>Producers Dairy Foods</v>
          </cell>
        </row>
        <row r="502">
          <cell r="A502">
            <v>4273</v>
          </cell>
          <cell r="B502" t="str">
            <v>VEM1200</v>
          </cell>
          <cell r="D502" t="str">
            <v>SUPERSTORES</v>
          </cell>
          <cell r="AG502" t="str">
            <v>HP</v>
          </cell>
          <cell r="AV502" t="b">
            <v>0</v>
          </cell>
          <cell r="HD502" t="str">
            <v>Repair Shop</v>
          </cell>
          <cell r="HT502" t="b">
            <v>0</v>
          </cell>
          <cell r="HU502" t="str">
            <v>Producers Dairy Foods</v>
          </cell>
        </row>
        <row r="503">
          <cell r="A503">
            <v>4272</v>
          </cell>
          <cell r="B503" t="str">
            <v>VEM1199</v>
          </cell>
          <cell r="D503" t="str">
            <v>VALERO</v>
          </cell>
          <cell r="F503" t="str">
            <v>Reliance</v>
          </cell>
          <cell r="I503" t="str">
            <v>284HPZ</v>
          </cell>
          <cell r="K503" t="str">
            <v>25</v>
          </cell>
          <cell r="L503" t="str">
            <v>3545</v>
          </cell>
          <cell r="M503" t="str">
            <v>P</v>
          </cell>
          <cell r="O503" t="str">
            <v>Full no Cord</v>
          </cell>
          <cell r="P503" t="str">
            <v>TEFC</v>
          </cell>
          <cell r="R503" t="str">
            <v>Continuous</v>
          </cell>
          <cell r="U503" t="str">
            <v>40</v>
          </cell>
          <cell r="V503" t="str">
            <v>3</v>
          </cell>
          <cell r="W503" t="str">
            <v>60</v>
          </cell>
          <cell r="X503" t="str">
            <v>460</v>
          </cell>
          <cell r="Y503" t="str">
            <v>28.2</v>
          </cell>
          <cell r="AA503" t="str">
            <v>Vertical</v>
          </cell>
          <cell r="AG503" t="str">
            <v>HP</v>
          </cell>
          <cell r="AO503" t="str">
            <v>B</v>
          </cell>
          <cell r="AP503" t="str">
            <v>G</v>
          </cell>
          <cell r="AQ503" t="str">
            <v>F</v>
          </cell>
          <cell r="AR503" t="str">
            <v>89.0</v>
          </cell>
          <cell r="AS503" t="str">
            <v>1.15</v>
          </cell>
          <cell r="AT503" t="str">
            <v>92.4</v>
          </cell>
          <cell r="AV503" t="b">
            <v>0</v>
          </cell>
          <cell r="EX503" t="str">
            <v>2MAF787????</v>
          </cell>
          <cell r="HD503" t="str">
            <v>Repair Shop</v>
          </cell>
          <cell r="HT503" t="b">
            <v>0</v>
          </cell>
          <cell r="HU503" t="str">
            <v>VALERO REFINING CO. BENICIA</v>
          </cell>
        </row>
        <row r="504">
          <cell r="A504">
            <v>4271</v>
          </cell>
          <cell r="B504" t="str">
            <v>VEM1198</v>
          </cell>
          <cell r="D504" t="str">
            <v>VALERO</v>
          </cell>
          <cell r="F504" t="str">
            <v>ABB</v>
          </cell>
          <cell r="H504" t="str">
            <v>0849-010480458</v>
          </cell>
          <cell r="I504" t="str">
            <v>280SMB</v>
          </cell>
          <cell r="K504" t="str">
            <v>105</v>
          </cell>
          <cell r="L504" t="str">
            <v>1780</v>
          </cell>
          <cell r="O504" t="str">
            <v>Full no Cord</v>
          </cell>
          <cell r="P504" t="str">
            <v>TEFC</v>
          </cell>
          <cell r="R504" t="str">
            <v>Continuous</v>
          </cell>
          <cell r="S504" t="str">
            <v>No</v>
          </cell>
          <cell r="T504" t="str">
            <v>None no key</v>
          </cell>
          <cell r="V504" t="str">
            <v>3</v>
          </cell>
          <cell r="W504" t="str">
            <v>60</v>
          </cell>
          <cell r="X504" t="str">
            <v>440</v>
          </cell>
          <cell r="Y504" t="str">
            <v>167</v>
          </cell>
          <cell r="AA504" t="str">
            <v>Top</v>
          </cell>
          <cell r="AD504" t="str">
            <v>0</v>
          </cell>
          <cell r="AG504" t="str">
            <v>KW</v>
          </cell>
          <cell r="AQ504" t="str">
            <v>F</v>
          </cell>
          <cell r="AV504" t="b">
            <v>0</v>
          </cell>
          <cell r="HD504" t="str">
            <v>Repair Shop</v>
          </cell>
          <cell r="HT504" t="b">
            <v>0</v>
          </cell>
          <cell r="HU504" t="str">
            <v>VALERO REFINING CO. BENICIA</v>
          </cell>
        </row>
        <row r="505">
          <cell r="A505">
            <v>4270</v>
          </cell>
          <cell r="B505" t="str">
            <v>VEM1197</v>
          </cell>
          <cell r="D505" t="str">
            <v>VALERO</v>
          </cell>
          <cell r="F505" t="str">
            <v>Siemens</v>
          </cell>
          <cell r="G505" t="str">
            <v>1LA04444EE4N</v>
          </cell>
          <cell r="I505" t="str">
            <v>B 444T</v>
          </cell>
          <cell r="K505" t="str">
            <v>125</v>
          </cell>
          <cell r="L505" t="str">
            <v>1800</v>
          </cell>
          <cell r="M505" t="str">
            <v>R6ZEESDX</v>
          </cell>
          <cell r="P505" t="str">
            <v>TEFC</v>
          </cell>
          <cell r="R505" t="str">
            <v>Continuous</v>
          </cell>
          <cell r="V505" t="str">
            <v>3</v>
          </cell>
          <cell r="W505" t="str">
            <v>60</v>
          </cell>
          <cell r="X505" t="str">
            <v>460</v>
          </cell>
          <cell r="Y505" t="str">
            <v>143</v>
          </cell>
          <cell r="AD505" t="str">
            <v>0</v>
          </cell>
          <cell r="AG505" t="str">
            <v>HP</v>
          </cell>
          <cell r="AO505" t="str">
            <v>B</v>
          </cell>
          <cell r="AQ505" t="str">
            <v>F</v>
          </cell>
          <cell r="AV505" t="b">
            <v>0</v>
          </cell>
          <cell r="HD505" t="str">
            <v>Repair Shop</v>
          </cell>
          <cell r="HT505" t="b">
            <v>0</v>
          </cell>
          <cell r="HU505" t="str">
            <v>VALERO REFINING CO. BENICIA</v>
          </cell>
        </row>
        <row r="506">
          <cell r="A506">
            <v>4269</v>
          </cell>
          <cell r="B506" t="str">
            <v>VEM1196</v>
          </cell>
          <cell r="D506" t="str">
            <v>PANPACIFIC</v>
          </cell>
          <cell r="F506" t="str">
            <v>Emerson</v>
          </cell>
          <cell r="I506" t="str">
            <v>405T</v>
          </cell>
          <cell r="K506" t="str">
            <v>40</v>
          </cell>
          <cell r="L506" t="str">
            <v>710</v>
          </cell>
          <cell r="M506" t="str">
            <v>CTI</v>
          </cell>
          <cell r="N506" t="str">
            <v>1180</v>
          </cell>
          <cell r="O506" t="str">
            <v>Full no Cord</v>
          </cell>
          <cell r="P506" t="str">
            <v>TEFC</v>
          </cell>
          <cell r="R506" t="str">
            <v>Continuous</v>
          </cell>
          <cell r="S506" t="str">
            <v>Yes</v>
          </cell>
          <cell r="T506" t="str">
            <v>yes</v>
          </cell>
          <cell r="U506" t="str">
            <v>40</v>
          </cell>
          <cell r="V506" t="str">
            <v>3</v>
          </cell>
          <cell r="W506" t="str">
            <v>60</v>
          </cell>
          <cell r="X506" t="str">
            <v>460</v>
          </cell>
          <cell r="Y506" t="str">
            <v>56</v>
          </cell>
          <cell r="AA506" t="str">
            <v>F1</v>
          </cell>
          <cell r="AD506" t="str">
            <v>0</v>
          </cell>
          <cell r="AG506" t="str">
            <v>HP</v>
          </cell>
          <cell r="AI506" t="str">
            <v>6217</v>
          </cell>
          <cell r="AJ506" t="str">
            <v>6214</v>
          </cell>
          <cell r="AO506" t="str">
            <v>B</v>
          </cell>
          <cell r="AP506" t="str">
            <v>F</v>
          </cell>
          <cell r="AQ506" t="str">
            <v>F</v>
          </cell>
          <cell r="AR506" t="str">
            <v>71.9</v>
          </cell>
          <cell r="AS506" t="str">
            <v>1.15</v>
          </cell>
          <cell r="AT506" t="str">
            <v>92.4</v>
          </cell>
          <cell r="AV506" t="b">
            <v>0</v>
          </cell>
          <cell r="EW506" t="str">
            <v>H40V5C-P</v>
          </cell>
          <cell r="EX506" t="str">
            <v>L06 20075581-100R- 01</v>
          </cell>
          <cell r="HD506" t="str">
            <v>Repair Shop</v>
          </cell>
          <cell r="HT506" t="b">
            <v>0</v>
          </cell>
          <cell r="HU506" t="str">
            <v>PAN PACIFIC SUPPLY CO.</v>
          </cell>
        </row>
        <row r="507">
          <cell r="A507">
            <v>4268</v>
          </cell>
          <cell r="B507" t="str">
            <v>VEM1195</v>
          </cell>
          <cell r="D507" t="str">
            <v>P66</v>
          </cell>
          <cell r="F507" t="str">
            <v>TECO Westinghouse</v>
          </cell>
          <cell r="H507" t="str">
            <v>EWP2113316037</v>
          </cell>
          <cell r="I507" t="str">
            <v>145TC</v>
          </cell>
          <cell r="K507" t="str">
            <v>2</v>
          </cell>
          <cell r="L507" t="str">
            <v>1740</v>
          </cell>
          <cell r="M507" t="str">
            <v>AEHH8P</v>
          </cell>
          <cell r="N507" t="str">
            <v>62</v>
          </cell>
          <cell r="O507" t="str">
            <v>None</v>
          </cell>
          <cell r="P507" t="str">
            <v>TEFC</v>
          </cell>
          <cell r="Q507" t="str">
            <v>NONE</v>
          </cell>
          <cell r="R507" t="str">
            <v>Continuous</v>
          </cell>
          <cell r="S507" t="str">
            <v>NONE</v>
          </cell>
          <cell r="T507" t="str">
            <v>NONE</v>
          </cell>
          <cell r="U507" t="str">
            <v>40</v>
          </cell>
          <cell r="V507" t="str">
            <v>3</v>
          </cell>
          <cell r="W507" t="str">
            <v>60/50</v>
          </cell>
          <cell r="X507" t="str">
            <v>230/460</v>
          </cell>
          <cell r="Z507" t="str">
            <v>NONE</v>
          </cell>
          <cell r="AA507" t="str">
            <v>F1</v>
          </cell>
          <cell r="AG507" t="str">
            <v>HP</v>
          </cell>
          <cell r="AI507" t="str">
            <v>6205</v>
          </cell>
          <cell r="AJ507" t="str">
            <v>6205</v>
          </cell>
          <cell r="AO507" t="str">
            <v>B</v>
          </cell>
          <cell r="AP507" t="str">
            <v>L</v>
          </cell>
          <cell r="AQ507" t="str">
            <v>F</v>
          </cell>
          <cell r="AS507" t="str">
            <v>1.15</v>
          </cell>
          <cell r="AT507" t="str">
            <v>86.5</v>
          </cell>
          <cell r="AV507" t="b">
            <v>0</v>
          </cell>
          <cell r="AW507" t="str">
            <v>5.55/2.78</v>
          </cell>
          <cell r="EW507" t="str">
            <v>NP0024</v>
          </cell>
          <cell r="HD507" t="str">
            <v>Repair Shop</v>
          </cell>
          <cell r="HT507" t="b">
            <v>0</v>
          </cell>
          <cell r="HU507" t="str">
            <v>PHILLIPS 66</v>
          </cell>
        </row>
        <row r="508">
          <cell r="A508">
            <v>4267</v>
          </cell>
          <cell r="B508" t="str">
            <v>VEM1194</v>
          </cell>
          <cell r="D508" t="str">
            <v>VALLEJOSAN</v>
          </cell>
          <cell r="F508" t="str">
            <v>Smith and Loveless</v>
          </cell>
          <cell r="G508" t="str">
            <v>WB 364TTDS8343</v>
          </cell>
          <cell r="K508" t="str">
            <v>60</v>
          </cell>
          <cell r="L508" t="str">
            <v>1775</v>
          </cell>
          <cell r="M508" t="str">
            <v>TDS</v>
          </cell>
          <cell r="O508" t="str">
            <v>Full no Cord</v>
          </cell>
          <cell r="R508" t="str">
            <v>Continuous</v>
          </cell>
          <cell r="T508" t="str">
            <v>Pump</v>
          </cell>
          <cell r="U508" t="str">
            <v>40</v>
          </cell>
          <cell r="V508" t="str">
            <v>3</v>
          </cell>
          <cell r="W508" t="str">
            <v>60</v>
          </cell>
          <cell r="X508" t="str">
            <v>460</v>
          </cell>
          <cell r="Z508" t="str">
            <v>Yes</v>
          </cell>
          <cell r="AA508" t="str">
            <v>Vertical</v>
          </cell>
          <cell r="AG508" t="str">
            <v>HP</v>
          </cell>
          <cell r="AI508" t="str">
            <v>6316</v>
          </cell>
          <cell r="AJ508" t="str">
            <v>6312</v>
          </cell>
          <cell r="AO508" t="str">
            <v>B</v>
          </cell>
          <cell r="AR508" t="str">
            <v>80.5</v>
          </cell>
          <cell r="AS508" t="str">
            <v>1.15</v>
          </cell>
          <cell r="AT508" t="str">
            <v>91</v>
          </cell>
          <cell r="AV508" t="b">
            <v>0</v>
          </cell>
          <cell r="HD508" t="str">
            <v>Repair Shop</v>
          </cell>
          <cell r="HT508" t="b">
            <v>0</v>
          </cell>
          <cell r="HU508" t="str">
            <v>VALLEJO FLOOD &amp; WASTEWATER DISTRICT</v>
          </cell>
        </row>
        <row r="509">
          <cell r="A509">
            <v>4266</v>
          </cell>
          <cell r="B509" t="str">
            <v>VEM1193</v>
          </cell>
          <cell r="D509" t="str">
            <v>C&amp;H</v>
          </cell>
          <cell r="F509" t="str">
            <v>Allis Chalmers</v>
          </cell>
          <cell r="H509" t="str">
            <v>1-5110-60554-1-2</v>
          </cell>
          <cell r="I509" t="str">
            <v>30ES8</v>
          </cell>
          <cell r="K509" t="str">
            <v>50</v>
          </cell>
          <cell r="L509" t="str">
            <v>450-900</v>
          </cell>
          <cell r="M509" t="str">
            <v>GVHS</v>
          </cell>
          <cell r="O509" t="str">
            <v>None</v>
          </cell>
          <cell r="P509" t="str">
            <v>ODP</v>
          </cell>
          <cell r="R509" t="str">
            <v>Continuous</v>
          </cell>
          <cell r="S509" t="str">
            <v>No</v>
          </cell>
          <cell r="T509" t="str">
            <v>NONE NO KEY</v>
          </cell>
          <cell r="U509" t="str">
            <v>100</v>
          </cell>
          <cell r="V509" t="str">
            <v>3</v>
          </cell>
          <cell r="W509" t="str">
            <v>60</v>
          </cell>
          <cell r="X509" t="str">
            <v>440</v>
          </cell>
          <cell r="Y509" t="str">
            <v>465/285</v>
          </cell>
          <cell r="Z509" t="str">
            <v>Yes</v>
          </cell>
          <cell r="AA509" t="str">
            <v>Top</v>
          </cell>
          <cell r="AG509" t="str">
            <v>HP</v>
          </cell>
          <cell r="AV509" t="b">
            <v>0</v>
          </cell>
          <cell r="HD509" t="str">
            <v>Repair Shop</v>
          </cell>
          <cell r="HT509" t="b">
            <v>0</v>
          </cell>
          <cell r="HU509" t="str">
            <v>C &amp; H SUGAR CO.</v>
          </cell>
        </row>
        <row r="510">
          <cell r="A510">
            <v>4265</v>
          </cell>
          <cell r="B510" t="str">
            <v>VEM1192</v>
          </cell>
          <cell r="D510" t="str">
            <v>C&amp;H</v>
          </cell>
          <cell r="O510" t="str">
            <v>None</v>
          </cell>
          <cell r="R510" t="str">
            <v>Continuous</v>
          </cell>
          <cell r="T510" t="str">
            <v>none no key</v>
          </cell>
          <cell r="AV510" t="b">
            <v>0</v>
          </cell>
          <cell r="HD510" t="str">
            <v>Repair Shop</v>
          </cell>
          <cell r="HT510" t="b">
            <v>0</v>
          </cell>
          <cell r="HU510" t="str">
            <v>C &amp; H SUGAR CO.</v>
          </cell>
        </row>
        <row r="511">
          <cell r="A511">
            <v>4264</v>
          </cell>
          <cell r="B511" t="str">
            <v>VEM1191</v>
          </cell>
          <cell r="D511" t="str">
            <v>COUNTYASPHALT</v>
          </cell>
          <cell r="AG511" t="str">
            <v>HP</v>
          </cell>
          <cell r="AV511" t="b">
            <v>0</v>
          </cell>
          <cell r="HD511" t="str">
            <v>Repair Shop</v>
          </cell>
          <cell r="HT511" t="b">
            <v>0</v>
          </cell>
          <cell r="HU511" t="str">
            <v>COUNTY ASPHALT</v>
          </cell>
        </row>
        <row r="512">
          <cell r="A512">
            <v>4263</v>
          </cell>
          <cell r="B512" t="str">
            <v>VEM1190</v>
          </cell>
          <cell r="D512" t="str">
            <v>ECOSERVICE</v>
          </cell>
          <cell r="AG512" t="str">
            <v>HP</v>
          </cell>
          <cell r="AV512" t="b">
            <v>0</v>
          </cell>
          <cell r="HD512" t="str">
            <v>Repair Shop</v>
          </cell>
          <cell r="HT512" t="b">
            <v>0</v>
          </cell>
          <cell r="HU512" t="str">
            <v>ECO SERVICES</v>
          </cell>
        </row>
        <row r="513">
          <cell r="A513">
            <v>4262</v>
          </cell>
          <cell r="B513" t="str">
            <v>VEM1189</v>
          </cell>
          <cell r="D513" t="str">
            <v>FRFLD-SUISUN</v>
          </cell>
          <cell r="AG513" t="str">
            <v>HP</v>
          </cell>
          <cell r="AV513" t="b">
            <v>0</v>
          </cell>
          <cell r="HD513" t="str">
            <v>Repair Shop</v>
          </cell>
          <cell r="HT513" t="b">
            <v>0</v>
          </cell>
          <cell r="HU513" t="str">
            <v>FAIRFIELD-SUISUN SEWER DISTRICT</v>
          </cell>
        </row>
        <row r="514">
          <cell r="A514">
            <v>4261</v>
          </cell>
          <cell r="B514" t="str">
            <v>VEM1188</v>
          </cell>
          <cell r="D514" t="str">
            <v>EURO</v>
          </cell>
          <cell r="AG514" t="str">
            <v>HP</v>
          </cell>
          <cell r="AV514" t="b">
            <v>0</v>
          </cell>
          <cell r="HD514" t="str">
            <v>Repair Shop</v>
          </cell>
          <cell r="HT514" t="b">
            <v>0</v>
          </cell>
          <cell r="HU514" t="str">
            <v>EURO-MACHINES, INC.</v>
          </cell>
        </row>
        <row r="515">
          <cell r="A515">
            <v>4260</v>
          </cell>
          <cell r="B515" t="str">
            <v>VEM1187</v>
          </cell>
          <cell r="D515" t="str">
            <v>WOODLINE</v>
          </cell>
          <cell r="F515" t="str">
            <v>US Motors</v>
          </cell>
          <cell r="I515" t="str">
            <v>213T</v>
          </cell>
          <cell r="K515" t="str">
            <v>7.5</v>
          </cell>
          <cell r="L515" t="str">
            <v>1740</v>
          </cell>
          <cell r="M515" t="str">
            <v>T</v>
          </cell>
          <cell r="O515" t="str">
            <v>Full no Cord</v>
          </cell>
          <cell r="P515" t="str">
            <v>TEFC</v>
          </cell>
          <cell r="R515" t="str">
            <v>Continuous</v>
          </cell>
          <cell r="S515" t="str">
            <v>No</v>
          </cell>
          <cell r="T515" t="str">
            <v>none no key</v>
          </cell>
          <cell r="U515" t="str">
            <v>40</v>
          </cell>
          <cell r="V515" t="str">
            <v>3</v>
          </cell>
          <cell r="W515" t="str">
            <v>60</v>
          </cell>
          <cell r="X515" t="str">
            <v>230/460</v>
          </cell>
          <cell r="Y515" t="str">
            <v>22.2/11.1</v>
          </cell>
          <cell r="AA515" t="str">
            <v>F1</v>
          </cell>
          <cell r="AG515" t="str">
            <v>HP</v>
          </cell>
          <cell r="AI515" t="str">
            <v>6208</v>
          </cell>
          <cell r="AJ515" t="str">
            <v>6206</v>
          </cell>
          <cell r="AQ515" t="str">
            <v>B</v>
          </cell>
          <cell r="AS515" t="str">
            <v>1.0</v>
          </cell>
          <cell r="AV515" t="b">
            <v>0</v>
          </cell>
          <cell r="EX515" t="str">
            <v>F-9286-00-207</v>
          </cell>
          <cell r="HD515" t="str">
            <v>Repair Shop</v>
          </cell>
          <cell r="HT515" t="b">
            <v>0</v>
          </cell>
          <cell r="HU515" t="str">
            <v>WOODLINE CABINETS</v>
          </cell>
        </row>
        <row r="516">
          <cell r="A516">
            <v>4259</v>
          </cell>
          <cell r="B516" t="str">
            <v>VEM1186</v>
          </cell>
          <cell r="D516" t="str">
            <v>P66</v>
          </cell>
          <cell r="AG516" t="str">
            <v>HP</v>
          </cell>
          <cell r="AV516" t="b">
            <v>0</v>
          </cell>
          <cell r="HD516" t="str">
            <v>Repair Shop</v>
          </cell>
          <cell r="HT516" t="b">
            <v>0</v>
          </cell>
          <cell r="HU516" t="str">
            <v>PHILLIPS 66</v>
          </cell>
        </row>
        <row r="517">
          <cell r="A517">
            <v>4258</v>
          </cell>
          <cell r="B517" t="str">
            <v>VEM1185</v>
          </cell>
          <cell r="D517" t="str">
            <v>P66</v>
          </cell>
          <cell r="F517" t="str">
            <v>Reliance</v>
          </cell>
          <cell r="I517" t="str">
            <v>X284AC</v>
          </cell>
          <cell r="K517" t="str">
            <v>5</v>
          </cell>
          <cell r="L517" t="str">
            <v>1800</v>
          </cell>
          <cell r="AG517" t="str">
            <v>HP</v>
          </cell>
          <cell r="AI517" t="str">
            <v>6309</v>
          </cell>
          <cell r="AJ517" t="str">
            <v>6208</v>
          </cell>
          <cell r="AV517" t="b">
            <v>0</v>
          </cell>
          <cell r="HD517" t="str">
            <v>Repair Shop</v>
          </cell>
          <cell r="HT517" t="b">
            <v>0</v>
          </cell>
          <cell r="HU517" t="str">
            <v>PHILLIPS 66</v>
          </cell>
        </row>
        <row r="518">
          <cell r="A518">
            <v>4257</v>
          </cell>
          <cell r="B518" t="str">
            <v>VEM1184</v>
          </cell>
          <cell r="D518" t="str">
            <v>P66</v>
          </cell>
          <cell r="AG518" t="str">
            <v>HP</v>
          </cell>
          <cell r="AV518" t="b">
            <v>0</v>
          </cell>
          <cell r="HD518" t="str">
            <v>Repair Shop</v>
          </cell>
          <cell r="HT518" t="b">
            <v>0</v>
          </cell>
          <cell r="HU518" t="str">
            <v>PHILLIPS 66</v>
          </cell>
        </row>
        <row r="519">
          <cell r="A519">
            <v>4256</v>
          </cell>
          <cell r="B519" t="str">
            <v>VEM1183</v>
          </cell>
          <cell r="D519" t="str">
            <v>P66</v>
          </cell>
          <cell r="AG519" t="str">
            <v>HP</v>
          </cell>
          <cell r="AV519" t="b">
            <v>0</v>
          </cell>
          <cell r="HD519" t="str">
            <v>Repair Shop</v>
          </cell>
          <cell r="HT519" t="b">
            <v>0</v>
          </cell>
          <cell r="HU519" t="str">
            <v>PHILLIPS 66</v>
          </cell>
        </row>
        <row r="520">
          <cell r="A520">
            <v>4255</v>
          </cell>
          <cell r="B520" t="str">
            <v>VEM1182</v>
          </cell>
          <cell r="D520" t="str">
            <v>VALERO</v>
          </cell>
          <cell r="F520" t="str">
            <v>GE</v>
          </cell>
          <cell r="G520" t="str">
            <v>5KS284XAA208D3</v>
          </cell>
          <cell r="I520" t="str">
            <v>284T</v>
          </cell>
          <cell r="K520" t="str">
            <v>25</v>
          </cell>
          <cell r="L520" t="str">
            <v>1780</v>
          </cell>
          <cell r="M520" t="str">
            <v>KS</v>
          </cell>
          <cell r="N520" t="str">
            <v>460</v>
          </cell>
          <cell r="O520" t="str">
            <v>Full no Cord</v>
          </cell>
          <cell r="P520" t="str">
            <v>TEFC</v>
          </cell>
          <cell r="R520" t="str">
            <v>Continuous</v>
          </cell>
          <cell r="S520" t="str">
            <v>Yes</v>
          </cell>
          <cell r="T520" t="str">
            <v>NONE NO KEY</v>
          </cell>
          <cell r="U520" t="str">
            <v>40</v>
          </cell>
          <cell r="V520" t="str">
            <v>3</v>
          </cell>
          <cell r="W520" t="str">
            <v>60</v>
          </cell>
          <cell r="X520" t="str">
            <v>460</v>
          </cell>
          <cell r="Y520" t="str">
            <v>29.1</v>
          </cell>
          <cell r="Z520" t="str">
            <v>Yes</v>
          </cell>
          <cell r="AA520" t="str">
            <v>F1</v>
          </cell>
          <cell r="AD520" t="str">
            <v>-1</v>
          </cell>
          <cell r="AG520" t="str">
            <v>HP</v>
          </cell>
          <cell r="AO520" t="str">
            <v>B</v>
          </cell>
          <cell r="AP520" t="str">
            <v>G</v>
          </cell>
          <cell r="AQ520" t="str">
            <v>F</v>
          </cell>
          <cell r="AR520" t="str">
            <v>86.0</v>
          </cell>
          <cell r="AS520" t="str">
            <v>1.15</v>
          </cell>
          <cell r="AT520" t="str">
            <v>93.6</v>
          </cell>
          <cell r="AV520" t="b">
            <v>0</v>
          </cell>
          <cell r="EW520" t="str">
            <v>M9443</v>
          </cell>
          <cell r="HD520" t="str">
            <v>Repair Shop</v>
          </cell>
          <cell r="HT520" t="b">
            <v>0</v>
          </cell>
          <cell r="HU520" t="str">
            <v>VALERO REFINING CO. BENICIA</v>
          </cell>
        </row>
        <row r="521">
          <cell r="A521">
            <v>4254</v>
          </cell>
          <cell r="B521" t="str">
            <v>VEM1181</v>
          </cell>
          <cell r="D521" t="str">
            <v>VALERO</v>
          </cell>
          <cell r="F521" t="str">
            <v>Siemens</v>
          </cell>
          <cell r="H521" t="str">
            <v>D03 T051IJJ 4</v>
          </cell>
          <cell r="I521" t="str">
            <v>286T</v>
          </cell>
          <cell r="K521" t="str">
            <v>30</v>
          </cell>
          <cell r="L521" t="str">
            <v>1765</v>
          </cell>
          <cell r="M521" t="str">
            <v>RGZESDX</v>
          </cell>
          <cell r="N521" t="str">
            <v>420</v>
          </cell>
          <cell r="O521" t="str">
            <v>Full no Cord</v>
          </cell>
          <cell r="P521" t="str">
            <v>TEFC</v>
          </cell>
          <cell r="R521" t="str">
            <v>Continuous</v>
          </cell>
          <cell r="S521" t="str">
            <v>Yes</v>
          </cell>
          <cell r="T521" t="str">
            <v>NONE NO KEY</v>
          </cell>
          <cell r="U521" t="str">
            <v>40</v>
          </cell>
          <cell r="V521" t="str">
            <v>3</v>
          </cell>
          <cell r="W521" t="str">
            <v>60</v>
          </cell>
          <cell r="X521" t="str">
            <v>460</v>
          </cell>
          <cell r="Y521" t="str">
            <v>35.0</v>
          </cell>
          <cell r="Z521" t="str">
            <v>No</v>
          </cell>
          <cell r="AA521" t="str">
            <v>F1</v>
          </cell>
          <cell r="AG521" t="str">
            <v>HP</v>
          </cell>
          <cell r="AO521" t="str">
            <v>B</v>
          </cell>
          <cell r="AP521" t="str">
            <v>G</v>
          </cell>
          <cell r="AQ521" t="str">
            <v>F</v>
          </cell>
          <cell r="AS521" t="str">
            <v>1.15</v>
          </cell>
          <cell r="AT521" t="str">
            <v>93.0</v>
          </cell>
          <cell r="AV521" t="b">
            <v>0</v>
          </cell>
          <cell r="HD521" t="str">
            <v>Repair Shop</v>
          </cell>
          <cell r="HT521" t="b">
            <v>0</v>
          </cell>
          <cell r="HU521" t="str">
            <v>VALERO REFINING CO. BENICIA</v>
          </cell>
        </row>
        <row r="522">
          <cell r="A522">
            <v>4253</v>
          </cell>
          <cell r="B522" t="str">
            <v>VEM1180</v>
          </cell>
          <cell r="D522" t="str">
            <v>VALERO</v>
          </cell>
          <cell r="F522" t="str">
            <v>Reliance</v>
          </cell>
          <cell r="I522" t="str">
            <v>256T</v>
          </cell>
          <cell r="K522" t="str">
            <v>20</v>
          </cell>
          <cell r="L522" t="str">
            <v>1770</v>
          </cell>
          <cell r="M522" t="str">
            <v>P</v>
          </cell>
          <cell r="P522" t="str">
            <v>TEFC</v>
          </cell>
          <cell r="R522" t="str">
            <v>Continuous</v>
          </cell>
          <cell r="S522" t="str">
            <v>Yes</v>
          </cell>
          <cell r="T522" t="str">
            <v>NONE NO KEY</v>
          </cell>
          <cell r="U522" t="str">
            <v>40</v>
          </cell>
          <cell r="V522" t="str">
            <v>3</v>
          </cell>
          <cell r="W522" t="str">
            <v>60</v>
          </cell>
          <cell r="X522" t="str">
            <v>230/460</v>
          </cell>
          <cell r="Y522" t="str">
            <v>47.6/23.8</v>
          </cell>
          <cell r="Z522" t="str">
            <v>Yes</v>
          </cell>
          <cell r="AA522" t="str">
            <v>F1</v>
          </cell>
          <cell r="AG522" t="str">
            <v>HP</v>
          </cell>
          <cell r="AO522" t="str">
            <v>B</v>
          </cell>
          <cell r="AP522" t="str">
            <v>G</v>
          </cell>
          <cell r="AQ522" t="str">
            <v>F</v>
          </cell>
          <cell r="AR522" t="str">
            <v>85.2</v>
          </cell>
          <cell r="AS522" t="str">
            <v>1.15</v>
          </cell>
          <cell r="AT522" t="str">
            <v>92.4</v>
          </cell>
          <cell r="AV522" t="b">
            <v>0</v>
          </cell>
          <cell r="EX522" t="str">
            <v>P25G3317D-G07-TK</v>
          </cell>
          <cell r="HD522" t="str">
            <v>Repair Shop</v>
          </cell>
          <cell r="HT522" t="b">
            <v>0</v>
          </cell>
          <cell r="HU522" t="str">
            <v>VALERO REFINING CO. BENICIA</v>
          </cell>
        </row>
        <row r="523">
          <cell r="A523">
            <v>4252</v>
          </cell>
          <cell r="B523" t="str">
            <v>VEM1179</v>
          </cell>
          <cell r="D523" t="str">
            <v>VALERO</v>
          </cell>
          <cell r="F523" t="str">
            <v>Siemens</v>
          </cell>
          <cell r="H523" t="str">
            <v>E11T0050NP1 006</v>
          </cell>
          <cell r="I523" t="str">
            <v>365T</v>
          </cell>
          <cell r="K523" t="str">
            <v>75</v>
          </cell>
          <cell r="L523" t="str">
            <v>1780</v>
          </cell>
          <cell r="M523" t="str">
            <v>SD100</v>
          </cell>
          <cell r="N523" t="str">
            <v>1000</v>
          </cell>
          <cell r="O523" t="str">
            <v>Full no Cord</v>
          </cell>
          <cell r="P523" t="str">
            <v>TEFC</v>
          </cell>
          <cell r="R523" t="str">
            <v>Continuous</v>
          </cell>
          <cell r="S523" t="str">
            <v>Yes</v>
          </cell>
          <cell r="T523" t="str">
            <v>none no key</v>
          </cell>
          <cell r="U523" t="str">
            <v>40</v>
          </cell>
          <cell r="V523" t="str">
            <v>3</v>
          </cell>
          <cell r="W523" t="str">
            <v>60</v>
          </cell>
          <cell r="Y523" t="str">
            <v>85.0</v>
          </cell>
          <cell r="AA523" t="str">
            <v>F1</v>
          </cell>
          <cell r="AG523" t="str">
            <v>HP</v>
          </cell>
          <cell r="AI523" t="str">
            <v>NU 314</v>
          </cell>
          <cell r="AJ523" t="str">
            <v>6314</v>
          </cell>
          <cell r="AO523" t="str">
            <v>B</v>
          </cell>
          <cell r="AP523" t="str">
            <v>G</v>
          </cell>
          <cell r="AQ523" t="str">
            <v>F</v>
          </cell>
          <cell r="AS523" t="str">
            <v>1.15</v>
          </cell>
          <cell r="AT523" t="str">
            <v>95.4</v>
          </cell>
          <cell r="AV523" t="b">
            <v>0</v>
          </cell>
          <cell r="HD523" t="str">
            <v>Repair Shop</v>
          </cell>
          <cell r="HT523" t="b">
            <v>0</v>
          </cell>
          <cell r="HU523" t="str">
            <v>VALERO REFINING CO. BENICIA</v>
          </cell>
        </row>
        <row r="524">
          <cell r="A524">
            <v>4251</v>
          </cell>
          <cell r="B524" t="str">
            <v>VEM1178</v>
          </cell>
          <cell r="D524" t="str">
            <v>VALERO</v>
          </cell>
          <cell r="F524" t="str">
            <v>Baldor/Reliance</v>
          </cell>
          <cell r="H524" t="str">
            <v>W0806201645</v>
          </cell>
          <cell r="I524" t="str">
            <v>48YZ</v>
          </cell>
          <cell r="K524" t="str">
            <v>.5</v>
          </cell>
          <cell r="L524" t="str">
            <v>1700</v>
          </cell>
          <cell r="M524" t="str">
            <v>M</v>
          </cell>
          <cell r="O524" t="str">
            <v>None</v>
          </cell>
          <cell r="P524" t="str">
            <v>EXP</v>
          </cell>
          <cell r="R524" t="str">
            <v>Intermittant</v>
          </cell>
          <cell r="S524" t="str">
            <v>No</v>
          </cell>
          <cell r="T524" t="str">
            <v>yes</v>
          </cell>
          <cell r="U524" t="str">
            <v>40</v>
          </cell>
          <cell r="V524" t="str">
            <v>3</v>
          </cell>
          <cell r="X524" t="str">
            <v>230/460</v>
          </cell>
          <cell r="Y524" t="str">
            <v>2.0/2.2</v>
          </cell>
          <cell r="Z524" t="str">
            <v>Yes</v>
          </cell>
          <cell r="AG524" t="str">
            <v>HP</v>
          </cell>
          <cell r="AP524" t="str">
            <v>M</v>
          </cell>
          <cell r="AQ524" t="str">
            <v>F</v>
          </cell>
          <cell r="AS524" t="str">
            <v>1.00</v>
          </cell>
          <cell r="AV524" t="b">
            <v>0</v>
          </cell>
          <cell r="EX524" t="str">
            <v>34-7290S297G1</v>
          </cell>
          <cell r="GK524" t="str">
            <v>Leads 42 inches in lg.</v>
          </cell>
          <cell r="GL524" t="str">
            <v>Heater volt 110-220</v>
          </cell>
          <cell r="HD524" t="str">
            <v>Repair Shop</v>
          </cell>
          <cell r="HT524" t="b">
            <v>0</v>
          </cell>
          <cell r="HU524" t="str">
            <v>VALERO REFINING CO. BENICIA</v>
          </cell>
        </row>
        <row r="525">
          <cell r="A525">
            <v>4250</v>
          </cell>
          <cell r="B525" t="str">
            <v>VEM1177</v>
          </cell>
          <cell r="D525" t="str">
            <v>DURAVENT</v>
          </cell>
          <cell r="F525" t="str">
            <v>Baldor</v>
          </cell>
          <cell r="H525" t="str">
            <v>W17004211755</v>
          </cell>
          <cell r="I525" t="str">
            <v>1810ATC</v>
          </cell>
          <cell r="K525" t="str">
            <v>5</v>
          </cell>
          <cell r="L525" t="str">
            <v>1750</v>
          </cell>
          <cell r="M525" t="str">
            <v>3688P</v>
          </cell>
          <cell r="O525" t="str">
            <v>Full no Cord</v>
          </cell>
          <cell r="P525" t="str">
            <v>TEFC</v>
          </cell>
          <cell r="R525" t="str">
            <v>Continuous</v>
          </cell>
          <cell r="S525" t="str">
            <v>Yes</v>
          </cell>
          <cell r="T525" t="str">
            <v>key only</v>
          </cell>
          <cell r="U525" t="str">
            <v>40</v>
          </cell>
          <cell r="X525" t="str">
            <v>180</v>
          </cell>
          <cell r="AA525" t="str">
            <v>Top</v>
          </cell>
          <cell r="AD525" t="str">
            <v>0</v>
          </cell>
          <cell r="AG525" t="str">
            <v>HP</v>
          </cell>
          <cell r="AI525" t="str">
            <v>6206</v>
          </cell>
          <cell r="AJ525" t="str">
            <v>6206</v>
          </cell>
          <cell r="AQ525" t="str">
            <v>H</v>
          </cell>
          <cell r="AU525" t="str">
            <v>36P179Z543</v>
          </cell>
          <cell r="AV525" t="b">
            <v>0</v>
          </cell>
          <cell r="ER525" t="str">
            <v>PM</v>
          </cell>
          <cell r="EW525" t="str">
            <v>CDP3605</v>
          </cell>
          <cell r="HD525" t="str">
            <v>Repair Shop</v>
          </cell>
          <cell r="HT525" t="b">
            <v>0</v>
          </cell>
          <cell r="HU525" t="str">
            <v>M&amp;G DURAVENT, INC.</v>
          </cell>
        </row>
        <row r="526">
          <cell r="A526">
            <v>4249</v>
          </cell>
          <cell r="B526" t="str">
            <v>VEM1176</v>
          </cell>
          <cell r="D526" t="str">
            <v>P66</v>
          </cell>
          <cell r="F526" t="str">
            <v>Reliance</v>
          </cell>
          <cell r="I526" t="str">
            <v>286LP</v>
          </cell>
          <cell r="K526" t="str">
            <v>30</v>
          </cell>
          <cell r="L526" t="str">
            <v>3535</v>
          </cell>
          <cell r="M526" t="str">
            <v>P</v>
          </cell>
          <cell r="O526" t="str">
            <v>Full no Cord</v>
          </cell>
          <cell r="P526" t="str">
            <v>TEFC</v>
          </cell>
          <cell r="R526" t="str">
            <v>Continuous</v>
          </cell>
          <cell r="S526" t="str">
            <v>No</v>
          </cell>
          <cell r="T526" t="str">
            <v>none no key</v>
          </cell>
          <cell r="U526" t="str">
            <v>40</v>
          </cell>
          <cell r="V526" t="str">
            <v>3</v>
          </cell>
          <cell r="W526" t="str">
            <v>60</v>
          </cell>
          <cell r="X526" t="str">
            <v>460</v>
          </cell>
          <cell r="Y526" t="str">
            <v>34.1</v>
          </cell>
          <cell r="AA526" t="str">
            <v>Vertical</v>
          </cell>
          <cell r="AG526" t="str">
            <v>HP</v>
          </cell>
          <cell r="AI526" t="str">
            <v>6212</v>
          </cell>
          <cell r="AJ526" t="str">
            <v>2-7309</v>
          </cell>
          <cell r="AO526" t="str">
            <v>B</v>
          </cell>
          <cell r="AP526" t="str">
            <v>G</v>
          </cell>
          <cell r="AQ526" t="str">
            <v>F</v>
          </cell>
          <cell r="AR526" t="str">
            <v>88.9</v>
          </cell>
          <cell r="AS526" t="str">
            <v>1.15</v>
          </cell>
          <cell r="AT526" t="str">
            <v>91.7</v>
          </cell>
          <cell r="AV526" t="b">
            <v>0</v>
          </cell>
          <cell r="EX526" t="str">
            <v>1MAF23891-G1-SM</v>
          </cell>
          <cell r="HD526" t="str">
            <v>Repair Shop</v>
          </cell>
          <cell r="HT526" t="b">
            <v>0</v>
          </cell>
          <cell r="HU526" t="str">
            <v>PHILLIPS 66</v>
          </cell>
        </row>
        <row r="527">
          <cell r="A527">
            <v>4248</v>
          </cell>
          <cell r="B527" t="str">
            <v>VEM1175</v>
          </cell>
          <cell r="D527" t="str">
            <v>PANPACIFIC</v>
          </cell>
          <cell r="F527" t="str">
            <v>Emerson</v>
          </cell>
          <cell r="I527" t="str">
            <v>405T</v>
          </cell>
          <cell r="K527" t="str">
            <v>40</v>
          </cell>
          <cell r="L527" t="str">
            <v>710</v>
          </cell>
          <cell r="M527" t="str">
            <v>CTI</v>
          </cell>
          <cell r="N527" t="str">
            <v>1180</v>
          </cell>
          <cell r="O527" t="str">
            <v>Full no Cord</v>
          </cell>
          <cell r="P527" t="str">
            <v>TEFC</v>
          </cell>
          <cell r="R527" t="str">
            <v>Continuous</v>
          </cell>
          <cell r="S527" t="str">
            <v>Yes</v>
          </cell>
          <cell r="T527" t="str">
            <v>yes</v>
          </cell>
          <cell r="U527" t="str">
            <v>40</v>
          </cell>
          <cell r="V527" t="str">
            <v>3</v>
          </cell>
          <cell r="W527" t="str">
            <v>60</v>
          </cell>
          <cell r="X527" t="str">
            <v>460</v>
          </cell>
          <cell r="Y527" t="str">
            <v>56</v>
          </cell>
          <cell r="Z527" t="str">
            <v>No</v>
          </cell>
          <cell r="AA527" t="str">
            <v>F1</v>
          </cell>
          <cell r="AG527" t="str">
            <v>HP</v>
          </cell>
          <cell r="AI527" t="str">
            <v>6217</v>
          </cell>
          <cell r="AJ527" t="str">
            <v>6214</v>
          </cell>
          <cell r="AO527" t="str">
            <v>B</v>
          </cell>
          <cell r="AP527" t="str">
            <v>F</v>
          </cell>
          <cell r="AQ527" t="str">
            <v>F</v>
          </cell>
          <cell r="AR527" t="str">
            <v>71.9</v>
          </cell>
          <cell r="AS527" t="str">
            <v>1.15</v>
          </cell>
          <cell r="AT527" t="str">
            <v>92.4</v>
          </cell>
          <cell r="AV527" t="b">
            <v>0</v>
          </cell>
          <cell r="EW527" t="str">
            <v>H40V5C-P</v>
          </cell>
          <cell r="EX527" t="str">
            <v>L06  20075581-100R- 03</v>
          </cell>
          <cell r="HD527" t="str">
            <v>Repair Shop</v>
          </cell>
          <cell r="HT527" t="b">
            <v>0</v>
          </cell>
          <cell r="HU527" t="str">
            <v>PAN PACIFIC SUPPLY CO.</v>
          </cell>
        </row>
        <row r="528">
          <cell r="A528">
            <v>4247</v>
          </cell>
          <cell r="B528" t="str">
            <v>VEM1174</v>
          </cell>
          <cell r="D528" t="str">
            <v>P66</v>
          </cell>
          <cell r="F528" t="str">
            <v>Baldor</v>
          </cell>
          <cell r="H528" t="str">
            <v>C1403030897</v>
          </cell>
          <cell r="I528" t="str">
            <v>286T</v>
          </cell>
          <cell r="K528" t="str">
            <v>30</v>
          </cell>
          <cell r="L528" t="str">
            <v>1770</v>
          </cell>
          <cell r="N528" t="str">
            <v>460</v>
          </cell>
          <cell r="O528" t="str">
            <v>Full no Cord</v>
          </cell>
          <cell r="R528" t="str">
            <v>Continuous</v>
          </cell>
          <cell r="S528" t="str">
            <v>Yes</v>
          </cell>
          <cell r="T528" t="str">
            <v>key only</v>
          </cell>
          <cell r="U528" t="str">
            <v>40</v>
          </cell>
          <cell r="V528" t="str">
            <v>3</v>
          </cell>
          <cell r="W528" t="str">
            <v>60</v>
          </cell>
          <cell r="X528" t="str">
            <v>460</v>
          </cell>
          <cell r="Y528" t="str">
            <v>35</v>
          </cell>
          <cell r="AA528" t="str">
            <v>F1</v>
          </cell>
          <cell r="AD528" t="str">
            <v>0</v>
          </cell>
          <cell r="AG528" t="str">
            <v>HP</v>
          </cell>
          <cell r="AI528" t="str">
            <v>6311</v>
          </cell>
          <cell r="AJ528" t="str">
            <v>6311</v>
          </cell>
          <cell r="AO528" t="str">
            <v>B</v>
          </cell>
          <cell r="AP528" t="str">
            <v>G</v>
          </cell>
          <cell r="AR528" t="str">
            <v>87</v>
          </cell>
          <cell r="AS528" t="str">
            <v>1.15</v>
          </cell>
          <cell r="AT528" t="str">
            <v>93.6</v>
          </cell>
          <cell r="AU528" t="str">
            <v>10G187X992</v>
          </cell>
          <cell r="AV528" t="b">
            <v>0</v>
          </cell>
          <cell r="EW528" t="str">
            <v>ECP84104T-4</v>
          </cell>
          <cell r="HD528" t="str">
            <v>Repair Shop</v>
          </cell>
          <cell r="HT528" t="b">
            <v>0</v>
          </cell>
          <cell r="HU528" t="str">
            <v>PHILLIPS 66</v>
          </cell>
        </row>
        <row r="529">
          <cell r="A529">
            <v>4246</v>
          </cell>
          <cell r="B529" t="str">
            <v>VEM1173</v>
          </cell>
          <cell r="D529" t="str">
            <v>P66</v>
          </cell>
          <cell r="AG529" t="str">
            <v>HP</v>
          </cell>
          <cell r="AV529" t="b">
            <v>0</v>
          </cell>
          <cell r="HD529" t="str">
            <v>Repair Shop</v>
          </cell>
          <cell r="HT529" t="b">
            <v>0</v>
          </cell>
          <cell r="HU529" t="str">
            <v>PHILLIPS 66</v>
          </cell>
        </row>
        <row r="530">
          <cell r="A530">
            <v>4245</v>
          </cell>
          <cell r="B530" t="str">
            <v>VEM1172</v>
          </cell>
          <cell r="D530" t="str">
            <v>P66</v>
          </cell>
          <cell r="F530" t="str">
            <v>Reliance</v>
          </cell>
          <cell r="I530" t="str">
            <v>444TS</v>
          </cell>
          <cell r="K530" t="str">
            <v>125</v>
          </cell>
          <cell r="L530" t="str">
            <v>3570</v>
          </cell>
          <cell r="M530" t="str">
            <v>P</v>
          </cell>
          <cell r="N530" t="str">
            <v>1616</v>
          </cell>
          <cell r="O530" t="str">
            <v>None</v>
          </cell>
          <cell r="P530" t="str">
            <v>TEFC</v>
          </cell>
          <cell r="R530" t="str">
            <v>Continuous</v>
          </cell>
          <cell r="S530" t="str">
            <v>Yes</v>
          </cell>
          <cell r="T530" t="str">
            <v>KEY ONLY</v>
          </cell>
          <cell r="U530" t="str">
            <v>40</v>
          </cell>
          <cell r="V530" t="str">
            <v>3</v>
          </cell>
          <cell r="W530" t="str">
            <v>60</v>
          </cell>
          <cell r="X530" t="str">
            <v>460</v>
          </cell>
          <cell r="Y530" t="str">
            <v>136</v>
          </cell>
          <cell r="Z530" t="str">
            <v>No</v>
          </cell>
          <cell r="AA530" t="str">
            <v>F1</v>
          </cell>
          <cell r="AG530" t="str">
            <v>HP</v>
          </cell>
          <cell r="AO530" t="str">
            <v>B</v>
          </cell>
          <cell r="AP530" t="str">
            <v>G</v>
          </cell>
          <cell r="AQ530" t="str">
            <v>F</v>
          </cell>
          <cell r="AR530" t="str">
            <v>89.9</v>
          </cell>
          <cell r="AS530" t="str">
            <v>1.15</v>
          </cell>
          <cell r="AT530" t="str">
            <v>95.4</v>
          </cell>
          <cell r="AV530" t="b">
            <v>0</v>
          </cell>
          <cell r="EX530" t="str">
            <v>03MAN20171 G001 NX</v>
          </cell>
          <cell r="GK530" t="str">
            <v>Oper temp Code T2A</v>
          </cell>
          <cell r="GL530" t="str">
            <v>CL 1.DIV 2 ,GR D</v>
          </cell>
          <cell r="HD530" t="str">
            <v>Repair Shop</v>
          </cell>
          <cell r="HT530" t="b">
            <v>0</v>
          </cell>
          <cell r="HU530" t="str">
            <v>PHILLIPS 66</v>
          </cell>
        </row>
        <row r="531">
          <cell r="A531">
            <v>4244</v>
          </cell>
          <cell r="B531" t="str">
            <v>VEM1171</v>
          </cell>
          <cell r="D531" t="str">
            <v>P66</v>
          </cell>
          <cell r="F531" t="str">
            <v>TECO</v>
          </cell>
          <cell r="G531" t="str">
            <v>K1252</v>
          </cell>
          <cell r="H531" t="str">
            <v>SKC99039-102</v>
          </cell>
          <cell r="I531" t="str">
            <v>445/447TS</v>
          </cell>
          <cell r="K531" t="str">
            <v>125</v>
          </cell>
          <cell r="L531" t="str">
            <v>3575</v>
          </cell>
          <cell r="M531" t="str">
            <v>AEHA</v>
          </cell>
          <cell r="O531" t="str">
            <v>None</v>
          </cell>
          <cell r="P531" t="str">
            <v>TEFC</v>
          </cell>
          <cell r="R531" t="str">
            <v>Continuous</v>
          </cell>
          <cell r="S531" t="str">
            <v>Yes</v>
          </cell>
          <cell r="T531" t="str">
            <v>None no key</v>
          </cell>
          <cell r="U531" t="str">
            <v>40</v>
          </cell>
          <cell r="V531" t="str">
            <v>3</v>
          </cell>
          <cell r="W531" t="str">
            <v>60</v>
          </cell>
          <cell r="X531" t="str">
            <v>2300/4160</v>
          </cell>
          <cell r="Y531" t="str">
            <v>29.5/16.3</v>
          </cell>
          <cell r="AA531" t="str">
            <v>F1</v>
          </cell>
          <cell r="AD531" t="str">
            <v>0</v>
          </cell>
          <cell r="AG531" t="str">
            <v>HP</v>
          </cell>
          <cell r="AI531" t="str">
            <v>6314</v>
          </cell>
          <cell r="AJ531" t="str">
            <v>6314</v>
          </cell>
          <cell r="AS531" t="str">
            <v>1.15</v>
          </cell>
          <cell r="AV531" t="b">
            <v>0</v>
          </cell>
          <cell r="GK531" t="str">
            <v>comlete aux. jb</v>
          </cell>
          <cell r="HD531" t="str">
            <v>Repair Shop</v>
          </cell>
          <cell r="HT531" t="b">
            <v>0</v>
          </cell>
          <cell r="HU531" t="str">
            <v>PHILLIPS 66</v>
          </cell>
        </row>
        <row r="532">
          <cell r="A532">
            <v>4243</v>
          </cell>
          <cell r="B532" t="str">
            <v>VEM1170</v>
          </cell>
          <cell r="D532" t="str">
            <v>P66</v>
          </cell>
          <cell r="F532" t="str">
            <v>Reliance</v>
          </cell>
          <cell r="I532" t="str">
            <v>FR56YZ</v>
          </cell>
          <cell r="K532" t="str">
            <v>.65</v>
          </cell>
          <cell r="L532" t="str">
            <v>1725</v>
          </cell>
          <cell r="M532" t="str">
            <v>P</v>
          </cell>
          <cell r="O532" t="str">
            <v>Full no Cord</v>
          </cell>
          <cell r="P532" t="str">
            <v>TEFC</v>
          </cell>
          <cell r="R532" t="str">
            <v>Continuous</v>
          </cell>
          <cell r="S532" t="str">
            <v>No</v>
          </cell>
          <cell r="U532" t="str">
            <v>40</v>
          </cell>
          <cell r="V532" t="str">
            <v>3</v>
          </cell>
          <cell r="W532" t="str">
            <v>60</v>
          </cell>
          <cell r="X532" t="str">
            <v>208-220/440</v>
          </cell>
          <cell r="Y532" t="str">
            <v>2.4-2.4/1.2</v>
          </cell>
          <cell r="Z532" t="str">
            <v>lip seal</v>
          </cell>
          <cell r="AA532" t="str">
            <v>Vertical</v>
          </cell>
          <cell r="AG532" t="str">
            <v>HP</v>
          </cell>
          <cell r="AP532" t="str">
            <v>K</v>
          </cell>
          <cell r="AQ532" t="str">
            <v>F</v>
          </cell>
          <cell r="AS532" t="str">
            <v>1.15</v>
          </cell>
          <cell r="AV532" t="b">
            <v>0</v>
          </cell>
          <cell r="EX532" t="str">
            <v>B77R3046S-CA</v>
          </cell>
          <cell r="HD532" t="str">
            <v>Repair Shop</v>
          </cell>
          <cell r="HT532" t="b">
            <v>0</v>
          </cell>
          <cell r="HU532" t="str">
            <v>PHILLIPS 66</v>
          </cell>
        </row>
        <row r="533">
          <cell r="A533">
            <v>4242</v>
          </cell>
          <cell r="B533" t="str">
            <v>VEM1169</v>
          </cell>
          <cell r="D533" t="str">
            <v>AMPORTS</v>
          </cell>
          <cell r="F533" t="str">
            <v>GE</v>
          </cell>
          <cell r="G533" t="str">
            <v>5K6252XM510B</v>
          </cell>
          <cell r="H533" t="str">
            <v>HWJ803300</v>
          </cell>
          <cell r="I533" t="str">
            <v>K326TP16</v>
          </cell>
          <cell r="K533" t="str">
            <v>30</v>
          </cell>
          <cell r="L533" t="str">
            <v>1170</v>
          </cell>
          <cell r="M533" t="str">
            <v>K</v>
          </cell>
          <cell r="O533" t="str">
            <v>Full no Cord</v>
          </cell>
          <cell r="P533" t="str">
            <v>ODP</v>
          </cell>
          <cell r="R533" t="str">
            <v>Continuous</v>
          </cell>
          <cell r="U533" t="str">
            <v>40</v>
          </cell>
          <cell r="V533" t="str">
            <v>3</v>
          </cell>
          <cell r="X533" t="str">
            <v>230/460</v>
          </cell>
          <cell r="Y533" t="str">
            <v>81/40.5</v>
          </cell>
          <cell r="AA533" t="str">
            <v>Vertical</v>
          </cell>
          <cell r="AD533" t="str">
            <v>0</v>
          </cell>
          <cell r="AG533" t="str">
            <v>HP</v>
          </cell>
          <cell r="AP533" t="str">
            <v>G</v>
          </cell>
          <cell r="AQ533" t="str">
            <v>F</v>
          </cell>
          <cell r="AS533" t="str">
            <v>1.15</v>
          </cell>
          <cell r="AV533" t="b">
            <v>0</v>
          </cell>
          <cell r="HD533" t="str">
            <v>Repair Shop</v>
          </cell>
          <cell r="HT533" t="b">
            <v>0</v>
          </cell>
          <cell r="HU533" t="str">
            <v>AMPORTS BENICIA PORT TERMINAL</v>
          </cell>
        </row>
        <row r="534">
          <cell r="A534">
            <v>4241</v>
          </cell>
          <cell r="B534" t="str">
            <v>VEM1168</v>
          </cell>
          <cell r="D534" t="str">
            <v>VALERO</v>
          </cell>
          <cell r="F534" t="str">
            <v>US Motors</v>
          </cell>
          <cell r="G534" t="str">
            <v>C2882-00-168</v>
          </cell>
          <cell r="I534" t="str">
            <v>1504</v>
          </cell>
          <cell r="K534" t="str">
            <v>150</v>
          </cell>
          <cell r="L534" t="str">
            <v>1777</v>
          </cell>
          <cell r="M534" t="str">
            <v>J</v>
          </cell>
          <cell r="O534" t="str">
            <v>Full no Cord</v>
          </cell>
          <cell r="P534" t="str">
            <v>TEFC</v>
          </cell>
          <cell r="Q534" t="str">
            <v>Yes</v>
          </cell>
          <cell r="R534" t="str">
            <v>Continuous</v>
          </cell>
          <cell r="S534" t="str">
            <v>Yes</v>
          </cell>
          <cell r="U534" t="str">
            <v>75</v>
          </cell>
          <cell r="V534" t="str">
            <v>3</v>
          </cell>
          <cell r="W534" t="str">
            <v>60</v>
          </cell>
          <cell r="X534" t="str">
            <v>460</v>
          </cell>
          <cell r="Z534" t="str">
            <v>Yes</v>
          </cell>
          <cell r="AA534" t="str">
            <v>F1</v>
          </cell>
          <cell r="AG534" t="str">
            <v>HP</v>
          </cell>
          <cell r="AO534" t="str">
            <v>B</v>
          </cell>
          <cell r="AP534" t="str">
            <v>F</v>
          </cell>
          <cell r="AS534" t="str">
            <v>1.0</v>
          </cell>
          <cell r="AV534" t="b">
            <v>0</v>
          </cell>
          <cell r="AW534" t="str">
            <v>180</v>
          </cell>
          <cell r="HD534" t="str">
            <v>Repair Shop</v>
          </cell>
          <cell r="HT534" t="b">
            <v>0</v>
          </cell>
          <cell r="HU534" t="str">
            <v>VALERO REFINING CO. BENICIA</v>
          </cell>
        </row>
        <row r="535">
          <cell r="A535">
            <v>4240</v>
          </cell>
          <cell r="B535" t="str">
            <v>VEM1167</v>
          </cell>
          <cell r="D535" t="str">
            <v>EURO</v>
          </cell>
          <cell r="AG535" t="str">
            <v>HP</v>
          </cell>
          <cell r="AV535" t="b">
            <v>0</v>
          </cell>
          <cell r="HD535" t="str">
            <v>Repair Shop</v>
          </cell>
          <cell r="HT535" t="b">
            <v>0</v>
          </cell>
          <cell r="HU535" t="str">
            <v>EURO-MACHINES, INC.</v>
          </cell>
        </row>
        <row r="536">
          <cell r="A536">
            <v>4239</v>
          </cell>
          <cell r="B536" t="str">
            <v>VEM1166</v>
          </cell>
          <cell r="D536" t="str">
            <v>CONHAGEN</v>
          </cell>
          <cell r="F536" t="str">
            <v>Reliance</v>
          </cell>
          <cell r="G536" t="str">
            <v>P28G6627E</v>
          </cell>
          <cell r="I536" t="str">
            <v>286HPZ</v>
          </cell>
          <cell r="K536" t="str">
            <v>30</v>
          </cell>
          <cell r="L536" t="str">
            <v>3530</v>
          </cell>
          <cell r="M536" t="str">
            <v>P</v>
          </cell>
          <cell r="N536" t="str">
            <v>481</v>
          </cell>
          <cell r="O536" t="str">
            <v>None</v>
          </cell>
          <cell r="P536" t="str">
            <v>TEFC</v>
          </cell>
          <cell r="R536" t="str">
            <v>Continuous</v>
          </cell>
          <cell r="T536" t="str">
            <v>Sundyne</v>
          </cell>
          <cell r="U536" t="str">
            <v>40</v>
          </cell>
          <cell r="V536" t="str">
            <v>3</v>
          </cell>
          <cell r="W536" t="str">
            <v>60</v>
          </cell>
          <cell r="X536" t="str">
            <v>230/460</v>
          </cell>
          <cell r="Y536" t="str">
            <v>57.6/33.8</v>
          </cell>
          <cell r="AA536" t="str">
            <v>Vertical</v>
          </cell>
          <cell r="AD536" t="str">
            <v>-1</v>
          </cell>
          <cell r="AG536" t="str">
            <v>HP</v>
          </cell>
          <cell r="AI536" t="str">
            <v>6312</v>
          </cell>
          <cell r="AJ536" t="str">
            <v>6310</v>
          </cell>
          <cell r="AO536" t="str">
            <v>B</v>
          </cell>
          <cell r="AP536" t="str">
            <v>G</v>
          </cell>
          <cell r="AQ536" t="str">
            <v>F</v>
          </cell>
          <cell r="AR536" t="str">
            <v>89.2</v>
          </cell>
          <cell r="AV536" t="b">
            <v>0</v>
          </cell>
          <cell r="EX536" t="str">
            <v>80MG005601 C001 QY</v>
          </cell>
          <cell r="HD536" t="str">
            <v>Repair Shop</v>
          </cell>
          <cell r="HT536" t="b">
            <v>0</v>
          </cell>
          <cell r="HU536" t="str">
            <v>ALFRED CONHAGEN CO. OF CA</v>
          </cell>
        </row>
        <row r="537">
          <cell r="A537">
            <v>4238</v>
          </cell>
          <cell r="B537" t="str">
            <v>VEM1165</v>
          </cell>
          <cell r="D537" t="str">
            <v>VALLEJOSAN</v>
          </cell>
          <cell r="F537" t="str">
            <v>WEG</v>
          </cell>
          <cell r="I537" t="str">
            <v>213/5T</v>
          </cell>
          <cell r="K537" t="str">
            <v>15</v>
          </cell>
          <cell r="L537" t="str">
            <v>3510</v>
          </cell>
          <cell r="O537" t="str">
            <v>Half no Cord</v>
          </cell>
          <cell r="P537" t="str">
            <v>TEFC</v>
          </cell>
          <cell r="R537" t="str">
            <v>Continuous</v>
          </cell>
          <cell r="S537" t="str">
            <v>Yes</v>
          </cell>
          <cell r="T537" t="str">
            <v>none no key</v>
          </cell>
          <cell r="U537" t="str">
            <v>40</v>
          </cell>
          <cell r="V537" t="str">
            <v>3</v>
          </cell>
          <cell r="W537" t="str">
            <v>60</v>
          </cell>
          <cell r="X537" t="str">
            <v>230/460</v>
          </cell>
          <cell r="Y537" t="str">
            <v>34/17</v>
          </cell>
          <cell r="AA537" t="str">
            <v>F1</v>
          </cell>
          <cell r="AG537" t="str">
            <v>HP</v>
          </cell>
          <cell r="AI537" t="str">
            <v>6308</v>
          </cell>
          <cell r="AJ537" t="str">
            <v>6207</v>
          </cell>
          <cell r="AO537" t="str">
            <v>B</v>
          </cell>
          <cell r="AP537" t="str">
            <v>H</v>
          </cell>
          <cell r="AQ537" t="str">
            <v>F</v>
          </cell>
          <cell r="AR537" t="str">
            <v>.89</v>
          </cell>
          <cell r="AS537" t="str">
            <v>1.25</v>
          </cell>
          <cell r="AT537" t="str">
            <v>91.0</v>
          </cell>
          <cell r="AV537" t="b">
            <v>0</v>
          </cell>
          <cell r="HD537" t="str">
            <v>Repair Shop</v>
          </cell>
          <cell r="HT537" t="b">
            <v>0</v>
          </cell>
          <cell r="HU537" t="str">
            <v>VALLEJO FLOOD &amp; WASTEWATER DISTRICT</v>
          </cell>
        </row>
        <row r="538">
          <cell r="A538">
            <v>4237</v>
          </cell>
          <cell r="B538" t="str">
            <v>VEM1164</v>
          </cell>
          <cell r="D538" t="str">
            <v>VALLEJOWATER</v>
          </cell>
          <cell r="F538" t="str">
            <v>US Motors</v>
          </cell>
          <cell r="I538" t="str">
            <v>254VPH</v>
          </cell>
          <cell r="K538" t="str">
            <v>15</v>
          </cell>
          <cell r="L538" t="str">
            <v>1770</v>
          </cell>
          <cell r="M538" t="str">
            <v>TVE4  TE</v>
          </cell>
          <cell r="O538" t="str">
            <v>Full no Cord</v>
          </cell>
          <cell r="P538" t="str">
            <v>TEFC</v>
          </cell>
          <cell r="R538" t="str">
            <v>Continuous</v>
          </cell>
          <cell r="S538" t="str">
            <v>No</v>
          </cell>
          <cell r="T538" t="str">
            <v>YES</v>
          </cell>
          <cell r="U538" t="str">
            <v>40</v>
          </cell>
          <cell r="V538" t="str">
            <v>3</v>
          </cell>
          <cell r="W538" t="str">
            <v>60</v>
          </cell>
          <cell r="X538" t="str">
            <v>460</v>
          </cell>
          <cell r="Y538" t="str">
            <v>19.2</v>
          </cell>
          <cell r="AA538" t="str">
            <v>Vertical</v>
          </cell>
          <cell r="AG538" t="str">
            <v>HP</v>
          </cell>
          <cell r="AI538" t="str">
            <v>7310</v>
          </cell>
          <cell r="AO538" t="str">
            <v>B</v>
          </cell>
          <cell r="AP538" t="str">
            <v>G</v>
          </cell>
          <cell r="AQ538" t="str">
            <v>F</v>
          </cell>
          <cell r="AS538" t="str">
            <v>1.15</v>
          </cell>
          <cell r="AT538" t="str">
            <v>90.4</v>
          </cell>
          <cell r="AV538" t="b">
            <v>0</v>
          </cell>
          <cell r="EX538" t="str">
            <v>G52203U11U2320534F</v>
          </cell>
          <cell r="HD538" t="str">
            <v>Repair Shop</v>
          </cell>
          <cell r="HT538" t="b">
            <v>0</v>
          </cell>
          <cell r="HU538" t="str">
            <v>CITY OF VALLEJO WATER TREATMENT</v>
          </cell>
        </row>
        <row r="539">
          <cell r="A539">
            <v>4236</v>
          </cell>
          <cell r="B539" t="str">
            <v>VEM1163</v>
          </cell>
          <cell r="D539" t="str">
            <v>P66CARBON</v>
          </cell>
          <cell r="F539" t="str">
            <v>Sumitomo</v>
          </cell>
          <cell r="H539" t="str">
            <v>M3122519</v>
          </cell>
          <cell r="I539" t="str">
            <v>F-71M</v>
          </cell>
          <cell r="K539" t="str">
            <v>.5</v>
          </cell>
          <cell r="L539" t="str">
            <v>1720</v>
          </cell>
          <cell r="M539" t="str">
            <v>TC-F</v>
          </cell>
          <cell r="O539" t="str">
            <v>Full no Cord</v>
          </cell>
          <cell r="P539" t="str">
            <v>TEFC</v>
          </cell>
          <cell r="R539" t="str">
            <v>Continuous</v>
          </cell>
          <cell r="T539" t="str">
            <v>none</v>
          </cell>
          <cell r="U539" t="str">
            <v>40</v>
          </cell>
          <cell r="V539" t="str">
            <v>3</v>
          </cell>
          <cell r="W539" t="str">
            <v>60</v>
          </cell>
          <cell r="X539" t="str">
            <v>230/460</v>
          </cell>
          <cell r="Y539" t="str">
            <v>2.1/1.1</v>
          </cell>
          <cell r="AG539" t="str">
            <v>HP</v>
          </cell>
          <cell r="AO539" t="str">
            <v>B</v>
          </cell>
          <cell r="AQ539" t="str">
            <v>B</v>
          </cell>
          <cell r="AS539" t="str">
            <v>1.0</v>
          </cell>
          <cell r="AV539" t="b">
            <v>0</v>
          </cell>
          <cell r="HD539" t="str">
            <v>Repair Shop</v>
          </cell>
          <cell r="HT539" t="b">
            <v>0</v>
          </cell>
          <cell r="HU539" t="str">
            <v>PHILLIPS 66 CARBON PLANT</v>
          </cell>
        </row>
        <row r="540">
          <cell r="A540">
            <v>4235</v>
          </cell>
          <cell r="B540" t="str">
            <v>VEM1162</v>
          </cell>
          <cell r="D540" t="str">
            <v>CONHAGEN</v>
          </cell>
          <cell r="F540" t="str">
            <v>GE</v>
          </cell>
          <cell r="L540" t="str">
            <v>1735</v>
          </cell>
          <cell r="M540" t="str">
            <v>KS</v>
          </cell>
          <cell r="N540" t="str">
            <v>50</v>
          </cell>
          <cell r="O540" t="str">
            <v>None</v>
          </cell>
          <cell r="P540" t="str">
            <v>TEFC</v>
          </cell>
          <cell r="R540" t="str">
            <v>Continuous</v>
          </cell>
          <cell r="T540" t="str">
            <v>none no key</v>
          </cell>
          <cell r="V540" t="str">
            <v>3</v>
          </cell>
          <cell r="W540" t="str">
            <v>60</v>
          </cell>
          <cell r="AA540" t="str">
            <v>F1</v>
          </cell>
          <cell r="AI540" t="str">
            <v>6205</v>
          </cell>
          <cell r="AJ540" t="str">
            <v>6205</v>
          </cell>
          <cell r="AQ540" t="str">
            <v>H</v>
          </cell>
          <cell r="AR540" t="str">
            <v>79.0</v>
          </cell>
          <cell r="AV540" t="b">
            <v>0</v>
          </cell>
          <cell r="EW540" t="str">
            <v>M 361</v>
          </cell>
          <cell r="HD540" t="str">
            <v>Repair Shop</v>
          </cell>
          <cell r="HT540" t="b">
            <v>0</v>
          </cell>
          <cell r="HU540" t="str">
            <v>ALFRED CONHAGEN CO. OF CA</v>
          </cell>
        </row>
        <row r="541">
          <cell r="A541">
            <v>4234</v>
          </cell>
          <cell r="B541" t="str">
            <v>VEM1161</v>
          </cell>
          <cell r="D541" t="str">
            <v>VALERO</v>
          </cell>
          <cell r="F541" t="str">
            <v>Reliance</v>
          </cell>
          <cell r="I541" t="str">
            <v>444T</v>
          </cell>
          <cell r="K541" t="str">
            <v>125</v>
          </cell>
          <cell r="L541" t="str">
            <v>1785</v>
          </cell>
          <cell r="O541" t="str">
            <v>None</v>
          </cell>
          <cell r="P541" t="str">
            <v>TEFC</v>
          </cell>
          <cell r="R541" t="str">
            <v>Continuous</v>
          </cell>
          <cell r="S541" t="str">
            <v>Yes</v>
          </cell>
          <cell r="T541" t="str">
            <v>yes</v>
          </cell>
          <cell r="U541" t="str">
            <v>40</v>
          </cell>
          <cell r="V541" t="str">
            <v>3</v>
          </cell>
          <cell r="W541" t="str">
            <v>60</v>
          </cell>
          <cell r="Y541" t="str">
            <v>138</v>
          </cell>
          <cell r="AA541" t="str">
            <v>F1</v>
          </cell>
          <cell r="AG541" t="str">
            <v>HP</v>
          </cell>
          <cell r="AI541" t="str">
            <v>6318</v>
          </cell>
          <cell r="AJ541" t="str">
            <v>6318</v>
          </cell>
          <cell r="AO541" t="str">
            <v>B</v>
          </cell>
          <cell r="AP541" t="str">
            <v>G</v>
          </cell>
          <cell r="AQ541" t="str">
            <v>F</v>
          </cell>
          <cell r="AR541" t="str">
            <v>88.5</v>
          </cell>
          <cell r="AS541" t="str">
            <v>1.15</v>
          </cell>
          <cell r="AT541" t="str">
            <v>95.8</v>
          </cell>
          <cell r="AV541" t="b">
            <v>0</v>
          </cell>
          <cell r="EX541" t="str">
            <v>1MAF25287-G2XM</v>
          </cell>
          <cell r="HD541" t="str">
            <v>Repair Shop</v>
          </cell>
          <cell r="HT541" t="b">
            <v>0</v>
          </cell>
          <cell r="HU541" t="str">
            <v>VALERO REFINING CO. BENICIA</v>
          </cell>
        </row>
        <row r="542">
          <cell r="A542">
            <v>4233</v>
          </cell>
          <cell r="B542" t="str">
            <v>VEM1160</v>
          </cell>
          <cell r="D542" t="str">
            <v>EDF RENEWABLES</v>
          </cell>
          <cell r="F542" t="str">
            <v>Lust</v>
          </cell>
          <cell r="G542" t="str">
            <v>DC-Motor FGVH 112LL-4-D_F_D_C</v>
          </cell>
          <cell r="H542" t="str">
            <v>Mot.-No.000463837</v>
          </cell>
          <cell r="K542" t="str">
            <v>4.4/9.6</v>
          </cell>
          <cell r="L542" t="str">
            <v>1400</v>
          </cell>
          <cell r="O542" t="str">
            <v>Half no Cord</v>
          </cell>
          <cell r="P542" t="str">
            <v>Forced Vent</v>
          </cell>
          <cell r="R542" t="str">
            <v>Continuous</v>
          </cell>
          <cell r="S542" t="str">
            <v>No</v>
          </cell>
          <cell r="U542" t="str">
            <v>50</v>
          </cell>
          <cell r="X542" t="str">
            <v>288</v>
          </cell>
          <cell r="Y542" t="str">
            <v>18/56</v>
          </cell>
          <cell r="AD542" t="str">
            <v>0</v>
          </cell>
          <cell r="AG542" t="str">
            <v>KW</v>
          </cell>
          <cell r="AH542" t="str">
            <v>Geber/Encoder</v>
          </cell>
          <cell r="AV542" t="b">
            <v>0</v>
          </cell>
          <cell r="EX542" t="str">
            <v>Art -No 681-00107</v>
          </cell>
          <cell r="GK542" t="str">
            <v>S/N 000463837</v>
          </cell>
          <cell r="GL542" t="str">
            <v>Heater230VAC,.22A,50W,60hz</v>
          </cell>
          <cell r="GM542" t="str">
            <v>Blower230VAC,.61A,140W,2100rpm</v>
          </cell>
          <cell r="GN542" t="str">
            <v>Brake,288VDC,.17A,50W,100Nm</v>
          </cell>
          <cell r="HD542" t="str">
            <v>Repair Shop</v>
          </cell>
          <cell r="HO542" t="str">
            <v>920</v>
          </cell>
          <cell r="HT542" t="b">
            <v>0</v>
          </cell>
          <cell r="HU542" t="str">
            <v>EDF RENEWABLES</v>
          </cell>
        </row>
        <row r="543">
          <cell r="A543">
            <v>4232</v>
          </cell>
          <cell r="B543" t="str">
            <v>VEM1159</v>
          </cell>
          <cell r="D543" t="str">
            <v>EDF RENEWABLES</v>
          </cell>
          <cell r="F543" t="str">
            <v>Lust</v>
          </cell>
          <cell r="G543" t="str">
            <v>DC Motor FGVH 112LL-4-D-F-D-C</v>
          </cell>
          <cell r="H543" t="str">
            <v>Mot. No. 000468240</v>
          </cell>
          <cell r="K543" t="str">
            <v>4.4/9.6</v>
          </cell>
          <cell r="L543" t="str">
            <v>1420</v>
          </cell>
          <cell r="O543" t="str">
            <v>Half no Cord</v>
          </cell>
          <cell r="P543" t="str">
            <v>Forced Vent</v>
          </cell>
          <cell r="R543" t="str">
            <v>Continuous</v>
          </cell>
          <cell r="S543" t="str">
            <v>No</v>
          </cell>
          <cell r="T543" t="str">
            <v>key only</v>
          </cell>
          <cell r="U543" t="str">
            <v>50</v>
          </cell>
          <cell r="X543" t="str">
            <v>288</v>
          </cell>
          <cell r="AD543" t="str">
            <v>0</v>
          </cell>
          <cell r="AG543" t="str">
            <v>KW</v>
          </cell>
          <cell r="AH543" t="str">
            <v>Geber /Encoder</v>
          </cell>
          <cell r="AV543" t="b">
            <v>0</v>
          </cell>
          <cell r="EX543" t="str">
            <v>Art-No 681-00107</v>
          </cell>
          <cell r="GK543" t="str">
            <v>S/N 000468240</v>
          </cell>
          <cell r="GL543" t="str">
            <v>Art-No. 681-00107</v>
          </cell>
          <cell r="GM543" t="str">
            <v>Brake 30/100Nm,288VDC,.17A,50W</v>
          </cell>
          <cell r="GN543" t="str">
            <v>Heater 230VAC,.22A,50W,60hz</v>
          </cell>
          <cell r="GO543" t="str">
            <v>Blower 230VAC,.61A,140W,2100rpm</v>
          </cell>
          <cell r="HD543" t="str">
            <v>Repair Shop</v>
          </cell>
          <cell r="HO543" t="str">
            <v>920</v>
          </cell>
          <cell r="HT543" t="b">
            <v>0</v>
          </cell>
          <cell r="HU543" t="str">
            <v>EDF RENEWABLES</v>
          </cell>
        </row>
        <row r="544">
          <cell r="A544">
            <v>4231</v>
          </cell>
          <cell r="B544" t="str">
            <v>VEM1158</v>
          </cell>
          <cell r="D544" t="str">
            <v>EDF RENEWABLES</v>
          </cell>
          <cell r="F544" t="str">
            <v>Lust</v>
          </cell>
          <cell r="G544" t="str">
            <v>DC Motor FGVH 112LL-4-D-F-D-C</v>
          </cell>
          <cell r="H544" t="str">
            <v>Mot No. 000474760</v>
          </cell>
          <cell r="K544" t="str">
            <v>4.4/9.6</v>
          </cell>
          <cell r="L544" t="str">
            <v>1400</v>
          </cell>
          <cell r="O544" t="str">
            <v>Half no Cord</v>
          </cell>
          <cell r="P544" t="str">
            <v>Forced Vent</v>
          </cell>
          <cell r="R544" t="str">
            <v>Continuous</v>
          </cell>
          <cell r="S544" t="str">
            <v>No</v>
          </cell>
          <cell r="T544" t="str">
            <v>none no key</v>
          </cell>
          <cell r="U544" t="str">
            <v>50</v>
          </cell>
          <cell r="X544" t="str">
            <v>288</v>
          </cell>
          <cell r="Y544" t="str">
            <v>18/56</v>
          </cell>
          <cell r="AD544" t="str">
            <v>0</v>
          </cell>
          <cell r="AG544" t="str">
            <v>KW</v>
          </cell>
          <cell r="AV544" t="b">
            <v>0</v>
          </cell>
          <cell r="DX544" t="str">
            <v>230</v>
          </cell>
          <cell r="GK544" t="str">
            <v>S/N 000474760</v>
          </cell>
          <cell r="GL544" t="str">
            <v>Heater 230VAC,.22A,50W,60Hz</v>
          </cell>
          <cell r="GM544" t="str">
            <v>Blower 230VAC,.61A,140 W</v>
          </cell>
          <cell r="GN544" t="str">
            <v>Blower 2100rpm ,60hz</v>
          </cell>
          <cell r="HD544" t="str">
            <v>Repair Shop</v>
          </cell>
          <cell r="HO544" t="str">
            <v>920</v>
          </cell>
          <cell r="HT544" t="b">
            <v>0</v>
          </cell>
          <cell r="HU544" t="str">
            <v>EDF RENEWABLES</v>
          </cell>
        </row>
        <row r="545">
          <cell r="A545">
            <v>4230</v>
          </cell>
          <cell r="B545" t="str">
            <v>VEM1157</v>
          </cell>
          <cell r="D545" t="str">
            <v>SUPERIOREQUIP</v>
          </cell>
          <cell r="F545" t="str">
            <v>Leeson</v>
          </cell>
          <cell r="I545" t="str">
            <v>254TC</v>
          </cell>
          <cell r="K545" t="str">
            <v>15</v>
          </cell>
          <cell r="L545" t="str">
            <v>1765</v>
          </cell>
          <cell r="N545" t="str">
            <v>277</v>
          </cell>
          <cell r="O545" t="str">
            <v>Full no Cord</v>
          </cell>
          <cell r="P545" t="str">
            <v>TEFC</v>
          </cell>
          <cell r="R545" t="str">
            <v>Continuous</v>
          </cell>
          <cell r="S545" t="str">
            <v>Yes</v>
          </cell>
          <cell r="T545" t="str">
            <v>YES</v>
          </cell>
          <cell r="U545" t="str">
            <v>40</v>
          </cell>
          <cell r="V545" t="str">
            <v>3</v>
          </cell>
          <cell r="W545" t="str">
            <v>60</v>
          </cell>
          <cell r="X545" t="str">
            <v>208-230/460</v>
          </cell>
          <cell r="Y545" t="str">
            <v>39.2-36.6/18.3</v>
          </cell>
          <cell r="AA545" t="str">
            <v>F1</v>
          </cell>
          <cell r="AD545" t="str">
            <v>0</v>
          </cell>
          <cell r="AG545" t="str">
            <v>HP</v>
          </cell>
          <cell r="AI545" t="str">
            <v>6309</v>
          </cell>
          <cell r="AJ545" t="str">
            <v>6308</v>
          </cell>
          <cell r="AO545" t="str">
            <v>B</v>
          </cell>
          <cell r="AP545" t="str">
            <v>G</v>
          </cell>
          <cell r="AQ545" t="str">
            <v>F</v>
          </cell>
          <cell r="AR545" t="str">
            <v>84.0</v>
          </cell>
          <cell r="AS545" t="str">
            <v>1.25</v>
          </cell>
          <cell r="AT545" t="str">
            <v>91.0</v>
          </cell>
          <cell r="AV545" t="b">
            <v>0</v>
          </cell>
          <cell r="EW545" t="str">
            <v>G150102.60</v>
          </cell>
          <cell r="HD545" t="str">
            <v>Repair Shop</v>
          </cell>
          <cell r="HT545" t="b">
            <v>0</v>
          </cell>
          <cell r="HU545" t="str">
            <v>SUPERIOR EQUIPMENT</v>
          </cell>
        </row>
        <row r="546">
          <cell r="A546">
            <v>4229</v>
          </cell>
          <cell r="B546" t="str">
            <v>VEM1156</v>
          </cell>
          <cell r="D546" t="str">
            <v>SUPERSTORES</v>
          </cell>
          <cell r="F546" t="str">
            <v>Baldor</v>
          </cell>
          <cell r="H546" t="str">
            <v>F1407015922</v>
          </cell>
          <cell r="I546" t="str">
            <v>213TC</v>
          </cell>
          <cell r="K546" t="str">
            <v>7.5</v>
          </cell>
          <cell r="L546" t="str">
            <v>3520</v>
          </cell>
          <cell r="O546" t="str">
            <v>Full no Cord</v>
          </cell>
          <cell r="P546" t="str">
            <v>TEFC</v>
          </cell>
          <cell r="R546" t="str">
            <v>Continuous</v>
          </cell>
          <cell r="S546" t="str">
            <v>Yes</v>
          </cell>
          <cell r="T546" t="str">
            <v>none no key</v>
          </cell>
          <cell r="U546" t="str">
            <v>40</v>
          </cell>
          <cell r="V546" t="str">
            <v>3</v>
          </cell>
          <cell r="W546" t="str">
            <v>60</v>
          </cell>
          <cell r="X546" t="str">
            <v>208-230/460</v>
          </cell>
          <cell r="Y546" t="str">
            <v>19.4-18/9</v>
          </cell>
          <cell r="Z546" t="str">
            <v>Yes</v>
          </cell>
          <cell r="AA546" t="str">
            <v>F1</v>
          </cell>
          <cell r="AD546" t="str">
            <v>0</v>
          </cell>
          <cell r="AG546" t="str">
            <v>HP</v>
          </cell>
          <cell r="AI546" t="str">
            <v>6307</v>
          </cell>
          <cell r="AJ546" t="str">
            <v>6206</v>
          </cell>
          <cell r="AO546" t="str">
            <v>A</v>
          </cell>
          <cell r="AP546" t="str">
            <v>J</v>
          </cell>
          <cell r="AQ546" t="str">
            <v>F</v>
          </cell>
          <cell r="AR546" t="str">
            <v>84</v>
          </cell>
          <cell r="AS546" t="str">
            <v>1.15</v>
          </cell>
          <cell r="AT546" t="str">
            <v>89.5</v>
          </cell>
          <cell r="AU546" t="str">
            <v>37H887R224G1</v>
          </cell>
          <cell r="AV546" t="b">
            <v>0</v>
          </cell>
          <cell r="EW546" t="str">
            <v>CEWdm3709T</v>
          </cell>
          <cell r="HD546" t="str">
            <v>Repair Shop</v>
          </cell>
          <cell r="HT546" t="b">
            <v>0</v>
          </cell>
          <cell r="HU546" t="str">
            <v>Producers Dairy Foods</v>
          </cell>
        </row>
        <row r="547">
          <cell r="A547">
            <v>4228</v>
          </cell>
          <cell r="B547" t="str">
            <v>VEM1155</v>
          </cell>
          <cell r="D547" t="str">
            <v>CONHAGEN</v>
          </cell>
          <cell r="AG547" t="str">
            <v>HP</v>
          </cell>
          <cell r="AV547" t="b">
            <v>0</v>
          </cell>
          <cell r="HD547" t="str">
            <v>Repair Shop</v>
          </cell>
          <cell r="HT547" t="b">
            <v>0</v>
          </cell>
          <cell r="HU547" t="str">
            <v>ALFRED CONHAGEN CO. OF CA</v>
          </cell>
        </row>
        <row r="548">
          <cell r="A548">
            <v>4227</v>
          </cell>
          <cell r="B548" t="str">
            <v>VEM1154</v>
          </cell>
          <cell r="D548" t="str">
            <v>FRFLD-SUISUN</v>
          </cell>
          <cell r="AG548" t="str">
            <v>HP</v>
          </cell>
          <cell r="AV548" t="b">
            <v>0</v>
          </cell>
          <cell r="HD548" t="str">
            <v>Repair Shop</v>
          </cell>
          <cell r="HT548" t="b">
            <v>0</v>
          </cell>
          <cell r="HU548" t="str">
            <v>FAIRFIELD-SUISUN SEWER DISTRICT</v>
          </cell>
        </row>
        <row r="549">
          <cell r="A549">
            <v>4226</v>
          </cell>
          <cell r="B549" t="str">
            <v>VEM1153</v>
          </cell>
          <cell r="D549" t="str">
            <v>DELASALE</v>
          </cell>
          <cell r="F549" t="str">
            <v>Baldor</v>
          </cell>
          <cell r="G549" t="str">
            <v>JM3155</v>
          </cell>
          <cell r="I549" t="str">
            <v>56J</v>
          </cell>
          <cell r="K549" t="str">
            <v>2</v>
          </cell>
          <cell r="L549" t="str">
            <v>3600</v>
          </cell>
          <cell r="V549" t="str">
            <v>3</v>
          </cell>
          <cell r="W549" t="str">
            <v>60</v>
          </cell>
          <cell r="X549" t="str">
            <v>208-230/460</v>
          </cell>
          <cell r="AD549" t="str">
            <v>0</v>
          </cell>
          <cell r="AG549" t="str">
            <v>HP</v>
          </cell>
          <cell r="AV549" t="b">
            <v>0</v>
          </cell>
          <cell r="HD549" t="str">
            <v>Repair Shop</v>
          </cell>
          <cell r="HT549" t="b">
            <v>0</v>
          </cell>
          <cell r="HU549" t="str">
            <v>DE LASALE INSTITUTE</v>
          </cell>
        </row>
        <row r="550">
          <cell r="A550">
            <v>4225</v>
          </cell>
          <cell r="B550" t="str">
            <v>VEM1152</v>
          </cell>
          <cell r="D550" t="str">
            <v>VALLEJOSAN</v>
          </cell>
          <cell r="F550" t="str">
            <v>Smith and Loveless</v>
          </cell>
          <cell r="G550" t="str">
            <v>18712-XR0038</v>
          </cell>
          <cell r="H550" t="str">
            <v>855345A-1</v>
          </cell>
          <cell r="K550" t="str">
            <v>40</v>
          </cell>
          <cell r="L550" t="str">
            <v>1800</v>
          </cell>
          <cell r="M550" t="str">
            <v>VONO</v>
          </cell>
          <cell r="O550" t="str">
            <v>Half no Cord</v>
          </cell>
          <cell r="P550" t="str">
            <v>ODP</v>
          </cell>
          <cell r="R550" t="str">
            <v>Continuous</v>
          </cell>
          <cell r="V550" t="str">
            <v>3</v>
          </cell>
          <cell r="W550" t="str">
            <v>60</v>
          </cell>
          <cell r="X550" t="str">
            <v>230/460</v>
          </cell>
          <cell r="Y550" t="str">
            <v>95.8/47.9</v>
          </cell>
          <cell r="Z550" t="str">
            <v>Yes</v>
          </cell>
          <cell r="AA550" t="str">
            <v>Top</v>
          </cell>
          <cell r="AD550" t="str">
            <v>0</v>
          </cell>
          <cell r="AG550" t="str">
            <v>HP</v>
          </cell>
          <cell r="AP550" t="str">
            <v>F</v>
          </cell>
          <cell r="AQ550" t="str">
            <v>F</v>
          </cell>
          <cell r="AS550" t="str">
            <v>1.15</v>
          </cell>
          <cell r="AV550" t="b">
            <v>0</v>
          </cell>
          <cell r="AY550" t="str">
            <v>Smith and Loveless</v>
          </cell>
          <cell r="AZ550" t="str">
            <v>18712-XR0038</v>
          </cell>
          <cell r="BA550" t="str">
            <v>850964</v>
          </cell>
          <cell r="BC550" t="str">
            <v>116</v>
          </cell>
          <cell r="BD550" t="str">
            <v>4D3</v>
          </cell>
          <cell r="BE550" t="str">
            <v>725</v>
          </cell>
          <cell r="EY550" t="str">
            <v>AWO</v>
          </cell>
          <cell r="HD550" t="str">
            <v>Repair Shop</v>
          </cell>
          <cell r="HT550" t="b">
            <v>0</v>
          </cell>
          <cell r="HU550" t="str">
            <v>VALLEJO FLOOD &amp; WASTEWATER DISTRICT</v>
          </cell>
        </row>
        <row r="551">
          <cell r="A551">
            <v>4224</v>
          </cell>
          <cell r="B551" t="str">
            <v>VEM1151</v>
          </cell>
          <cell r="D551" t="str">
            <v>CONHAGEN</v>
          </cell>
          <cell r="AG551" t="str">
            <v>HP</v>
          </cell>
          <cell r="AV551" t="b">
            <v>0</v>
          </cell>
          <cell r="HD551" t="str">
            <v>Repair Shop</v>
          </cell>
          <cell r="HT551" t="b">
            <v>0</v>
          </cell>
          <cell r="HU551" t="str">
            <v>ALFRED CONHAGEN CO. OF CA</v>
          </cell>
        </row>
        <row r="552">
          <cell r="A552">
            <v>4223</v>
          </cell>
          <cell r="B552" t="str">
            <v>VEM1150</v>
          </cell>
          <cell r="D552" t="str">
            <v>CONHAGEN</v>
          </cell>
          <cell r="AV552" t="b">
            <v>0</v>
          </cell>
          <cell r="HD552" t="str">
            <v>Repair Shop</v>
          </cell>
          <cell r="HT552" t="b">
            <v>0</v>
          </cell>
          <cell r="HU552" t="str">
            <v>ALFRED CONHAGEN CO. OF CA</v>
          </cell>
        </row>
        <row r="553">
          <cell r="A553">
            <v>4222</v>
          </cell>
          <cell r="B553" t="str">
            <v>VEM1149</v>
          </cell>
          <cell r="D553" t="str">
            <v>VALERO</v>
          </cell>
          <cell r="AD553" t="str">
            <v>0</v>
          </cell>
          <cell r="AG553" t="str">
            <v>HP</v>
          </cell>
          <cell r="AV553" t="b">
            <v>0</v>
          </cell>
          <cell r="HD553" t="str">
            <v>Repair Shop</v>
          </cell>
          <cell r="HT553" t="b">
            <v>0</v>
          </cell>
          <cell r="HU553" t="str">
            <v>VALERO REFINING CO. BENICIA</v>
          </cell>
        </row>
        <row r="554">
          <cell r="A554">
            <v>4221</v>
          </cell>
          <cell r="B554" t="str">
            <v>VEM1148</v>
          </cell>
          <cell r="D554" t="str">
            <v>P66</v>
          </cell>
          <cell r="F554" t="str">
            <v>Westinghouse</v>
          </cell>
          <cell r="G554" t="str">
            <v>TBFC</v>
          </cell>
          <cell r="H554" t="str">
            <v>8601</v>
          </cell>
          <cell r="I554" t="str">
            <v>324TS</v>
          </cell>
          <cell r="K554" t="str">
            <v>40</v>
          </cell>
          <cell r="L554" t="str">
            <v>3555</v>
          </cell>
          <cell r="O554" t="str">
            <v>None</v>
          </cell>
          <cell r="P554" t="str">
            <v>TEFC</v>
          </cell>
          <cell r="R554" t="str">
            <v>Continuous</v>
          </cell>
          <cell r="S554" t="str">
            <v>Yes</v>
          </cell>
          <cell r="T554" t="str">
            <v>yes</v>
          </cell>
          <cell r="U554" t="str">
            <v>40</v>
          </cell>
          <cell r="V554" t="str">
            <v>3</v>
          </cell>
          <cell r="W554" t="str">
            <v>60</v>
          </cell>
          <cell r="X554" t="str">
            <v>460</v>
          </cell>
          <cell r="Y554" t="str">
            <v>47</v>
          </cell>
          <cell r="Z554" t="str">
            <v>Yes</v>
          </cell>
          <cell r="AA554" t="str">
            <v>F1</v>
          </cell>
          <cell r="AG554" t="str">
            <v>HP</v>
          </cell>
          <cell r="AO554" t="str">
            <v>B</v>
          </cell>
          <cell r="AP554" t="str">
            <v>G</v>
          </cell>
          <cell r="AQ554" t="str">
            <v>F</v>
          </cell>
          <cell r="AS554" t="str">
            <v>1.15</v>
          </cell>
          <cell r="AT554" t="str">
            <v>93</v>
          </cell>
          <cell r="AV554" t="b">
            <v>0</v>
          </cell>
          <cell r="EY554" t="str">
            <v>1636B27G5</v>
          </cell>
          <cell r="HD554" t="str">
            <v>Repair Shop</v>
          </cell>
          <cell r="HT554" t="b">
            <v>1</v>
          </cell>
          <cell r="HU554" t="str">
            <v>PHILLIPS 66</v>
          </cell>
        </row>
        <row r="555">
          <cell r="A555">
            <v>4220</v>
          </cell>
          <cell r="B555" t="str">
            <v>VEM1147</v>
          </cell>
          <cell r="D555" t="str">
            <v>VALLEJOSAN</v>
          </cell>
          <cell r="F555" t="str">
            <v>Smith and Loveless</v>
          </cell>
          <cell r="G555" t="str">
            <v>WB 364TTDS8343AP</v>
          </cell>
          <cell r="I555" t="str">
            <v>364HPZ</v>
          </cell>
          <cell r="K555" t="str">
            <v>60</v>
          </cell>
          <cell r="L555" t="str">
            <v>1775</v>
          </cell>
          <cell r="O555" t="str">
            <v>Full no Cord</v>
          </cell>
          <cell r="P555" t="str">
            <v>ODP</v>
          </cell>
          <cell r="R555" t="str">
            <v>Continuous</v>
          </cell>
          <cell r="S555" t="str">
            <v>Yes</v>
          </cell>
          <cell r="U555" t="str">
            <v>40</v>
          </cell>
          <cell r="V555" t="str">
            <v>3</v>
          </cell>
          <cell r="W555" t="str">
            <v>60</v>
          </cell>
          <cell r="X555" t="str">
            <v>460</v>
          </cell>
          <cell r="Y555" t="str">
            <v>77</v>
          </cell>
          <cell r="Z555" t="str">
            <v>Yes</v>
          </cell>
          <cell r="AA555" t="str">
            <v>Vertical</v>
          </cell>
          <cell r="AD555" t="str">
            <v>-1</v>
          </cell>
          <cell r="AG555" t="str">
            <v>HP</v>
          </cell>
          <cell r="AI555" t="str">
            <v>6316</v>
          </cell>
          <cell r="AJ555" t="str">
            <v>6312</v>
          </cell>
          <cell r="AO555" t="str">
            <v>B</v>
          </cell>
          <cell r="AP555" t="str">
            <v>F</v>
          </cell>
          <cell r="AQ555" t="str">
            <v>F</v>
          </cell>
          <cell r="AS555" t="str">
            <v>1.15</v>
          </cell>
          <cell r="AT555" t="str">
            <v>91</v>
          </cell>
          <cell r="AV555" t="b">
            <v>0</v>
          </cell>
          <cell r="HD555" t="str">
            <v>Repair Shop</v>
          </cell>
          <cell r="HT555" t="b">
            <v>1</v>
          </cell>
          <cell r="HU555" t="str">
            <v>VALLEJO FLOOD &amp; WASTEWATER DISTRICT</v>
          </cell>
        </row>
        <row r="556">
          <cell r="A556">
            <v>4218</v>
          </cell>
          <cell r="B556" t="str">
            <v>VEM1145</v>
          </cell>
          <cell r="D556" t="str">
            <v>DUBSAN</v>
          </cell>
          <cell r="F556" t="str">
            <v>US Motors</v>
          </cell>
          <cell r="I556" t="str">
            <v>5809P</v>
          </cell>
          <cell r="K556" t="str">
            <v>450</v>
          </cell>
          <cell r="L556" t="str">
            <v>1790</v>
          </cell>
          <cell r="M556" t="str">
            <v>JVC14</v>
          </cell>
          <cell r="N556" t="str">
            <v>6500</v>
          </cell>
          <cell r="O556" t="str">
            <v>Full no Cord</v>
          </cell>
          <cell r="P556" t="str">
            <v>TEFC</v>
          </cell>
          <cell r="R556" t="str">
            <v>Continuous</v>
          </cell>
          <cell r="T556" t="str">
            <v>none no key</v>
          </cell>
          <cell r="U556" t="str">
            <v>50</v>
          </cell>
          <cell r="V556" t="str">
            <v>3</v>
          </cell>
          <cell r="W556" t="str">
            <v>60</v>
          </cell>
          <cell r="X556" t="str">
            <v>460</v>
          </cell>
          <cell r="Y556" t="str">
            <v>493</v>
          </cell>
          <cell r="AA556" t="str">
            <v>Vertical</v>
          </cell>
          <cell r="AG556" t="str">
            <v>HP</v>
          </cell>
          <cell r="AO556" t="str">
            <v>B</v>
          </cell>
          <cell r="AP556" t="str">
            <v>G</v>
          </cell>
          <cell r="AQ556" t="str">
            <v>F</v>
          </cell>
          <cell r="AR556" t="str">
            <v>89.6</v>
          </cell>
          <cell r="AS556" t="str">
            <v>1.15</v>
          </cell>
          <cell r="AV556" t="b">
            <v>0</v>
          </cell>
          <cell r="EX556" t="str">
            <v>H10  03024288-100R-  01</v>
          </cell>
          <cell r="GK556" t="str">
            <v>Upper bearing 37 qts</v>
          </cell>
          <cell r="HD556" t="str">
            <v>Repair Shop</v>
          </cell>
          <cell r="HT556" t="b">
            <v>1</v>
          </cell>
          <cell r="HU556" t="str">
            <v>DUBLIN SAN RAMON SERVICES DISTRICT</v>
          </cell>
        </row>
        <row r="557">
          <cell r="A557">
            <v>4217</v>
          </cell>
          <cell r="B557" t="str">
            <v>VEM1144</v>
          </cell>
          <cell r="D557" t="str">
            <v>DUBSAN</v>
          </cell>
          <cell r="F557" t="str">
            <v>US Motors</v>
          </cell>
          <cell r="I557" t="str">
            <v>447VP</v>
          </cell>
          <cell r="K557" t="str">
            <v>75</v>
          </cell>
          <cell r="L557" t="str">
            <v>707</v>
          </cell>
          <cell r="M557" t="str">
            <v>TVC14</v>
          </cell>
          <cell r="N557" t="str">
            <v>2400</v>
          </cell>
          <cell r="O557" t="str">
            <v>Full no Cord</v>
          </cell>
          <cell r="P557" t="str">
            <v>TEFC</v>
          </cell>
          <cell r="R557" t="str">
            <v>Continuous</v>
          </cell>
          <cell r="T557" t="str">
            <v>None no key</v>
          </cell>
          <cell r="U557" t="str">
            <v>50</v>
          </cell>
          <cell r="V557" t="str">
            <v>3</v>
          </cell>
          <cell r="W557" t="str">
            <v>60</v>
          </cell>
          <cell r="X557" t="str">
            <v>460</v>
          </cell>
          <cell r="Y557" t="str">
            <v>96</v>
          </cell>
          <cell r="AA557" t="str">
            <v>Vertical</v>
          </cell>
          <cell r="AD557" t="str">
            <v>-1</v>
          </cell>
          <cell r="AG557" t="str">
            <v>HP</v>
          </cell>
          <cell r="AI557" t="str">
            <v>100BT03M</v>
          </cell>
          <cell r="AJ557" t="str">
            <v>90BC02J3</v>
          </cell>
          <cell r="AO557" t="str">
            <v>B</v>
          </cell>
          <cell r="AP557" t="str">
            <v>G</v>
          </cell>
          <cell r="AQ557" t="str">
            <v>F</v>
          </cell>
          <cell r="AR557" t="str">
            <v>78.9</v>
          </cell>
          <cell r="AS557" t="str">
            <v>1.15</v>
          </cell>
          <cell r="AT557" t="str">
            <v>93.0</v>
          </cell>
          <cell r="AV557" t="b">
            <v>0</v>
          </cell>
          <cell r="EX557" t="str">
            <v>H10 03024307-100R-   02</v>
          </cell>
          <cell r="HD557" t="str">
            <v>Repair Shop</v>
          </cell>
          <cell r="HT557" t="b">
            <v>1</v>
          </cell>
          <cell r="HU557" t="str">
            <v>DUBLIN SAN RAMON SERVICES DISTRICT</v>
          </cell>
        </row>
        <row r="558">
          <cell r="A558">
            <v>4216</v>
          </cell>
          <cell r="B558" t="str">
            <v>VEM1143</v>
          </cell>
          <cell r="D558" t="str">
            <v>CONHAGEN</v>
          </cell>
          <cell r="F558" t="str">
            <v>Louis Allis</v>
          </cell>
          <cell r="H558" t="str">
            <v>7388724002</v>
          </cell>
          <cell r="I558" t="str">
            <v>286UP</v>
          </cell>
          <cell r="K558" t="str">
            <v>25</v>
          </cell>
          <cell r="L558" t="str">
            <v>3530</v>
          </cell>
          <cell r="M558" t="str">
            <v>CJXC</v>
          </cell>
          <cell r="O558" t="str">
            <v>Full no Cord</v>
          </cell>
          <cell r="P558" t="str">
            <v>TEFC</v>
          </cell>
          <cell r="Q558" t="str">
            <v>Female splines</v>
          </cell>
          <cell r="R558" t="str">
            <v>Continuous</v>
          </cell>
          <cell r="S558" t="str">
            <v>Yes</v>
          </cell>
          <cell r="T558" t="str">
            <v>F</v>
          </cell>
          <cell r="U558" t="str">
            <v>75</v>
          </cell>
          <cell r="V558" t="str">
            <v>3</v>
          </cell>
          <cell r="W558" t="str">
            <v>60</v>
          </cell>
          <cell r="Y558" t="str">
            <v>60/30</v>
          </cell>
          <cell r="AA558" t="str">
            <v>Vertical</v>
          </cell>
          <cell r="AD558" t="str">
            <v>-1</v>
          </cell>
          <cell r="AG558" t="str">
            <v>HP</v>
          </cell>
          <cell r="AI558" t="str">
            <v>6311</v>
          </cell>
          <cell r="AJ558" t="str">
            <v>6211</v>
          </cell>
          <cell r="AO558" t="str">
            <v>B</v>
          </cell>
          <cell r="AP558" t="str">
            <v>J</v>
          </cell>
          <cell r="AS558" t="str">
            <v>1.0</v>
          </cell>
          <cell r="AV558" t="b">
            <v>0</v>
          </cell>
          <cell r="HD558" t="str">
            <v>Repair Shop</v>
          </cell>
          <cell r="HT558" t="b">
            <v>1</v>
          </cell>
          <cell r="HU558" t="str">
            <v>ALFRED CONHAGEN CO. OF CA</v>
          </cell>
        </row>
        <row r="559">
          <cell r="A559">
            <v>4215</v>
          </cell>
          <cell r="B559" t="str">
            <v>VEM1142</v>
          </cell>
          <cell r="D559" t="str">
            <v>CONHAGEN</v>
          </cell>
          <cell r="AG559" t="str">
            <v>HP</v>
          </cell>
          <cell r="AV559" t="b">
            <v>0</v>
          </cell>
          <cell r="HD559" t="str">
            <v>Repair Shop</v>
          </cell>
          <cell r="HT559" t="b">
            <v>0</v>
          </cell>
          <cell r="HU559" t="str">
            <v>ALFRED CONHAGEN CO. OF CA</v>
          </cell>
        </row>
        <row r="560">
          <cell r="A560">
            <v>4214</v>
          </cell>
          <cell r="B560" t="str">
            <v>VEM1141</v>
          </cell>
          <cell r="D560" t="str">
            <v>CITYOFNAPA</v>
          </cell>
          <cell r="F560" t="str">
            <v>GE</v>
          </cell>
          <cell r="G560" t="str">
            <v>5KS286DAE6420</v>
          </cell>
          <cell r="H560" t="str">
            <v>BCFT041B15</v>
          </cell>
          <cell r="I560" t="str">
            <v>L286VP10</v>
          </cell>
          <cell r="K560" t="str">
            <v>30</v>
          </cell>
          <cell r="M560" t="str">
            <v>KS</v>
          </cell>
          <cell r="N560" t="str">
            <v>470</v>
          </cell>
          <cell r="O560" t="str">
            <v>Full no Cord</v>
          </cell>
          <cell r="P560" t="str">
            <v>ODP</v>
          </cell>
          <cell r="R560" t="str">
            <v>Continuous</v>
          </cell>
          <cell r="T560" t="str">
            <v>none no key</v>
          </cell>
          <cell r="U560" t="str">
            <v>40</v>
          </cell>
          <cell r="V560" t="str">
            <v>3</v>
          </cell>
          <cell r="W560" t="str">
            <v>60</v>
          </cell>
          <cell r="X560" t="str">
            <v>460</v>
          </cell>
          <cell r="Y560" t="str">
            <v>34.7</v>
          </cell>
          <cell r="AA560" t="str">
            <v>Top</v>
          </cell>
          <cell r="AD560" t="str">
            <v>-1</v>
          </cell>
          <cell r="AG560" t="str">
            <v>HP</v>
          </cell>
          <cell r="AI560" t="str">
            <v>7310</v>
          </cell>
          <cell r="AJ560" t="str">
            <v>6207</v>
          </cell>
          <cell r="AO560" t="str">
            <v>B</v>
          </cell>
          <cell r="AP560" t="str">
            <v>G</v>
          </cell>
          <cell r="AQ560" t="str">
            <v>F</v>
          </cell>
          <cell r="AR560" t="str">
            <v>86.5</v>
          </cell>
          <cell r="AS560" t="str">
            <v>1.15</v>
          </cell>
          <cell r="AV560" t="b">
            <v>0</v>
          </cell>
          <cell r="HD560" t="str">
            <v>Repair Shop</v>
          </cell>
          <cell r="HT560" t="b">
            <v>1</v>
          </cell>
          <cell r="HU560" t="str">
            <v>CITY OF NAPA, PUBLIC WORKS DEPT</v>
          </cell>
        </row>
        <row r="561">
          <cell r="A561">
            <v>4213</v>
          </cell>
          <cell r="B561" t="str">
            <v>VEM1140</v>
          </cell>
          <cell r="D561" t="str">
            <v>CROSSINGGROUP</v>
          </cell>
          <cell r="AG561" t="str">
            <v>HP</v>
          </cell>
          <cell r="AV561" t="b">
            <v>0</v>
          </cell>
          <cell r="HD561" t="str">
            <v>Repair Shop</v>
          </cell>
          <cell r="HT561" t="b">
            <v>0</v>
          </cell>
          <cell r="HU561" t="str">
            <v>THE CROSSING GROUP</v>
          </cell>
        </row>
        <row r="562">
          <cell r="A562">
            <v>4211</v>
          </cell>
          <cell r="B562" t="str">
            <v>VEM1138</v>
          </cell>
          <cell r="D562" t="str">
            <v>CROSSINGGROUP</v>
          </cell>
          <cell r="F562" t="str">
            <v>VIMARC</v>
          </cell>
          <cell r="K562" t="str">
            <v>1.72</v>
          </cell>
          <cell r="L562" t="str">
            <v>1800</v>
          </cell>
          <cell r="V562" t="str">
            <v>3</v>
          </cell>
          <cell r="W562" t="str">
            <v>60</v>
          </cell>
          <cell r="X562" t="str">
            <v>460</v>
          </cell>
          <cell r="Y562" t="str">
            <v>2.95</v>
          </cell>
          <cell r="AD562" t="str">
            <v>0</v>
          </cell>
          <cell r="AG562" t="str">
            <v>KW</v>
          </cell>
          <cell r="AV562" t="b">
            <v>0</v>
          </cell>
          <cell r="HD562" t="str">
            <v>Repair Shop</v>
          </cell>
          <cell r="HT562" t="b">
            <v>0</v>
          </cell>
          <cell r="HU562" t="str">
            <v>THE CROSSING GROUP</v>
          </cell>
        </row>
        <row r="563">
          <cell r="A563">
            <v>4210</v>
          </cell>
          <cell r="B563" t="str">
            <v>VEM1137</v>
          </cell>
          <cell r="D563" t="str">
            <v>CETOLAND</v>
          </cell>
          <cell r="F563" t="str">
            <v>Leeson</v>
          </cell>
          <cell r="I563" t="str">
            <v>C056CFC</v>
          </cell>
          <cell r="K563" t="str">
            <v>.5</v>
          </cell>
          <cell r="L563" t="str">
            <v>1725</v>
          </cell>
          <cell r="O563" t="str">
            <v>Half no Cord</v>
          </cell>
          <cell r="P563" t="str">
            <v>TENV</v>
          </cell>
          <cell r="R563" t="str">
            <v>Intermittant</v>
          </cell>
          <cell r="T563" t="str">
            <v>none no key</v>
          </cell>
          <cell r="V563" t="str">
            <v>3</v>
          </cell>
          <cell r="W563" t="str">
            <v>60</v>
          </cell>
          <cell r="X563" t="str">
            <v>230/460</v>
          </cell>
          <cell r="Y563" t="str">
            <v>1.8/.9</v>
          </cell>
          <cell r="AA563" t="str">
            <v>Vertical</v>
          </cell>
          <cell r="AD563" t="str">
            <v>0</v>
          </cell>
          <cell r="AG563" t="str">
            <v>HP</v>
          </cell>
          <cell r="AQ563" t="str">
            <v>F</v>
          </cell>
          <cell r="AS563" t="str">
            <v>1.0</v>
          </cell>
          <cell r="AV563" t="b">
            <v>0</v>
          </cell>
          <cell r="GK563" t="str">
            <v>with brake</v>
          </cell>
          <cell r="HD563" t="str">
            <v>Repair Shop</v>
          </cell>
          <cell r="HT563" t="b">
            <v>1</v>
          </cell>
          <cell r="HU563" t="str">
            <v>C.E. TOLAND &amp; SON</v>
          </cell>
        </row>
        <row r="564">
          <cell r="A564">
            <v>4209</v>
          </cell>
          <cell r="B564" t="str">
            <v>VEM1136</v>
          </cell>
          <cell r="D564" t="str">
            <v>UNICO</v>
          </cell>
          <cell r="F564" t="str">
            <v>US Motors</v>
          </cell>
          <cell r="H564" t="str">
            <v>J1426644</v>
          </cell>
          <cell r="I564" t="str">
            <v>444TPH</v>
          </cell>
          <cell r="K564" t="str">
            <v>75</v>
          </cell>
          <cell r="L564" t="str">
            <v>975</v>
          </cell>
          <cell r="M564" t="str">
            <v>RU</v>
          </cell>
          <cell r="O564" t="str">
            <v>None</v>
          </cell>
          <cell r="P564" t="str">
            <v>WP1</v>
          </cell>
          <cell r="R564" t="str">
            <v>Continuous</v>
          </cell>
          <cell r="S564" t="str">
            <v>No</v>
          </cell>
          <cell r="U564" t="str">
            <v>40</v>
          </cell>
          <cell r="V564" t="str">
            <v>3</v>
          </cell>
          <cell r="W564" t="str">
            <v>60</v>
          </cell>
          <cell r="X564" t="str">
            <v>230/460</v>
          </cell>
          <cell r="Y564" t="str">
            <v>184/92</v>
          </cell>
          <cell r="AA564" t="str">
            <v>Vertical</v>
          </cell>
          <cell r="AD564" t="str">
            <v>-1</v>
          </cell>
          <cell r="AG564" t="str">
            <v>HP</v>
          </cell>
          <cell r="AI564" t="str">
            <v>6215</v>
          </cell>
          <cell r="AJ564" t="str">
            <v>7322</v>
          </cell>
          <cell r="AO564" t="str">
            <v>B</v>
          </cell>
          <cell r="AP564" t="str">
            <v>F</v>
          </cell>
          <cell r="AV564" t="b">
            <v>0</v>
          </cell>
          <cell r="GK564" t="str">
            <v>Upper bearing oil capacity 4 qts</v>
          </cell>
          <cell r="HD564" t="str">
            <v>Repair Shop</v>
          </cell>
          <cell r="HT564" t="b">
            <v>1</v>
          </cell>
          <cell r="HU564" t="str">
            <v>UNICO MECHANICAL CORP.</v>
          </cell>
        </row>
        <row r="565">
          <cell r="A565">
            <v>4208</v>
          </cell>
          <cell r="B565" t="str">
            <v>VEM1135</v>
          </cell>
          <cell r="D565" t="str">
            <v>CONHAGEN</v>
          </cell>
          <cell r="AG565" t="str">
            <v>HP</v>
          </cell>
          <cell r="AV565" t="b">
            <v>0</v>
          </cell>
          <cell r="HD565" t="str">
            <v>Repair Shop</v>
          </cell>
          <cell r="HT565" t="b">
            <v>0</v>
          </cell>
          <cell r="HU565" t="str">
            <v>ALFRED CONHAGEN CO. OF CA</v>
          </cell>
        </row>
        <row r="566">
          <cell r="A566">
            <v>4207</v>
          </cell>
          <cell r="B566" t="str">
            <v>VEM1134</v>
          </cell>
          <cell r="D566" t="str">
            <v>FRFLD-SUISUN</v>
          </cell>
          <cell r="AD566" t="str">
            <v>0</v>
          </cell>
          <cell r="AG566" t="str">
            <v>HP</v>
          </cell>
          <cell r="AV566" t="b">
            <v>0</v>
          </cell>
          <cell r="AY566" t="str">
            <v>Yeoman</v>
          </cell>
          <cell r="AZ566" t="str">
            <v>1210522-5</v>
          </cell>
          <cell r="BA566" t="str">
            <v>S.O. number 9807980</v>
          </cell>
          <cell r="BC566" t="str">
            <v>103</v>
          </cell>
          <cell r="BE566" t="str">
            <v>2500</v>
          </cell>
          <cell r="HD566" t="str">
            <v>Repair Shop</v>
          </cell>
          <cell r="HT566" t="b">
            <v>0</v>
          </cell>
          <cell r="HU566" t="str">
            <v>FAIRFIELD-SUISUN SEWER DISTRICT</v>
          </cell>
        </row>
        <row r="567">
          <cell r="A567">
            <v>4206</v>
          </cell>
          <cell r="B567" t="str">
            <v>VEM1133</v>
          </cell>
          <cell r="D567" t="str">
            <v>CASHSALES</v>
          </cell>
          <cell r="F567" t="str">
            <v>US Motors</v>
          </cell>
          <cell r="G567" t="str">
            <v>F-362-01-438</v>
          </cell>
          <cell r="H567" t="str">
            <v>1-19-016</v>
          </cell>
          <cell r="I567" t="str">
            <v>56</v>
          </cell>
          <cell r="K567" t="str">
            <v>1</v>
          </cell>
          <cell r="L567" t="str">
            <v>1760</v>
          </cell>
          <cell r="M567" t="str">
            <v>JV</v>
          </cell>
          <cell r="O567" t="str">
            <v>Full w/ Cord</v>
          </cell>
          <cell r="P567" t="str">
            <v>ODP</v>
          </cell>
          <cell r="Q567" t="str">
            <v>Yes</v>
          </cell>
          <cell r="R567" t="str">
            <v>Continuous</v>
          </cell>
          <cell r="U567" t="str">
            <v>40</v>
          </cell>
          <cell r="V567" t="str">
            <v>3</v>
          </cell>
          <cell r="W567" t="str">
            <v>60</v>
          </cell>
          <cell r="X567" t="str">
            <v>200-230/380-460</v>
          </cell>
          <cell r="Y567" t="str">
            <v>3.8-3.3/1.9-1.65</v>
          </cell>
          <cell r="AA567" t="str">
            <v>Vertical</v>
          </cell>
          <cell r="AD567" t="str">
            <v>0</v>
          </cell>
          <cell r="AG567" t="str">
            <v>HP</v>
          </cell>
          <cell r="AO567" t="str">
            <v>B</v>
          </cell>
          <cell r="AP567" t="str">
            <v>L</v>
          </cell>
          <cell r="AV567" t="b">
            <v>0</v>
          </cell>
          <cell r="HD567" t="str">
            <v>Repair Shop</v>
          </cell>
          <cell r="HT567" t="b">
            <v>0</v>
          </cell>
          <cell r="HU567" t="str">
            <v>CASH SALES</v>
          </cell>
        </row>
        <row r="568">
          <cell r="A568">
            <v>4205</v>
          </cell>
          <cell r="B568" t="str">
            <v>VEM1132</v>
          </cell>
          <cell r="D568" t="str">
            <v>CITYOFNAPA</v>
          </cell>
          <cell r="F568" t="str">
            <v>GE</v>
          </cell>
          <cell r="H568" t="str">
            <v>XTG55412A</v>
          </cell>
          <cell r="I568" t="str">
            <v>L445HP16</v>
          </cell>
          <cell r="K568" t="str">
            <v>200</v>
          </cell>
          <cell r="L568" t="str">
            <v>1780</v>
          </cell>
          <cell r="M568" t="str">
            <v>K</v>
          </cell>
          <cell r="O568" t="str">
            <v>None</v>
          </cell>
          <cell r="P568" t="str">
            <v>ODP</v>
          </cell>
          <cell r="R568" t="str">
            <v>Continuous</v>
          </cell>
          <cell r="T568" t="str">
            <v>none no key</v>
          </cell>
          <cell r="U568" t="str">
            <v>40</v>
          </cell>
          <cell r="V568" t="str">
            <v>3</v>
          </cell>
          <cell r="W568" t="str">
            <v>60</v>
          </cell>
          <cell r="X568" t="str">
            <v>460</v>
          </cell>
          <cell r="Y568" t="str">
            <v>233.0</v>
          </cell>
          <cell r="AA568" t="str">
            <v>Vertical</v>
          </cell>
          <cell r="AG568" t="str">
            <v>HP</v>
          </cell>
          <cell r="AI568" t="str">
            <v>6314</v>
          </cell>
          <cell r="AJ568" t="str">
            <v>6314</v>
          </cell>
          <cell r="AO568" t="str">
            <v>B WPI</v>
          </cell>
          <cell r="AP568" t="str">
            <v>G</v>
          </cell>
          <cell r="AQ568" t="str">
            <v>F</v>
          </cell>
          <cell r="AR568" t="str">
            <v>86.0</v>
          </cell>
          <cell r="AS568" t="str">
            <v>1.15</v>
          </cell>
          <cell r="AT568" t="str">
            <v>93.6</v>
          </cell>
          <cell r="AV568" t="b">
            <v>0</v>
          </cell>
          <cell r="GK568" t="str">
            <v>Heaters  115 V  145 W</v>
          </cell>
          <cell r="HD568" t="str">
            <v>Repair Shop</v>
          </cell>
          <cell r="HT568" t="b">
            <v>0</v>
          </cell>
          <cell r="HU568" t="str">
            <v>CITY OF NAPA, PUBLIC WORKS DEPT</v>
          </cell>
        </row>
        <row r="569">
          <cell r="A569">
            <v>4204</v>
          </cell>
          <cell r="B569" t="str">
            <v>VEM1131</v>
          </cell>
          <cell r="D569" t="str">
            <v>CONHAGEN</v>
          </cell>
          <cell r="F569" t="str">
            <v>GE</v>
          </cell>
          <cell r="G569" t="str">
            <v>5KS254SAE320</v>
          </cell>
          <cell r="H569" t="str">
            <v>ACFT020B03</v>
          </cell>
          <cell r="I569" t="str">
            <v>L254HP10</v>
          </cell>
          <cell r="K569" t="str">
            <v>7.5</v>
          </cell>
          <cell r="L569" t="str">
            <v>1175</v>
          </cell>
          <cell r="M569" t="str">
            <v>KS</v>
          </cell>
          <cell r="N569" t="str">
            <v>315</v>
          </cell>
          <cell r="O569" t="str">
            <v>Full no Cord</v>
          </cell>
          <cell r="P569" t="str">
            <v>TEFC</v>
          </cell>
          <cell r="R569" t="str">
            <v>Continuous</v>
          </cell>
          <cell r="T569" t="str">
            <v>none no key</v>
          </cell>
          <cell r="U569" t="str">
            <v>40</v>
          </cell>
          <cell r="V569" t="str">
            <v>3</v>
          </cell>
          <cell r="W569" t="str">
            <v>60</v>
          </cell>
          <cell r="X569" t="str">
            <v>460</v>
          </cell>
          <cell r="Y569" t="str">
            <v>9.6</v>
          </cell>
          <cell r="Z569" t="str">
            <v>Yes</v>
          </cell>
          <cell r="AA569" t="str">
            <v>Vertical</v>
          </cell>
          <cell r="AG569" t="str">
            <v>HP</v>
          </cell>
          <cell r="AI569" t="str">
            <v>6309</v>
          </cell>
          <cell r="AJ569" t="str">
            <v>6309</v>
          </cell>
          <cell r="AO569" t="str">
            <v>B</v>
          </cell>
          <cell r="AP569" t="str">
            <v>H</v>
          </cell>
          <cell r="AQ569" t="str">
            <v>F</v>
          </cell>
          <cell r="AR569" t="str">
            <v>79.5</v>
          </cell>
          <cell r="AS569" t="str">
            <v>1.15</v>
          </cell>
          <cell r="AV569" t="b">
            <v>0</v>
          </cell>
          <cell r="HD569" t="str">
            <v>Repair Shop</v>
          </cell>
          <cell r="HT569" t="b">
            <v>0</v>
          </cell>
          <cell r="HU569" t="str">
            <v>ALFRED CONHAGEN CO. OF CA</v>
          </cell>
        </row>
        <row r="570">
          <cell r="A570">
            <v>4203</v>
          </cell>
          <cell r="B570" t="str">
            <v>VEM1130</v>
          </cell>
          <cell r="D570" t="str">
            <v>VALERO</v>
          </cell>
          <cell r="F570" t="str">
            <v>Reliance</v>
          </cell>
          <cell r="I570" t="str">
            <v>326HP</v>
          </cell>
          <cell r="K570" t="str">
            <v>50</v>
          </cell>
          <cell r="L570" t="str">
            <v>1775</v>
          </cell>
          <cell r="M570" t="str">
            <v>P</v>
          </cell>
          <cell r="N570" t="str">
            <v>738</v>
          </cell>
          <cell r="O570" t="str">
            <v>Full no Cord</v>
          </cell>
          <cell r="P570" t="str">
            <v>TEFC</v>
          </cell>
          <cell r="R570" t="str">
            <v>Continuous</v>
          </cell>
          <cell r="T570" t="str">
            <v>Yes</v>
          </cell>
          <cell r="U570" t="str">
            <v>40</v>
          </cell>
          <cell r="V570" t="str">
            <v>3</v>
          </cell>
          <cell r="W570" t="str">
            <v>60</v>
          </cell>
          <cell r="X570" t="str">
            <v>460</v>
          </cell>
          <cell r="Y570" t="str">
            <v>58.8</v>
          </cell>
          <cell r="AA570" t="str">
            <v>Vertical</v>
          </cell>
          <cell r="AG570" t="str">
            <v>HP</v>
          </cell>
          <cell r="AO570" t="str">
            <v>B</v>
          </cell>
          <cell r="AP570" t="str">
            <v>G</v>
          </cell>
          <cell r="AR570" t="str">
            <v>84.2</v>
          </cell>
          <cell r="AS570" t="str">
            <v>1.15</v>
          </cell>
          <cell r="AT570" t="str">
            <v>94.5</v>
          </cell>
          <cell r="AV570" t="b">
            <v>0</v>
          </cell>
          <cell r="EX570" t="str">
            <v>6412427  G002 CF</v>
          </cell>
          <cell r="GK570" t="str">
            <v>Secondary jb full no cord</v>
          </cell>
          <cell r="HD570" t="str">
            <v>Repair Shop</v>
          </cell>
          <cell r="HT570" t="b">
            <v>0</v>
          </cell>
          <cell r="HU570" t="str">
            <v>VALERO REFINING CO. BENICIA</v>
          </cell>
        </row>
        <row r="571">
          <cell r="A571">
            <v>4202</v>
          </cell>
          <cell r="B571" t="str">
            <v>VEM1129</v>
          </cell>
          <cell r="D571" t="str">
            <v>VALERO</v>
          </cell>
          <cell r="F571" t="str">
            <v>Westinghouse</v>
          </cell>
          <cell r="G571" t="str">
            <v>TBFC</v>
          </cell>
          <cell r="H571" t="str">
            <v>6710</v>
          </cell>
          <cell r="K571" t="str">
            <v>20</v>
          </cell>
          <cell r="L571" t="str">
            <v>3505</v>
          </cell>
          <cell r="O571" t="str">
            <v>None</v>
          </cell>
          <cell r="P571" t="str">
            <v>TEFC</v>
          </cell>
          <cell r="R571" t="str">
            <v>Continuous</v>
          </cell>
          <cell r="T571" t="str">
            <v>NONE NO KEY</v>
          </cell>
          <cell r="U571" t="str">
            <v>40</v>
          </cell>
          <cell r="V571" t="str">
            <v>3</v>
          </cell>
          <cell r="W571" t="str">
            <v>60</v>
          </cell>
          <cell r="X571" t="str">
            <v>460</v>
          </cell>
          <cell r="Y571" t="str">
            <v>23.4</v>
          </cell>
          <cell r="AA571" t="str">
            <v>Vertical</v>
          </cell>
          <cell r="AD571" t="str">
            <v>-1</v>
          </cell>
          <cell r="AG571" t="str">
            <v>HP</v>
          </cell>
          <cell r="AI571" t="str">
            <v>6309</v>
          </cell>
          <cell r="AJ571" t="str">
            <v>6207</v>
          </cell>
          <cell r="AS571" t="str">
            <v>1.0</v>
          </cell>
          <cell r="AV571" t="b">
            <v>0</v>
          </cell>
          <cell r="HD571" t="str">
            <v>Repair Shop</v>
          </cell>
          <cell r="HT571" t="b">
            <v>0</v>
          </cell>
          <cell r="HU571" t="str">
            <v>VALERO REFINING CO. BENICIA</v>
          </cell>
        </row>
        <row r="572">
          <cell r="A572">
            <v>4201</v>
          </cell>
          <cell r="B572" t="str">
            <v>VEM1128</v>
          </cell>
          <cell r="D572" t="str">
            <v>P66</v>
          </cell>
          <cell r="F572" t="str">
            <v>Toshiba</v>
          </cell>
          <cell r="G572" t="str">
            <v>BY754FL3BS</v>
          </cell>
          <cell r="H572" t="str">
            <v>001003690</v>
          </cell>
          <cell r="I572" t="str">
            <v>213T</v>
          </cell>
          <cell r="K572" t="str">
            <v>7.5</v>
          </cell>
          <cell r="L572" t="str">
            <v>1750</v>
          </cell>
          <cell r="M572" t="str">
            <v>IKKH</v>
          </cell>
          <cell r="O572" t="str">
            <v>Full no Cord</v>
          </cell>
          <cell r="P572" t="str">
            <v>TEFC</v>
          </cell>
          <cell r="R572" t="str">
            <v>Continuous</v>
          </cell>
          <cell r="S572" t="str">
            <v>Yes</v>
          </cell>
          <cell r="T572" t="str">
            <v>YES</v>
          </cell>
          <cell r="U572" t="str">
            <v>40</v>
          </cell>
          <cell r="V572" t="str">
            <v>3</v>
          </cell>
          <cell r="W572" t="str">
            <v>60</v>
          </cell>
          <cell r="X572" t="str">
            <v>460</v>
          </cell>
          <cell r="Y572" t="str">
            <v>9.3</v>
          </cell>
          <cell r="AA572" t="str">
            <v>F1</v>
          </cell>
          <cell r="AD572" t="str">
            <v>0</v>
          </cell>
          <cell r="AG572" t="str">
            <v>HP</v>
          </cell>
          <cell r="AO572" t="str">
            <v>B</v>
          </cell>
          <cell r="AP572" t="str">
            <v>H</v>
          </cell>
          <cell r="AQ572" t="str">
            <v>F</v>
          </cell>
          <cell r="AS572" t="str">
            <v>1.15</v>
          </cell>
          <cell r="AV572" t="b">
            <v>0</v>
          </cell>
          <cell r="HD572" t="str">
            <v>Repair Shop</v>
          </cell>
          <cell r="HT572" t="b">
            <v>0</v>
          </cell>
          <cell r="HU572" t="str">
            <v>PHILLIPS 66</v>
          </cell>
        </row>
        <row r="573">
          <cell r="A573">
            <v>4200</v>
          </cell>
          <cell r="B573" t="str">
            <v>VEM1127</v>
          </cell>
          <cell r="D573" t="str">
            <v>CONHAGEN</v>
          </cell>
          <cell r="F573" t="str">
            <v>Baldor</v>
          </cell>
          <cell r="H573" t="str">
            <v>Z1601140383</v>
          </cell>
          <cell r="I573" t="str">
            <v>254TC</v>
          </cell>
          <cell r="K573" t="str">
            <v>15</v>
          </cell>
          <cell r="L573" t="str">
            <v>3520</v>
          </cell>
          <cell r="O573" t="str">
            <v>Full no Cord</v>
          </cell>
          <cell r="P573" t="str">
            <v>TEFC</v>
          </cell>
          <cell r="R573" t="str">
            <v>Continuous</v>
          </cell>
          <cell r="S573" t="str">
            <v>lifing eyes</v>
          </cell>
          <cell r="T573" t="str">
            <v>none no key</v>
          </cell>
          <cell r="U573" t="str">
            <v>40</v>
          </cell>
          <cell r="V573" t="str">
            <v>3</v>
          </cell>
          <cell r="W573" t="str">
            <v>60</v>
          </cell>
          <cell r="X573" t="str">
            <v>230/460</v>
          </cell>
          <cell r="Y573" t="str">
            <v>35/17.5</v>
          </cell>
          <cell r="Z573" t="str">
            <v>v ring</v>
          </cell>
          <cell r="AA573" t="str">
            <v>Vertical</v>
          </cell>
          <cell r="AG573" t="str">
            <v>HP</v>
          </cell>
          <cell r="AI573" t="str">
            <v>6309</v>
          </cell>
          <cell r="AJ573" t="str">
            <v>6309</v>
          </cell>
          <cell r="AO573" t="str">
            <v>B</v>
          </cell>
          <cell r="AP573" t="str">
            <v>G</v>
          </cell>
          <cell r="AQ573" t="str">
            <v>F</v>
          </cell>
          <cell r="AS573" t="str">
            <v>1.15</v>
          </cell>
          <cell r="AT573" t="str">
            <v>91</v>
          </cell>
          <cell r="AU573" t="str">
            <v>09L835Z602G1</v>
          </cell>
          <cell r="AV573" t="b">
            <v>0</v>
          </cell>
          <cell r="HD573" t="str">
            <v>Repair Shop</v>
          </cell>
          <cell r="HT573" t="b">
            <v>0</v>
          </cell>
          <cell r="HU573" t="str">
            <v>ALFRED CONHAGEN CO. OF CA</v>
          </cell>
        </row>
        <row r="574">
          <cell r="A574">
            <v>4199</v>
          </cell>
          <cell r="B574" t="str">
            <v>VEM1126</v>
          </cell>
          <cell r="D574" t="str">
            <v>TURBO</v>
          </cell>
          <cell r="F574" t="str">
            <v>Flygt</v>
          </cell>
          <cell r="H574" t="str">
            <v>3152.091-0510</v>
          </cell>
          <cell r="K574" t="str">
            <v>17.2</v>
          </cell>
          <cell r="L574" t="str">
            <v>3500</v>
          </cell>
          <cell r="O574" t="str">
            <v>None</v>
          </cell>
          <cell r="R574" t="str">
            <v>Continuous</v>
          </cell>
          <cell r="V574" t="str">
            <v>3</v>
          </cell>
          <cell r="W574" t="str">
            <v>60</v>
          </cell>
          <cell r="X574" t="str">
            <v>230/460</v>
          </cell>
          <cell r="Y574" t="str">
            <v>26/53</v>
          </cell>
          <cell r="AD574" t="str">
            <v>0</v>
          </cell>
          <cell r="AG574" t="str">
            <v>KW</v>
          </cell>
          <cell r="AV574" t="b">
            <v>0</v>
          </cell>
          <cell r="GK574" t="str">
            <v>Product no 9750123</v>
          </cell>
          <cell r="GL574" t="str">
            <v>Curve code 268</v>
          </cell>
          <cell r="HD574" t="str">
            <v>Repair Shop</v>
          </cell>
          <cell r="HT574" t="b">
            <v>0</v>
          </cell>
          <cell r="HU574" t="str">
            <v>TURBO MACHINE</v>
          </cell>
        </row>
        <row r="575">
          <cell r="A575">
            <v>4198</v>
          </cell>
          <cell r="B575" t="str">
            <v>VEM1125</v>
          </cell>
          <cell r="D575" t="str">
            <v>CONHAGEN</v>
          </cell>
          <cell r="AG575" t="str">
            <v>HP</v>
          </cell>
          <cell r="AV575" t="b">
            <v>0</v>
          </cell>
          <cell r="HD575" t="str">
            <v>Repair Shop</v>
          </cell>
          <cell r="HT575" t="b">
            <v>0</v>
          </cell>
          <cell r="HU575" t="str">
            <v>ALFRED CONHAGEN CO. OF CA</v>
          </cell>
        </row>
        <row r="576">
          <cell r="A576">
            <v>4197</v>
          </cell>
          <cell r="B576" t="str">
            <v>VEM1124</v>
          </cell>
          <cell r="D576" t="str">
            <v>CONHAGEN</v>
          </cell>
          <cell r="F576" t="str">
            <v>GE</v>
          </cell>
          <cell r="G576" t="str">
            <v>5KS286XAE5722D</v>
          </cell>
          <cell r="H576" t="str">
            <v>DMFT094S005</v>
          </cell>
          <cell r="I576" t="str">
            <v>L286LP10Z</v>
          </cell>
          <cell r="K576" t="str">
            <v>30</v>
          </cell>
          <cell r="L576" t="str">
            <v>3545</v>
          </cell>
          <cell r="M576" t="str">
            <v>KS</v>
          </cell>
          <cell r="N576" t="str">
            <v>510</v>
          </cell>
          <cell r="O576" t="str">
            <v>Full no Cord</v>
          </cell>
          <cell r="P576" t="str">
            <v>TEFC</v>
          </cell>
          <cell r="R576" t="str">
            <v>Continuous</v>
          </cell>
          <cell r="S576" t="str">
            <v>Yes</v>
          </cell>
          <cell r="T576" t="str">
            <v>sundyne</v>
          </cell>
          <cell r="U576" t="str">
            <v>40</v>
          </cell>
          <cell r="V576" t="str">
            <v>3</v>
          </cell>
          <cell r="W576" t="str">
            <v>60</v>
          </cell>
          <cell r="X576" t="str">
            <v>460</v>
          </cell>
          <cell r="Y576" t="str">
            <v>32.7</v>
          </cell>
          <cell r="Z576" t="str">
            <v>Yes</v>
          </cell>
          <cell r="AA576" t="str">
            <v>Vertical</v>
          </cell>
          <cell r="AD576" t="str">
            <v>-1</v>
          </cell>
          <cell r="AG576" t="str">
            <v>HP</v>
          </cell>
          <cell r="AI576" t="str">
            <v>3212</v>
          </cell>
          <cell r="AJ576" t="str">
            <v>6310</v>
          </cell>
          <cell r="AO576" t="str">
            <v>B</v>
          </cell>
          <cell r="AQ576" t="str">
            <v>H</v>
          </cell>
          <cell r="AS576" t="str">
            <v>1.15</v>
          </cell>
          <cell r="AT576" t="str">
            <v>92.4</v>
          </cell>
          <cell r="AU576" t="str">
            <v>09F918Y899G1</v>
          </cell>
          <cell r="AV576" t="b">
            <v>0</v>
          </cell>
          <cell r="EW576" t="str">
            <v>V775</v>
          </cell>
          <cell r="EZ576" t="str">
            <v>Cat Yellow</v>
          </cell>
          <cell r="HD576" t="str">
            <v>Repair Shop</v>
          </cell>
          <cell r="HT576" t="b">
            <v>1</v>
          </cell>
          <cell r="HU576" t="str">
            <v>ALFRED CONHAGEN CO. OF CA</v>
          </cell>
        </row>
        <row r="577">
          <cell r="A577">
            <v>4196</v>
          </cell>
          <cell r="B577" t="str">
            <v>VEM1123</v>
          </cell>
          <cell r="D577" t="str">
            <v>VALERO</v>
          </cell>
          <cell r="F577" t="str">
            <v>GE</v>
          </cell>
          <cell r="O577" t="str">
            <v>Full no Cord</v>
          </cell>
          <cell r="R577" t="str">
            <v>Continuous</v>
          </cell>
          <cell r="V577" t="str">
            <v>3</v>
          </cell>
          <cell r="W577" t="str">
            <v>60</v>
          </cell>
          <cell r="AV577" t="b">
            <v>0</v>
          </cell>
          <cell r="HD577" t="str">
            <v>Repair Shop</v>
          </cell>
          <cell r="HT577" t="b">
            <v>0</v>
          </cell>
          <cell r="HU577" t="str">
            <v>VALERO REFINING CO. BENICIA</v>
          </cell>
        </row>
        <row r="578">
          <cell r="A578">
            <v>4195</v>
          </cell>
          <cell r="B578" t="str">
            <v>VEM1122</v>
          </cell>
          <cell r="D578" t="str">
            <v>C&amp;H</v>
          </cell>
          <cell r="F578" t="str">
            <v>Westinghouse</v>
          </cell>
          <cell r="G578" t="str">
            <v>TBFC</v>
          </cell>
          <cell r="H578" t="str">
            <v>8302</v>
          </cell>
          <cell r="I578" t="str">
            <v>215TY</v>
          </cell>
          <cell r="K578" t="str">
            <v>10</v>
          </cell>
          <cell r="L578" t="str">
            <v>1760</v>
          </cell>
          <cell r="O578" t="str">
            <v>Half no Cord</v>
          </cell>
          <cell r="P578" t="str">
            <v>TEFC</v>
          </cell>
          <cell r="R578" t="str">
            <v>Continuous</v>
          </cell>
          <cell r="T578" t="str">
            <v>none no key</v>
          </cell>
          <cell r="U578" t="str">
            <v>40</v>
          </cell>
          <cell r="V578" t="str">
            <v>3</v>
          </cell>
          <cell r="W578" t="str">
            <v>60</v>
          </cell>
          <cell r="X578" t="str">
            <v>460</v>
          </cell>
          <cell r="Y578" t="str">
            <v>13</v>
          </cell>
          <cell r="AA578" t="str">
            <v>F1</v>
          </cell>
          <cell r="AG578" t="str">
            <v>HP</v>
          </cell>
          <cell r="AP578" t="str">
            <v>H</v>
          </cell>
          <cell r="AQ578" t="str">
            <v>F</v>
          </cell>
          <cell r="AS578" t="str">
            <v>1.15</v>
          </cell>
          <cell r="AV578" t="b">
            <v>0</v>
          </cell>
          <cell r="BY578" t="str">
            <v>20.9</v>
          </cell>
          <cell r="BZ578" t="str">
            <v>1760</v>
          </cell>
          <cell r="CC578" t="str">
            <v>84</v>
          </cell>
          <cell r="CE578" t="str">
            <v>10</v>
          </cell>
          <cell r="EY578" t="str">
            <v>82D65984</v>
          </cell>
          <cell r="HD578" t="str">
            <v>Repair Shop</v>
          </cell>
          <cell r="HE578" t="str">
            <v>Style#82G65095</v>
          </cell>
          <cell r="HT578" t="b">
            <v>0</v>
          </cell>
          <cell r="HU578" t="str">
            <v>C &amp; H SUGAR CO.</v>
          </cell>
        </row>
        <row r="579">
          <cell r="A579">
            <v>4194</v>
          </cell>
          <cell r="B579" t="str">
            <v>VEM1121</v>
          </cell>
          <cell r="D579" t="str">
            <v>COCACOLA</v>
          </cell>
          <cell r="F579" t="str">
            <v>Leeson</v>
          </cell>
          <cell r="G579" t="str">
            <v>C145T34FK43B</v>
          </cell>
          <cell r="I579" t="str">
            <v>145TC</v>
          </cell>
          <cell r="K579" t="str">
            <v>3</v>
          </cell>
          <cell r="L579" t="str">
            <v>3490</v>
          </cell>
          <cell r="M579" t="str">
            <v>TF</v>
          </cell>
          <cell r="O579" t="str">
            <v>Full no Cord</v>
          </cell>
          <cell r="P579" t="str">
            <v>TEFC</v>
          </cell>
          <cell r="R579" t="str">
            <v>Continuous</v>
          </cell>
          <cell r="T579" t="str">
            <v>none no key</v>
          </cell>
          <cell r="U579" t="str">
            <v>40</v>
          </cell>
          <cell r="V579" t="str">
            <v>3</v>
          </cell>
          <cell r="W579" t="str">
            <v>60</v>
          </cell>
          <cell r="X579" t="str">
            <v>230/460</v>
          </cell>
          <cell r="Y579" t="str">
            <v>8/4</v>
          </cell>
          <cell r="AA579" t="str">
            <v>F1</v>
          </cell>
          <cell r="AD579" t="str">
            <v>0</v>
          </cell>
          <cell r="AG579" t="str">
            <v>HP</v>
          </cell>
          <cell r="AO579" t="str">
            <v>A</v>
          </cell>
          <cell r="AP579" t="str">
            <v>N</v>
          </cell>
          <cell r="AQ579" t="str">
            <v>F</v>
          </cell>
          <cell r="AS579" t="str">
            <v>1.15</v>
          </cell>
          <cell r="AT579" t="str">
            <v>86.5</v>
          </cell>
          <cell r="AV579" t="b">
            <v>0</v>
          </cell>
          <cell r="EW579" t="str">
            <v>121929.00</v>
          </cell>
          <cell r="HD579" t="str">
            <v>Repair Shop</v>
          </cell>
          <cell r="HT579" t="b">
            <v>0</v>
          </cell>
          <cell r="HU579" t="str">
            <v>COCA COLA</v>
          </cell>
        </row>
        <row r="580">
          <cell r="A580">
            <v>4193</v>
          </cell>
          <cell r="B580" t="str">
            <v>VEM1120</v>
          </cell>
          <cell r="D580" t="str">
            <v>BENICIAWASTE</v>
          </cell>
          <cell r="F580" t="str">
            <v>Flygt</v>
          </cell>
          <cell r="H580" t="str">
            <v>3127.090-0662</v>
          </cell>
          <cell r="K580" t="str">
            <v>5.6</v>
          </cell>
          <cell r="L580" t="str">
            <v>1740</v>
          </cell>
          <cell r="R580" t="str">
            <v>Continuous</v>
          </cell>
          <cell r="V580" t="str">
            <v>3</v>
          </cell>
          <cell r="W580" t="str">
            <v>60</v>
          </cell>
          <cell r="X580" t="str">
            <v>230/460</v>
          </cell>
          <cell r="Y580" t="str">
            <v>9.6/19</v>
          </cell>
          <cell r="AD580" t="str">
            <v>0</v>
          </cell>
          <cell r="AG580" t="str">
            <v>KW</v>
          </cell>
          <cell r="AV580" t="b">
            <v>0</v>
          </cell>
          <cell r="GK580" t="str">
            <v>curve code 433</v>
          </cell>
          <cell r="GL580" t="str">
            <v>Product no. 9580115</v>
          </cell>
          <cell r="HD580" t="str">
            <v>Repair Shop</v>
          </cell>
          <cell r="HT580" t="b">
            <v>0</v>
          </cell>
          <cell r="HU580" t="str">
            <v>CITY OF BENICIA WASTE WATER</v>
          </cell>
        </row>
        <row r="581">
          <cell r="A581">
            <v>4192</v>
          </cell>
          <cell r="B581" t="str">
            <v>VEM1119</v>
          </cell>
          <cell r="D581" t="str">
            <v>P66</v>
          </cell>
          <cell r="F581" t="str">
            <v>Allis-Chalmers</v>
          </cell>
          <cell r="H581" t="str">
            <v>1-5100-8736-1-1</v>
          </cell>
          <cell r="I581" t="str">
            <v>23RS6</v>
          </cell>
          <cell r="K581" t="str">
            <v>200</v>
          </cell>
          <cell r="L581" t="str">
            <v>3560</v>
          </cell>
          <cell r="M581" t="str">
            <v>AZ-CH</v>
          </cell>
          <cell r="O581" t="str">
            <v>None</v>
          </cell>
          <cell r="P581" t="str">
            <v>TEFC</v>
          </cell>
          <cell r="Q581" t="str">
            <v>None</v>
          </cell>
          <cell r="R581" t="str">
            <v>Continuous</v>
          </cell>
          <cell r="S581" t="str">
            <v>None</v>
          </cell>
          <cell r="T581" t="str">
            <v>None</v>
          </cell>
          <cell r="U581" t="str">
            <v>55</v>
          </cell>
          <cell r="V581" t="str">
            <v>3</v>
          </cell>
          <cell r="W581" t="str">
            <v>60</v>
          </cell>
          <cell r="X581" t="str">
            <v>2300</v>
          </cell>
          <cell r="Z581" t="str">
            <v>Yes</v>
          </cell>
          <cell r="AA581" t="str">
            <v>F1</v>
          </cell>
          <cell r="AG581" t="str">
            <v>HP</v>
          </cell>
          <cell r="AP581" t="str">
            <v>G</v>
          </cell>
          <cell r="AS581" t="str">
            <v>1.0</v>
          </cell>
          <cell r="AV581" t="b">
            <v>0</v>
          </cell>
          <cell r="AW581" t="str">
            <v>44</v>
          </cell>
          <cell r="HD581" t="str">
            <v>Repair Shop</v>
          </cell>
          <cell r="HT581" t="b">
            <v>0</v>
          </cell>
          <cell r="HU581" t="str">
            <v>PHILLIPS 66</v>
          </cell>
        </row>
        <row r="582">
          <cell r="A582">
            <v>4191</v>
          </cell>
          <cell r="B582" t="str">
            <v>VEM1118</v>
          </cell>
          <cell r="D582" t="str">
            <v>UNICO</v>
          </cell>
          <cell r="F582" t="str">
            <v>Fairbanks-Morse</v>
          </cell>
          <cell r="H582" t="str">
            <v>F-172100</v>
          </cell>
          <cell r="I582" t="str">
            <v>1665PV</v>
          </cell>
          <cell r="K582" t="str">
            <v>15</v>
          </cell>
          <cell r="L582" t="str">
            <v>1165</v>
          </cell>
          <cell r="M582" t="str">
            <v>QZKV</v>
          </cell>
          <cell r="O582" t="str">
            <v>None</v>
          </cell>
          <cell r="P582" t="str">
            <v>ODP</v>
          </cell>
          <cell r="Q582" t="str">
            <v>NONE</v>
          </cell>
          <cell r="R582" t="str">
            <v>Continuous</v>
          </cell>
          <cell r="S582" t="str">
            <v>NONE</v>
          </cell>
          <cell r="T582" t="str">
            <v>NONE</v>
          </cell>
          <cell r="U582" t="str">
            <v>40</v>
          </cell>
          <cell r="V582" t="str">
            <v>3</v>
          </cell>
          <cell r="W582" t="str">
            <v>60</v>
          </cell>
          <cell r="X582" t="str">
            <v>220/440</v>
          </cell>
          <cell r="AA582" t="str">
            <v>Vertical</v>
          </cell>
          <cell r="AG582" t="str">
            <v>HP</v>
          </cell>
          <cell r="AP582" t="str">
            <v>F</v>
          </cell>
          <cell r="AS582" t="str">
            <v>1.15</v>
          </cell>
          <cell r="AU582" t="str">
            <v>10613-10</v>
          </cell>
          <cell r="AV582" t="b">
            <v>0</v>
          </cell>
          <cell r="AW582" t="str">
            <v>41/20.5</v>
          </cell>
          <cell r="HD582" t="str">
            <v>Repair Shop</v>
          </cell>
          <cell r="HT582" t="b">
            <v>0</v>
          </cell>
          <cell r="HU582" t="str">
            <v>UNICO MECHANICAL CORP.</v>
          </cell>
        </row>
        <row r="583">
          <cell r="A583">
            <v>4190</v>
          </cell>
          <cell r="B583" t="str">
            <v>VEM1117</v>
          </cell>
          <cell r="D583" t="str">
            <v>EECO</v>
          </cell>
          <cell r="AG583" t="str">
            <v>HP</v>
          </cell>
          <cell r="AV583" t="b">
            <v>0</v>
          </cell>
          <cell r="HD583" t="str">
            <v>Repair Shop</v>
          </cell>
          <cell r="HT583" t="b">
            <v>0</v>
          </cell>
          <cell r="HU583" t="str">
            <v>ELECTRICAL EQUIPMENT CO.</v>
          </cell>
        </row>
        <row r="584">
          <cell r="A584">
            <v>4189</v>
          </cell>
          <cell r="B584" t="str">
            <v>VEM1116</v>
          </cell>
          <cell r="D584" t="str">
            <v>CONHAGEN</v>
          </cell>
          <cell r="F584" t="str">
            <v>US Motors</v>
          </cell>
          <cell r="I584" t="str">
            <v>6808P</v>
          </cell>
          <cell r="K584" t="str">
            <v>600</v>
          </cell>
          <cell r="L584" t="str">
            <v>890</v>
          </cell>
          <cell r="N584" t="str">
            <v>9150</v>
          </cell>
          <cell r="O584" t="str">
            <v>Full no Cord</v>
          </cell>
          <cell r="P584" t="str">
            <v>WP11</v>
          </cell>
          <cell r="R584" t="str">
            <v>Continuous</v>
          </cell>
          <cell r="U584" t="str">
            <v>40</v>
          </cell>
          <cell r="V584" t="str">
            <v>3</v>
          </cell>
          <cell r="W584" t="str">
            <v>60</v>
          </cell>
          <cell r="X584" t="str">
            <v>4160</v>
          </cell>
          <cell r="Y584" t="str">
            <v>81</v>
          </cell>
          <cell r="AA584" t="str">
            <v>Vertical</v>
          </cell>
          <cell r="AG584" t="str">
            <v>HP</v>
          </cell>
          <cell r="AJ584" t="str">
            <v>7238</v>
          </cell>
          <cell r="AP584" t="str">
            <v>G</v>
          </cell>
          <cell r="AQ584" t="str">
            <v>F</v>
          </cell>
          <cell r="AR584" t="str">
            <v>80.7</v>
          </cell>
          <cell r="AS584" t="str">
            <v>1.15</v>
          </cell>
          <cell r="AT584" t="str">
            <v>94.5</v>
          </cell>
          <cell r="AV584" t="b">
            <v>0</v>
          </cell>
          <cell r="EX584" t="str">
            <v>P 04 20082187-0001 R0002</v>
          </cell>
          <cell r="HD584" t="str">
            <v>Repair Shop</v>
          </cell>
          <cell r="HT584" t="b">
            <v>0</v>
          </cell>
          <cell r="HU584" t="str">
            <v>ALFRED CONHAGEN CO. OF CA</v>
          </cell>
        </row>
        <row r="585">
          <cell r="A585">
            <v>4188</v>
          </cell>
          <cell r="B585" t="str">
            <v>VEM1115</v>
          </cell>
          <cell r="D585" t="str">
            <v>CONHAGEN</v>
          </cell>
          <cell r="F585" t="str">
            <v>US Motors</v>
          </cell>
          <cell r="I585" t="str">
            <v>6808P</v>
          </cell>
          <cell r="K585" t="str">
            <v>600</v>
          </cell>
          <cell r="L585" t="str">
            <v>890</v>
          </cell>
          <cell r="M585" t="str">
            <v>HUE</v>
          </cell>
          <cell r="N585" t="str">
            <v>9150</v>
          </cell>
          <cell r="O585" t="str">
            <v>Full no Cord</v>
          </cell>
          <cell r="P585" t="str">
            <v>WP11</v>
          </cell>
          <cell r="R585" t="str">
            <v>Continuous</v>
          </cell>
          <cell r="U585" t="str">
            <v>40</v>
          </cell>
          <cell r="V585" t="str">
            <v>3</v>
          </cell>
          <cell r="W585" t="str">
            <v>60</v>
          </cell>
          <cell r="X585" t="str">
            <v>4160</v>
          </cell>
          <cell r="Y585" t="str">
            <v>81</v>
          </cell>
          <cell r="AA585" t="str">
            <v>Vertical</v>
          </cell>
          <cell r="AG585" t="str">
            <v>HP</v>
          </cell>
          <cell r="AI585" t="str">
            <v>6226</v>
          </cell>
          <cell r="AJ585" t="str">
            <v>7238</v>
          </cell>
          <cell r="AP585" t="str">
            <v>G</v>
          </cell>
          <cell r="AQ585" t="str">
            <v>F</v>
          </cell>
          <cell r="AR585" t="str">
            <v>80.7</v>
          </cell>
          <cell r="AS585" t="str">
            <v>1.15</v>
          </cell>
          <cell r="AT585" t="str">
            <v>94.5</v>
          </cell>
          <cell r="AV585" t="b">
            <v>0</v>
          </cell>
          <cell r="EX585" t="str">
            <v>P 04 20082187-0001 R 0001</v>
          </cell>
          <cell r="HD585" t="str">
            <v>Repair Shop</v>
          </cell>
          <cell r="HT585" t="b">
            <v>0</v>
          </cell>
          <cell r="HU585" t="str">
            <v>ALFRED CONHAGEN CO. OF CA</v>
          </cell>
        </row>
        <row r="586">
          <cell r="A586">
            <v>4187</v>
          </cell>
          <cell r="B586" t="str">
            <v>VEM1114</v>
          </cell>
          <cell r="D586" t="str">
            <v>CONHAGEN</v>
          </cell>
          <cell r="F586" t="str">
            <v>US Motors</v>
          </cell>
          <cell r="I586" t="str">
            <v>6808P</v>
          </cell>
          <cell r="K586" t="str">
            <v>600</v>
          </cell>
          <cell r="L586" t="str">
            <v>890</v>
          </cell>
          <cell r="M586" t="str">
            <v>HUE</v>
          </cell>
          <cell r="N586" t="str">
            <v>9150</v>
          </cell>
          <cell r="O586" t="str">
            <v>Full no Cord</v>
          </cell>
          <cell r="P586" t="str">
            <v>WP11</v>
          </cell>
          <cell r="R586" t="str">
            <v>Continuous</v>
          </cell>
          <cell r="U586" t="str">
            <v>40</v>
          </cell>
          <cell r="V586" t="str">
            <v>3</v>
          </cell>
          <cell r="W586" t="str">
            <v>60</v>
          </cell>
          <cell r="X586" t="str">
            <v>4160</v>
          </cell>
          <cell r="Y586" t="str">
            <v>81</v>
          </cell>
          <cell r="AA586" t="str">
            <v>Vertical</v>
          </cell>
          <cell r="AG586" t="str">
            <v>HP</v>
          </cell>
          <cell r="AI586" t="str">
            <v>6226</v>
          </cell>
          <cell r="AJ586" t="str">
            <v>7238</v>
          </cell>
          <cell r="AP586" t="str">
            <v>G</v>
          </cell>
          <cell r="AQ586" t="str">
            <v>F</v>
          </cell>
          <cell r="AR586" t="str">
            <v>80.7</v>
          </cell>
          <cell r="AS586" t="str">
            <v>1.15</v>
          </cell>
          <cell r="AT586" t="str">
            <v>94.5</v>
          </cell>
          <cell r="AV586" t="b">
            <v>0</v>
          </cell>
          <cell r="EX586" t="str">
            <v>P 04 20082187-001R 0003</v>
          </cell>
          <cell r="HD586" t="str">
            <v>Repair Shop</v>
          </cell>
          <cell r="HT586" t="b">
            <v>0</v>
          </cell>
          <cell r="HU586" t="str">
            <v>ALFRED CONHAGEN CO. OF CA</v>
          </cell>
        </row>
        <row r="587">
          <cell r="A587">
            <v>4186</v>
          </cell>
          <cell r="B587" t="str">
            <v>VEM1113</v>
          </cell>
          <cell r="D587" t="str">
            <v>CONHAGEN</v>
          </cell>
          <cell r="F587" t="str">
            <v>US Motors</v>
          </cell>
          <cell r="I587" t="str">
            <v>6808P</v>
          </cell>
          <cell r="K587" t="str">
            <v>600</v>
          </cell>
          <cell r="L587" t="str">
            <v>890</v>
          </cell>
          <cell r="M587" t="str">
            <v>HUE</v>
          </cell>
          <cell r="N587" t="str">
            <v>9150</v>
          </cell>
          <cell r="O587" t="str">
            <v>Full no Cord</v>
          </cell>
          <cell r="P587" t="str">
            <v>WP11</v>
          </cell>
          <cell r="R587" t="str">
            <v>Continuous</v>
          </cell>
          <cell r="U587" t="str">
            <v>40</v>
          </cell>
          <cell r="V587" t="str">
            <v>3</v>
          </cell>
          <cell r="W587" t="str">
            <v>60</v>
          </cell>
          <cell r="X587" t="str">
            <v>4160</v>
          </cell>
          <cell r="Y587" t="str">
            <v>81</v>
          </cell>
          <cell r="AA587" t="str">
            <v>Vertical</v>
          </cell>
          <cell r="AD587" t="str">
            <v>0</v>
          </cell>
          <cell r="AG587" t="str">
            <v>HP</v>
          </cell>
          <cell r="AI587" t="str">
            <v>6226-J</v>
          </cell>
          <cell r="AJ587" t="str">
            <v>7238-BCB</v>
          </cell>
          <cell r="AP587" t="str">
            <v>G</v>
          </cell>
          <cell r="AQ587" t="str">
            <v>F</v>
          </cell>
          <cell r="AR587" t="str">
            <v>80.7</v>
          </cell>
          <cell r="AS587" t="str">
            <v>1.15</v>
          </cell>
          <cell r="AT587" t="str">
            <v>94.5</v>
          </cell>
          <cell r="AV587" t="b">
            <v>0</v>
          </cell>
          <cell r="EX587" t="str">
            <v>P 04 20082187-0001 R0004</v>
          </cell>
          <cell r="HD587" t="str">
            <v>Repair Shop</v>
          </cell>
          <cell r="HT587" t="b">
            <v>0</v>
          </cell>
          <cell r="HU587" t="str">
            <v>ALFRED CONHAGEN CO. OF CA</v>
          </cell>
        </row>
        <row r="588">
          <cell r="A588">
            <v>4185</v>
          </cell>
          <cell r="B588" t="str">
            <v>VEM1112</v>
          </cell>
          <cell r="D588" t="str">
            <v>DIABLOVISTA</v>
          </cell>
          <cell r="F588" t="str">
            <v>US Motors</v>
          </cell>
          <cell r="G588" t="str">
            <v>FB99</v>
          </cell>
          <cell r="I588" t="str">
            <v>286TPA</v>
          </cell>
          <cell r="K588" t="str">
            <v>30</v>
          </cell>
          <cell r="L588" t="str">
            <v>1775</v>
          </cell>
          <cell r="M588" t="str">
            <v>AUSI</v>
          </cell>
          <cell r="N588" t="str">
            <v>325</v>
          </cell>
          <cell r="O588" t="str">
            <v>Full no Cord</v>
          </cell>
          <cell r="P588" t="str">
            <v>ODP</v>
          </cell>
          <cell r="Q588" t="str">
            <v>NONE</v>
          </cell>
          <cell r="R588" t="str">
            <v>Continuous</v>
          </cell>
          <cell r="S588" t="str">
            <v>NONE</v>
          </cell>
          <cell r="T588" t="str">
            <v>NONE</v>
          </cell>
          <cell r="U588" t="str">
            <v>40</v>
          </cell>
          <cell r="V588" t="str">
            <v>3</v>
          </cell>
          <cell r="W588" t="str">
            <v>60</v>
          </cell>
          <cell r="X588" t="str">
            <v>230/460</v>
          </cell>
          <cell r="Z588" t="str">
            <v>V-RING</v>
          </cell>
          <cell r="AA588" t="str">
            <v>Vertical</v>
          </cell>
          <cell r="AD588" t="str">
            <v>0</v>
          </cell>
          <cell r="AG588" t="str">
            <v>HP</v>
          </cell>
          <cell r="AI588" t="str">
            <v>7310</v>
          </cell>
          <cell r="AJ588" t="str">
            <v>6210</v>
          </cell>
          <cell r="AO588" t="str">
            <v>A</v>
          </cell>
          <cell r="AP588" t="str">
            <v>G</v>
          </cell>
          <cell r="AQ588" t="str">
            <v>F</v>
          </cell>
          <cell r="AR588" t="str">
            <v>84.9</v>
          </cell>
          <cell r="AS588" t="str">
            <v>1.5</v>
          </cell>
          <cell r="AT588" t="str">
            <v>94.1</v>
          </cell>
          <cell r="AV588" t="b">
            <v>0</v>
          </cell>
          <cell r="AW588" t="str">
            <v>70/35</v>
          </cell>
          <cell r="EW588" t="str">
            <v>H030V2BLF</v>
          </cell>
          <cell r="EX588" t="str">
            <v>X 05 7644862-0030 M 0009</v>
          </cell>
          <cell r="HD588" t="str">
            <v>Repair Shop</v>
          </cell>
          <cell r="HT588" t="b">
            <v>0</v>
          </cell>
          <cell r="HU588" t="str">
            <v>Diablo Vista Water</v>
          </cell>
        </row>
        <row r="589">
          <cell r="A589">
            <v>4184</v>
          </cell>
          <cell r="B589" t="str">
            <v>VEM1111</v>
          </cell>
          <cell r="D589" t="str">
            <v>LINDMARINE</v>
          </cell>
          <cell r="AG589" t="str">
            <v>HP</v>
          </cell>
          <cell r="AV589" t="b">
            <v>0</v>
          </cell>
          <cell r="FB589" t="str">
            <v>350</v>
          </cell>
          <cell r="FC589" t="str">
            <v>1800</v>
          </cell>
          <cell r="FD589" t="str">
            <v>277/480</v>
          </cell>
          <cell r="FE589" t="str">
            <v>3</v>
          </cell>
          <cell r="FN589" t="str">
            <v>DIESEL</v>
          </cell>
          <cell r="GC589" t="str">
            <v>24V</v>
          </cell>
          <cell r="HD589" t="str">
            <v>Repair Shop</v>
          </cell>
          <cell r="HT589" t="b">
            <v>0</v>
          </cell>
          <cell r="HU589" t="str">
            <v>LIND MARINE</v>
          </cell>
        </row>
        <row r="590">
          <cell r="A590">
            <v>4183</v>
          </cell>
          <cell r="B590" t="str">
            <v>VEM1110</v>
          </cell>
          <cell r="D590" t="str">
            <v>CONHAGEN</v>
          </cell>
          <cell r="AG590" t="str">
            <v>HP</v>
          </cell>
          <cell r="AV590" t="b">
            <v>0</v>
          </cell>
          <cell r="HD590" t="str">
            <v>Repair Shop</v>
          </cell>
          <cell r="HT590" t="b">
            <v>0</v>
          </cell>
          <cell r="HU590" t="str">
            <v>ALFRED CONHAGEN CO. OF CA</v>
          </cell>
        </row>
        <row r="591">
          <cell r="A591">
            <v>4182</v>
          </cell>
          <cell r="B591" t="str">
            <v>VEM1109</v>
          </cell>
          <cell r="D591" t="str">
            <v>CONHAGEN</v>
          </cell>
          <cell r="AG591" t="str">
            <v>HP</v>
          </cell>
          <cell r="AV591" t="b">
            <v>0</v>
          </cell>
          <cell r="HD591" t="str">
            <v>Repair Shop</v>
          </cell>
          <cell r="HT591" t="b">
            <v>0</v>
          </cell>
          <cell r="HU591" t="str">
            <v>ALFRED CONHAGEN CO. OF CA</v>
          </cell>
        </row>
        <row r="592">
          <cell r="A592">
            <v>4181</v>
          </cell>
          <cell r="B592" t="str">
            <v>VEM1108</v>
          </cell>
          <cell r="D592" t="str">
            <v>UNICO</v>
          </cell>
          <cell r="F592" t="str">
            <v>Hydromatic</v>
          </cell>
          <cell r="H592" t="str">
            <v>S00140624</v>
          </cell>
          <cell r="K592" t="str">
            <v>25</v>
          </cell>
          <cell r="L592" t="str">
            <v>870</v>
          </cell>
          <cell r="R592" t="str">
            <v>Continuous</v>
          </cell>
          <cell r="V592" t="str">
            <v>3</v>
          </cell>
          <cell r="W592" t="str">
            <v>60</v>
          </cell>
          <cell r="X592" t="str">
            <v>230</v>
          </cell>
          <cell r="Y592" t="str">
            <v>78</v>
          </cell>
          <cell r="AA592" t="str">
            <v>Other</v>
          </cell>
          <cell r="AG592" t="str">
            <v>HP</v>
          </cell>
          <cell r="AP592" t="str">
            <v>H</v>
          </cell>
          <cell r="AQ592" t="str">
            <v>H</v>
          </cell>
          <cell r="AV592" t="b">
            <v>0</v>
          </cell>
          <cell r="BB592" t="str">
            <v>15.0</v>
          </cell>
          <cell r="HD592" t="str">
            <v>Repair Shop</v>
          </cell>
          <cell r="HT592" t="b">
            <v>0</v>
          </cell>
          <cell r="HU592" t="str">
            <v>UNICO MECHANICAL CORP.</v>
          </cell>
        </row>
        <row r="593">
          <cell r="A593">
            <v>4180</v>
          </cell>
          <cell r="B593" t="str">
            <v>VEM1107</v>
          </cell>
          <cell r="D593" t="str">
            <v>P66</v>
          </cell>
          <cell r="F593" t="str">
            <v>US Motors</v>
          </cell>
          <cell r="G593" t="str">
            <v>7969B</v>
          </cell>
          <cell r="I593" t="str">
            <v>256T</v>
          </cell>
          <cell r="K593" t="str">
            <v>20</v>
          </cell>
          <cell r="L593" t="str">
            <v>1770</v>
          </cell>
          <cell r="M593" t="str">
            <v>TCE</v>
          </cell>
          <cell r="O593" t="str">
            <v>None</v>
          </cell>
          <cell r="P593" t="str">
            <v>TEFC</v>
          </cell>
          <cell r="R593" t="str">
            <v>Continuous</v>
          </cell>
          <cell r="T593" t="str">
            <v>key only</v>
          </cell>
          <cell r="U593" t="str">
            <v>40</v>
          </cell>
          <cell r="V593" t="str">
            <v>3</v>
          </cell>
          <cell r="W593" t="str">
            <v>60</v>
          </cell>
          <cell r="X593" t="str">
            <v>230/460</v>
          </cell>
          <cell r="Y593" t="str">
            <v>49/24.5</v>
          </cell>
          <cell r="Z593" t="str">
            <v>Yes</v>
          </cell>
          <cell r="AA593" t="str">
            <v>F1</v>
          </cell>
          <cell r="AG593" t="str">
            <v>HP</v>
          </cell>
          <cell r="AI593" t="str">
            <v>6309</v>
          </cell>
          <cell r="AJ593" t="str">
            <v>6207</v>
          </cell>
          <cell r="AO593" t="str">
            <v>B</v>
          </cell>
          <cell r="AP593" t="str">
            <v>G</v>
          </cell>
          <cell r="AQ593" t="str">
            <v>F</v>
          </cell>
          <cell r="AR593" t="str">
            <v>84.5</v>
          </cell>
          <cell r="AS593" t="str">
            <v>1.15</v>
          </cell>
          <cell r="AV593" t="b">
            <v>0</v>
          </cell>
          <cell r="EX593" t="str">
            <v>X08X122R101M</v>
          </cell>
          <cell r="HD593" t="str">
            <v>Repair Shop</v>
          </cell>
          <cell r="HT593" t="b">
            <v>0</v>
          </cell>
          <cell r="HU593" t="str">
            <v>PHILLIPS 66</v>
          </cell>
        </row>
        <row r="594">
          <cell r="A594">
            <v>4179</v>
          </cell>
          <cell r="B594" t="str">
            <v>VEM1106</v>
          </cell>
          <cell r="D594" t="str">
            <v>P66</v>
          </cell>
          <cell r="F594" t="str">
            <v>GE</v>
          </cell>
          <cell r="G594" t="str">
            <v>5KS254XAB208</v>
          </cell>
          <cell r="H594" t="str">
            <v>ZTP2504ML04A</v>
          </cell>
          <cell r="I594" t="str">
            <v>254T</v>
          </cell>
          <cell r="K594" t="str">
            <v>15</v>
          </cell>
          <cell r="L594" t="str">
            <v>1770</v>
          </cell>
          <cell r="M594" t="str">
            <v>KS</v>
          </cell>
          <cell r="N594" t="str">
            <v>315</v>
          </cell>
          <cell r="O594" t="str">
            <v>Full no Cord</v>
          </cell>
          <cell r="P594" t="str">
            <v>TEFC</v>
          </cell>
          <cell r="R594" t="str">
            <v>Continuous</v>
          </cell>
          <cell r="T594" t="str">
            <v>none</v>
          </cell>
          <cell r="U594" t="str">
            <v>40</v>
          </cell>
          <cell r="V594" t="str">
            <v>3</v>
          </cell>
          <cell r="W594" t="str">
            <v>60</v>
          </cell>
          <cell r="X594" t="str">
            <v>460</v>
          </cell>
          <cell r="Y594" t="str">
            <v>18.3</v>
          </cell>
          <cell r="AA594" t="str">
            <v>F1</v>
          </cell>
          <cell r="AG594" t="str">
            <v>HP</v>
          </cell>
          <cell r="AI594" t="str">
            <v>6309</v>
          </cell>
          <cell r="AJ594" t="str">
            <v>6309</v>
          </cell>
          <cell r="AO594" t="str">
            <v>B</v>
          </cell>
          <cell r="AR594" t="str">
            <v>83.0</v>
          </cell>
          <cell r="AS594" t="str">
            <v>1.15</v>
          </cell>
          <cell r="AT594" t="str">
            <v>92.4</v>
          </cell>
          <cell r="AV594" t="b">
            <v>0</v>
          </cell>
          <cell r="EW594" t="str">
            <v>M9435</v>
          </cell>
          <cell r="HD594" t="str">
            <v>Repair Shop</v>
          </cell>
          <cell r="HT594" t="b">
            <v>0</v>
          </cell>
          <cell r="HU594" t="str">
            <v>PHILLIPS 66</v>
          </cell>
        </row>
        <row r="595">
          <cell r="A595">
            <v>4178</v>
          </cell>
          <cell r="B595" t="str">
            <v>VEM1105</v>
          </cell>
          <cell r="D595" t="str">
            <v>P66</v>
          </cell>
          <cell r="F595" t="str">
            <v>Nidec</v>
          </cell>
          <cell r="G595" t="str">
            <v>DLO8</v>
          </cell>
          <cell r="I595" t="str">
            <v>286T</v>
          </cell>
          <cell r="K595" t="str">
            <v>30</v>
          </cell>
          <cell r="L595" t="str">
            <v>1775</v>
          </cell>
          <cell r="M595" t="str">
            <v>CE</v>
          </cell>
          <cell r="N595" t="str">
            <v>410</v>
          </cell>
          <cell r="O595" t="str">
            <v>Full no Cord</v>
          </cell>
          <cell r="P595" t="str">
            <v>TEFC</v>
          </cell>
          <cell r="R595" t="str">
            <v>Continuous</v>
          </cell>
          <cell r="S595" t="str">
            <v>No</v>
          </cell>
          <cell r="T595" t="str">
            <v>yes</v>
          </cell>
          <cell r="U595" t="str">
            <v>40</v>
          </cell>
          <cell r="V595" t="str">
            <v>3</v>
          </cell>
          <cell r="W595" t="str">
            <v>60</v>
          </cell>
          <cell r="X595" t="str">
            <v>460</v>
          </cell>
          <cell r="Y595" t="str">
            <v>35.0</v>
          </cell>
          <cell r="AA595" t="str">
            <v>F1</v>
          </cell>
          <cell r="AG595" t="str">
            <v>HP</v>
          </cell>
          <cell r="AO595" t="str">
            <v>B</v>
          </cell>
          <cell r="AP595" t="str">
            <v>G</v>
          </cell>
          <cell r="AQ595" t="str">
            <v>F</v>
          </cell>
          <cell r="AR595" t="str">
            <v>86.9</v>
          </cell>
          <cell r="AS595" t="str">
            <v>1.15</v>
          </cell>
          <cell r="AT595" t="str">
            <v>93.6</v>
          </cell>
          <cell r="AV595" t="b">
            <v>0</v>
          </cell>
          <cell r="EW595" t="str">
            <v>8P30P2C</v>
          </cell>
          <cell r="EX595" t="str">
            <v>T 05 7522957-0039 M 0005</v>
          </cell>
          <cell r="HD595" t="str">
            <v>Repair Shop</v>
          </cell>
          <cell r="HT595" t="b">
            <v>0</v>
          </cell>
          <cell r="HU595" t="str">
            <v>PHILLIPS 66</v>
          </cell>
        </row>
        <row r="596">
          <cell r="A596">
            <v>4177</v>
          </cell>
          <cell r="B596" t="str">
            <v>VEM1104</v>
          </cell>
          <cell r="D596" t="str">
            <v>P66</v>
          </cell>
          <cell r="F596" t="str">
            <v>US Motors</v>
          </cell>
          <cell r="I596" t="str">
            <v>15-182T-41</v>
          </cell>
          <cell r="K596" t="str">
            <v>1.5</v>
          </cell>
          <cell r="L596" t="str">
            <v>1145</v>
          </cell>
          <cell r="O596" t="str">
            <v>None</v>
          </cell>
          <cell r="P596" t="str">
            <v>TEFC</v>
          </cell>
          <cell r="R596" t="str">
            <v>Continuous</v>
          </cell>
          <cell r="U596" t="str">
            <v>40</v>
          </cell>
          <cell r="V596" t="str">
            <v>3</v>
          </cell>
          <cell r="W596" t="str">
            <v>60</v>
          </cell>
          <cell r="X596" t="str">
            <v>230/460</v>
          </cell>
          <cell r="Y596" t="str">
            <v>8.5/4.25</v>
          </cell>
          <cell r="AG596" t="str">
            <v>HP</v>
          </cell>
          <cell r="AO596" t="str">
            <v>B</v>
          </cell>
          <cell r="AP596" t="str">
            <v>K</v>
          </cell>
          <cell r="AV596" t="b">
            <v>0</v>
          </cell>
          <cell r="EX596" t="str">
            <v>64-02 134-833 J27 90306</v>
          </cell>
          <cell r="GK596" t="str">
            <v>Gear ratio 209.0</v>
          </cell>
          <cell r="GL596" t="str">
            <v>R[pm min 1.5 max 6</v>
          </cell>
          <cell r="HD596" t="str">
            <v>Repair Shop</v>
          </cell>
          <cell r="HT596" t="b">
            <v>0</v>
          </cell>
          <cell r="HU596" t="str">
            <v>PHILLIPS 66</v>
          </cell>
        </row>
        <row r="597">
          <cell r="A597">
            <v>4176</v>
          </cell>
          <cell r="B597" t="str">
            <v>VEM1103</v>
          </cell>
          <cell r="D597" t="str">
            <v>EURO</v>
          </cell>
          <cell r="F597" t="str">
            <v>ATB</v>
          </cell>
          <cell r="H597" t="str">
            <v>231622801-2</v>
          </cell>
          <cell r="K597" t="str">
            <v>6.6</v>
          </cell>
          <cell r="L597" t="str">
            <v>3455</v>
          </cell>
          <cell r="O597" t="str">
            <v>Full no Cord</v>
          </cell>
          <cell r="P597" t="str">
            <v>TEFC</v>
          </cell>
          <cell r="R597" t="str">
            <v>Continuous</v>
          </cell>
          <cell r="S597" t="str">
            <v>Yes</v>
          </cell>
          <cell r="U597" t="str">
            <v>45</v>
          </cell>
          <cell r="V597" t="str">
            <v>3</v>
          </cell>
          <cell r="W597" t="str">
            <v>60</v>
          </cell>
          <cell r="X597" t="str">
            <v>200-280/346-480</v>
          </cell>
          <cell r="Y597" t="str">
            <v>28-21/16-12</v>
          </cell>
          <cell r="AG597" t="str">
            <v>KW</v>
          </cell>
          <cell r="AQ597" t="str">
            <v>F</v>
          </cell>
          <cell r="AV597" t="b">
            <v>0</v>
          </cell>
          <cell r="DW597" t="str">
            <v>6.5kw</v>
          </cell>
          <cell r="HD597" t="str">
            <v>Repair Shop</v>
          </cell>
          <cell r="HT597" t="b">
            <v>0</v>
          </cell>
          <cell r="HU597" t="str">
            <v>EURO-MACHINES, INC.</v>
          </cell>
        </row>
        <row r="598">
          <cell r="A598">
            <v>4175</v>
          </cell>
          <cell r="B598" t="str">
            <v>VEM1102</v>
          </cell>
          <cell r="D598" t="str">
            <v>EURO</v>
          </cell>
          <cell r="F598" t="str">
            <v>ATB</v>
          </cell>
          <cell r="H598" t="str">
            <v>231448801-2</v>
          </cell>
          <cell r="K598" t="str">
            <v>6.6</v>
          </cell>
          <cell r="L598" t="str">
            <v>3455</v>
          </cell>
          <cell r="N598" t="str">
            <v>50kg</v>
          </cell>
          <cell r="O598" t="str">
            <v>Full no Cord</v>
          </cell>
          <cell r="P598" t="str">
            <v>TEFC</v>
          </cell>
          <cell r="R598" t="str">
            <v>Continuous</v>
          </cell>
          <cell r="S598" t="str">
            <v>Yes</v>
          </cell>
          <cell r="U598" t="str">
            <v>45</v>
          </cell>
          <cell r="V598" t="str">
            <v>3</v>
          </cell>
          <cell r="W598" t="str">
            <v>60</v>
          </cell>
          <cell r="X598" t="str">
            <v>200-280/346-480</v>
          </cell>
          <cell r="Y598" t="str">
            <v>28-21/16-12</v>
          </cell>
          <cell r="AG598" t="str">
            <v>KW</v>
          </cell>
          <cell r="AQ598" t="str">
            <v>F</v>
          </cell>
          <cell r="AV598" t="b">
            <v>0</v>
          </cell>
          <cell r="DW598" t="str">
            <v>6.5kw</v>
          </cell>
          <cell r="HD598" t="str">
            <v>Repair Shop</v>
          </cell>
          <cell r="HT598" t="b">
            <v>0</v>
          </cell>
          <cell r="HU598" t="str">
            <v>EURO-MACHINES, INC.</v>
          </cell>
        </row>
        <row r="599">
          <cell r="A599">
            <v>4174</v>
          </cell>
          <cell r="B599" t="str">
            <v>VEM1101</v>
          </cell>
          <cell r="D599" t="str">
            <v>P66</v>
          </cell>
          <cell r="F599" t="str">
            <v>US Motors</v>
          </cell>
          <cell r="I599" t="str">
            <v>286T</v>
          </cell>
          <cell r="K599" t="str">
            <v>30</v>
          </cell>
          <cell r="L599" t="str">
            <v>1775</v>
          </cell>
          <cell r="M599" t="str">
            <v>TCE</v>
          </cell>
          <cell r="O599" t="str">
            <v>Full no Cord</v>
          </cell>
          <cell r="P599" t="str">
            <v>TEFC</v>
          </cell>
          <cell r="R599" t="str">
            <v>Continuous</v>
          </cell>
          <cell r="S599" t="str">
            <v>Yes</v>
          </cell>
          <cell r="T599" t="str">
            <v>key only</v>
          </cell>
          <cell r="U599" t="str">
            <v>40</v>
          </cell>
          <cell r="V599" t="str">
            <v>3</v>
          </cell>
          <cell r="W599" t="str">
            <v>60</v>
          </cell>
          <cell r="Z599" t="str">
            <v>Yes</v>
          </cell>
          <cell r="AA599" t="str">
            <v>F1</v>
          </cell>
          <cell r="AG599" t="str">
            <v>HP</v>
          </cell>
          <cell r="AI599" t="str">
            <v>6310</v>
          </cell>
          <cell r="AJ599" t="str">
            <v>6210</v>
          </cell>
          <cell r="AO599" t="str">
            <v>B</v>
          </cell>
          <cell r="AP599" t="str">
            <v>G</v>
          </cell>
          <cell r="AQ599" t="str">
            <v>F</v>
          </cell>
          <cell r="AS599" t="str">
            <v>1.15</v>
          </cell>
          <cell r="AV599" t="b">
            <v>0</v>
          </cell>
          <cell r="HD599" t="str">
            <v>Repair Shop</v>
          </cell>
          <cell r="HT599" t="b">
            <v>0</v>
          </cell>
          <cell r="HU599" t="str">
            <v>PHILLIPS 66</v>
          </cell>
        </row>
        <row r="600">
          <cell r="A600">
            <v>4173</v>
          </cell>
          <cell r="B600" t="str">
            <v>VEM1100</v>
          </cell>
          <cell r="D600" t="str">
            <v>P66</v>
          </cell>
          <cell r="F600" t="str">
            <v>Reliance</v>
          </cell>
          <cell r="I600" t="str">
            <v>256T</v>
          </cell>
          <cell r="K600" t="str">
            <v>20</v>
          </cell>
          <cell r="L600" t="str">
            <v>1765</v>
          </cell>
          <cell r="M600" t="str">
            <v>P</v>
          </cell>
          <cell r="O600" t="str">
            <v>Full no Cord</v>
          </cell>
          <cell r="P600" t="str">
            <v>TEFC</v>
          </cell>
          <cell r="R600" t="str">
            <v>Continuous</v>
          </cell>
          <cell r="S600" t="str">
            <v>No</v>
          </cell>
          <cell r="T600" t="str">
            <v>key only</v>
          </cell>
          <cell r="U600" t="str">
            <v>40</v>
          </cell>
          <cell r="V600" t="str">
            <v>3</v>
          </cell>
          <cell r="W600" t="str">
            <v>60</v>
          </cell>
          <cell r="X600" t="str">
            <v>460</v>
          </cell>
          <cell r="Y600" t="str">
            <v>24.0</v>
          </cell>
          <cell r="Z600" t="str">
            <v>Yes</v>
          </cell>
          <cell r="AA600" t="str">
            <v>F1</v>
          </cell>
          <cell r="AD600" t="str">
            <v>0</v>
          </cell>
          <cell r="AG600" t="str">
            <v>HP</v>
          </cell>
          <cell r="AO600" t="str">
            <v>B</v>
          </cell>
          <cell r="AP600" t="str">
            <v>G</v>
          </cell>
          <cell r="AQ600" t="str">
            <v>F</v>
          </cell>
          <cell r="AR600" t="str">
            <v>83.8</v>
          </cell>
          <cell r="AS600" t="str">
            <v>1.15</v>
          </cell>
          <cell r="AT600" t="str">
            <v>93.0</v>
          </cell>
          <cell r="AV600" t="b">
            <v>0</v>
          </cell>
          <cell r="EX600" t="str">
            <v>HM421183-010-AK</v>
          </cell>
          <cell r="HD600" t="str">
            <v>Repair Shop</v>
          </cell>
          <cell r="HT600" t="b">
            <v>0</v>
          </cell>
          <cell r="HU600" t="str">
            <v>PHILLIPS 66</v>
          </cell>
        </row>
        <row r="601">
          <cell r="A601">
            <v>4172</v>
          </cell>
          <cell r="B601" t="str">
            <v>VEM1099</v>
          </cell>
          <cell r="D601" t="str">
            <v>P66</v>
          </cell>
          <cell r="F601" t="str">
            <v>Reliance</v>
          </cell>
          <cell r="I601" t="str">
            <v>182HPZ</v>
          </cell>
          <cell r="K601" t="str">
            <v>3</v>
          </cell>
          <cell r="L601" t="str">
            <v>1755</v>
          </cell>
          <cell r="M601" t="str">
            <v>P</v>
          </cell>
          <cell r="N601" t="str">
            <v>138</v>
          </cell>
          <cell r="O601" t="str">
            <v>Full no Cord</v>
          </cell>
          <cell r="P601" t="str">
            <v>TEFC</v>
          </cell>
          <cell r="R601" t="str">
            <v>Continuous</v>
          </cell>
          <cell r="T601" t="str">
            <v>yes</v>
          </cell>
          <cell r="U601" t="str">
            <v>40</v>
          </cell>
          <cell r="V601" t="str">
            <v>3</v>
          </cell>
          <cell r="W601" t="str">
            <v>60</v>
          </cell>
          <cell r="X601" t="str">
            <v>460</v>
          </cell>
          <cell r="Y601" t="str">
            <v>3.80</v>
          </cell>
          <cell r="AA601" t="str">
            <v>Vertical</v>
          </cell>
          <cell r="AG601" t="str">
            <v>HP</v>
          </cell>
          <cell r="AO601" t="str">
            <v>B</v>
          </cell>
          <cell r="AP601" t="str">
            <v>K</v>
          </cell>
          <cell r="AQ601" t="str">
            <v>F</v>
          </cell>
          <cell r="AR601" t="str">
            <v>83.5</v>
          </cell>
          <cell r="AS601" t="str">
            <v>1.15</v>
          </cell>
          <cell r="AT601" t="str">
            <v>88.5</v>
          </cell>
          <cell r="AV601" t="b">
            <v>0</v>
          </cell>
          <cell r="EX601" t="str">
            <v>6329999  G004  DF</v>
          </cell>
          <cell r="HD601" t="str">
            <v>Repair Shop</v>
          </cell>
          <cell r="HT601" t="b">
            <v>0</v>
          </cell>
          <cell r="HU601" t="str">
            <v>PHILLIPS 66</v>
          </cell>
        </row>
        <row r="602">
          <cell r="A602">
            <v>4171</v>
          </cell>
          <cell r="B602" t="str">
            <v>VEM1098</v>
          </cell>
          <cell r="D602" t="str">
            <v>PANPACIFIC</v>
          </cell>
          <cell r="F602" t="str">
            <v>US Motors</v>
          </cell>
          <cell r="I602" t="str">
            <v>405T</v>
          </cell>
          <cell r="K602" t="str">
            <v>40</v>
          </cell>
          <cell r="L602" t="str">
            <v>710</v>
          </cell>
          <cell r="M602" t="str">
            <v>CT1</v>
          </cell>
          <cell r="N602" t="str">
            <v>1180</v>
          </cell>
          <cell r="O602" t="str">
            <v>Full no Cord</v>
          </cell>
          <cell r="P602" t="str">
            <v>TEFC</v>
          </cell>
          <cell r="R602" t="str">
            <v>Continuous</v>
          </cell>
          <cell r="S602" t="str">
            <v>Yes</v>
          </cell>
          <cell r="T602" t="str">
            <v>yes</v>
          </cell>
          <cell r="U602" t="str">
            <v>40</v>
          </cell>
          <cell r="V602" t="str">
            <v>3</v>
          </cell>
          <cell r="W602" t="str">
            <v>60</v>
          </cell>
          <cell r="X602" t="str">
            <v>460</v>
          </cell>
          <cell r="Y602" t="str">
            <v>56</v>
          </cell>
          <cell r="AA602" t="str">
            <v>F1</v>
          </cell>
          <cell r="AG602" t="str">
            <v>HP</v>
          </cell>
          <cell r="AI602" t="str">
            <v>6217</v>
          </cell>
          <cell r="AJ602" t="str">
            <v>6214</v>
          </cell>
          <cell r="AO602" t="str">
            <v>B</v>
          </cell>
          <cell r="AP602" t="str">
            <v>F</v>
          </cell>
          <cell r="AQ602" t="str">
            <v>F</v>
          </cell>
          <cell r="AS602" t="str">
            <v>1.15</v>
          </cell>
          <cell r="AT602" t="str">
            <v>92.4</v>
          </cell>
          <cell r="AV602" t="b">
            <v>0</v>
          </cell>
          <cell r="EW602" t="str">
            <v>H40V5C-P</v>
          </cell>
          <cell r="EX602" t="str">
            <v>L06 20075582-100R-01</v>
          </cell>
          <cell r="HD602" t="str">
            <v>Repair Shop</v>
          </cell>
          <cell r="HT602" t="b">
            <v>0</v>
          </cell>
          <cell r="HU602" t="str">
            <v>PAN PACIFIC SUPPLY CO.</v>
          </cell>
        </row>
        <row r="603">
          <cell r="A603">
            <v>4170</v>
          </cell>
          <cell r="B603" t="str">
            <v>VEM1097</v>
          </cell>
          <cell r="D603" t="str">
            <v>OCEANGOLD</v>
          </cell>
          <cell r="F603" t="str">
            <v>Sew</v>
          </cell>
          <cell r="K603" t="str">
            <v>3</v>
          </cell>
          <cell r="L603" t="str">
            <v>1720</v>
          </cell>
          <cell r="M603" t="str">
            <v>DFT100LS4BMG4HR-KS</v>
          </cell>
          <cell r="O603" t="str">
            <v>Half no Cord</v>
          </cell>
          <cell r="P603" t="str">
            <v>TEFC</v>
          </cell>
          <cell r="R603" t="str">
            <v>Intermittant</v>
          </cell>
          <cell r="S603" t="str">
            <v>No</v>
          </cell>
          <cell r="U603" t="str">
            <v>40</v>
          </cell>
          <cell r="V603" t="str">
            <v>3</v>
          </cell>
          <cell r="W603" t="str">
            <v>60</v>
          </cell>
          <cell r="Y603" t="str">
            <v>8.6/4.3</v>
          </cell>
          <cell r="AA603" t="str">
            <v>Vertical</v>
          </cell>
          <cell r="AD603" t="str">
            <v>0</v>
          </cell>
          <cell r="AG603" t="str">
            <v>HP</v>
          </cell>
          <cell r="AO603" t="str">
            <v>B</v>
          </cell>
          <cell r="AP603" t="str">
            <v>J</v>
          </cell>
          <cell r="AS603" t="str">
            <v>1.15</v>
          </cell>
          <cell r="AV603" t="b">
            <v>0</v>
          </cell>
          <cell r="HD603" t="str">
            <v>Repair Shop</v>
          </cell>
          <cell r="HT603" t="b">
            <v>0</v>
          </cell>
          <cell r="HU603" t="str">
            <v>Oceangold</v>
          </cell>
        </row>
        <row r="604">
          <cell r="A604">
            <v>4169</v>
          </cell>
          <cell r="B604" t="str">
            <v>VEM1096</v>
          </cell>
          <cell r="D604" t="str">
            <v>COCACOLA</v>
          </cell>
          <cell r="F604" t="str">
            <v>CEP</v>
          </cell>
          <cell r="G604" t="str">
            <v>3WX63A2</v>
          </cell>
          <cell r="K604" t="str">
            <v>.16</v>
          </cell>
          <cell r="L604" t="str">
            <v>2700</v>
          </cell>
          <cell r="W604" t="str">
            <v>50</v>
          </cell>
          <cell r="X604" t="str">
            <v>230</v>
          </cell>
          <cell r="Y604" t="str">
            <v>1.4</v>
          </cell>
          <cell r="AG604" t="str">
            <v>KW</v>
          </cell>
          <cell r="AV604" t="b">
            <v>0</v>
          </cell>
          <cell r="HD604" t="str">
            <v>Repair Shop</v>
          </cell>
          <cell r="HT604" t="b">
            <v>0</v>
          </cell>
          <cell r="HU604" t="str">
            <v>COCA COLA</v>
          </cell>
        </row>
        <row r="605">
          <cell r="A605">
            <v>4168</v>
          </cell>
          <cell r="B605" t="str">
            <v>VEM1095</v>
          </cell>
          <cell r="D605" t="str">
            <v>FRFLD-SUISUN</v>
          </cell>
          <cell r="AD605" t="str">
            <v>0</v>
          </cell>
          <cell r="AG605" t="str">
            <v>HP</v>
          </cell>
          <cell r="AV605" t="b">
            <v>0</v>
          </cell>
          <cell r="HD605" t="str">
            <v>Repair Shop</v>
          </cell>
          <cell r="HT605" t="b">
            <v>0</v>
          </cell>
          <cell r="HU605" t="str">
            <v>FAIRFIELD-SUISUN SEWER DISTRICT</v>
          </cell>
        </row>
        <row r="606">
          <cell r="A606">
            <v>4167</v>
          </cell>
          <cell r="B606" t="str">
            <v>VEM1094</v>
          </cell>
          <cell r="D606" t="str">
            <v>VALERO</v>
          </cell>
          <cell r="AG606" t="str">
            <v>HP</v>
          </cell>
          <cell r="AV606" t="b">
            <v>0</v>
          </cell>
          <cell r="HD606" t="str">
            <v>Repair Shop</v>
          </cell>
          <cell r="HT606" t="b">
            <v>0</v>
          </cell>
          <cell r="HU606" t="str">
            <v>VALERO REFINING CO. BENICIA</v>
          </cell>
        </row>
        <row r="607">
          <cell r="A607">
            <v>4166</v>
          </cell>
          <cell r="B607" t="str">
            <v>VEM1093</v>
          </cell>
          <cell r="D607" t="str">
            <v>CROCKETTCOGEN</v>
          </cell>
          <cell r="F607" t="str">
            <v>US Motors</v>
          </cell>
          <cell r="I607" t="str">
            <v>364TS</v>
          </cell>
          <cell r="K607" t="str">
            <v>60</v>
          </cell>
          <cell r="L607" t="str">
            <v>3545</v>
          </cell>
          <cell r="M607" t="str">
            <v>CT</v>
          </cell>
          <cell r="O607" t="str">
            <v>Full no Cord</v>
          </cell>
          <cell r="P607" t="str">
            <v>TEFC</v>
          </cell>
          <cell r="R607" t="str">
            <v>Continuous</v>
          </cell>
          <cell r="S607" t="str">
            <v>Yes</v>
          </cell>
          <cell r="T607" t="str">
            <v>yes</v>
          </cell>
          <cell r="U607" t="str">
            <v>40</v>
          </cell>
          <cell r="V607" t="str">
            <v>3</v>
          </cell>
          <cell r="W607" t="str">
            <v>60</v>
          </cell>
          <cell r="X607" t="str">
            <v>230/460</v>
          </cell>
          <cell r="Y607" t="str">
            <v>142/71</v>
          </cell>
          <cell r="AA607" t="str">
            <v>F1</v>
          </cell>
          <cell r="AD607" t="str">
            <v>0</v>
          </cell>
          <cell r="AG607" t="str">
            <v>HP</v>
          </cell>
          <cell r="AI607" t="str">
            <v>6212</v>
          </cell>
          <cell r="AJ607" t="str">
            <v>6212</v>
          </cell>
          <cell r="AO607" t="str">
            <v>B</v>
          </cell>
          <cell r="AP607" t="str">
            <v>G</v>
          </cell>
          <cell r="AQ607" t="str">
            <v>F</v>
          </cell>
          <cell r="AS607" t="str">
            <v>1.15</v>
          </cell>
          <cell r="AT607" t="str">
            <v>90.2</v>
          </cell>
          <cell r="AV607" t="b">
            <v>0</v>
          </cell>
          <cell r="EX607" t="str">
            <v>RXO8X2150035GT-01</v>
          </cell>
          <cell r="HD607" t="str">
            <v>Repair Shop</v>
          </cell>
          <cell r="HT607" t="b">
            <v>0</v>
          </cell>
          <cell r="HU607" t="str">
            <v>CROCKETT COGEN</v>
          </cell>
        </row>
        <row r="608">
          <cell r="A608">
            <v>4165</v>
          </cell>
          <cell r="B608" t="str">
            <v>VEM1092</v>
          </cell>
          <cell r="D608" t="str">
            <v>C&amp;H</v>
          </cell>
          <cell r="F608" t="str">
            <v>Baldor</v>
          </cell>
          <cell r="G608" t="str">
            <v>E-PACT</v>
          </cell>
          <cell r="K608" t="str">
            <v>15</v>
          </cell>
          <cell r="L608" t="str">
            <v>1800</v>
          </cell>
          <cell r="R608" t="str">
            <v>Continuous</v>
          </cell>
          <cell r="S608" t="str">
            <v>Yes</v>
          </cell>
          <cell r="V608" t="str">
            <v>3</v>
          </cell>
          <cell r="W608" t="str">
            <v>60</v>
          </cell>
          <cell r="X608" t="str">
            <v>230/460</v>
          </cell>
          <cell r="AA608" t="str">
            <v>F1</v>
          </cell>
          <cell r="AG608" t="str">
            <v>HP</v>
          </cell>
          <cell r="AV608" t="b">
            <v>0</v>
          </cell>
          <cell r="BY608" t="str">
            <v>14.35</v>
          </cell>
          <cell r="BZ608" t="str">
            <v>1800</v>
          </cell>
          <cell r="CE608" t="str">
            <v>15</v>
          </cell>
          <cell r="GK608" t="str">
            <v>GEARBOX</v>
          </cell>
          <cell r="HD608" t="str">
            <v>Repair Shop</v>
          </cell>
          <cell r="HT608" t="b">
            <v>0</v>
          </cell>
          <cell r="HU608" t="str">
            <v>C &amp; H SUGAR CO.</v>
          </cell>
        </row>
        <row r="609">
          <cell r="A609">
            <v>4164</v>
          </cell>
          <cell r="B609" t="str">
            <v>VEM1091</v>
          </cell>
          <cell r="D609" t="str">
            <v>CONHAGEN</v>
          </cell>
          <cell r="F609" t="str">
            <v>AO Smith</v>
          </cell>
          <cell r="G609" t="str">
            <v>7-332726-03</v>
          </cell>
          <cell r="I609" t="str">
            <v>P143JM</v>
          </cell>
          <cell r="K609" t="str">
            <v>1</v>
          </cell>
          <cell r="L609" t="str">
            <v>1800</v>
          </cell>
          <cell r="P609" t="str">
            <v>DP</v>
          </cell>
          <cell r="R609" t="str">
            <v>Continuous</v>
          </cell>
          <cell r="V609" t="str">
            <v>1</v>
          </cell>
          <cell r="W609" t="str">
            <v>60</v>
          </cell>
          <cell r="X609" t="str">
            <v>115/230</v>
          </cell>
          <cell r="Y609" t="str">
            <v>7.5/15</v>
          </cell>
          <cell r="AG609" t="str">
            <v>HP</v>
          </cell>
          <cell r="AV609" t="b">
            <v>0</v>
          </cell>
          <cell r="HD609" t="str">
            <v>Repair Shop</v>
          </cell>
          <cell r="HT609" t="b">
            <v>0</v>
          </cell>
          <cell r="HU609" t="str">
            <v>ALFRED CONHAGEN CO. OF CA</v>
          </cell>
        </row>
        <row r="610">
          <cell r="A610">
            <v>4163</v>
          </cell>
          <cell r="B610" t="str">
            <v>VEM1090</v>
          </cell>
          <cell r="D610" t="str">
            <v>GONZELECT</v>
          </cell>
          <cell r="F610" t="str">
            <v>ENDURA</v>
          </cell>
          <cell r="H610" t="str">
            <v>CT3083001002</v>
          </cell>
          <cell r="I610" t="str">
            <v>184HPZ</v>
          </cell>
          <cell r="K610" t="str">
            <v>3.7</v>
          </cell>
          <cell r="L610" t="str">
            <v>1745</v>
          </cell>
          <cell r="N610" t="str">
            <v>129</v>
          </cell>
          <cell r="O610" t="str">
            <v>Full no Cord</v>
          </cell>
          <cell r="P610" t="str">
            <v>TEFC</v>
          </cell>
          <cell r="R610" t="str">
            <v>Continuous</v>
          </cell>
          <cell r="U610" t="str">
            <v>40</v>
          </cell>
          <cell r="V610" t="str">
            <v>3</v>
          </cell>
          <cell r="W610" t="str">
            <v>60</v>
          </cell>
          <cell r="X610" t="str">
            <v>230/460</v>
          </cell>
          <cell r="Y610" t="str">
            <v>12.3/6.10</v>
          </cell>
          <cell r="AA610" t="str">
            <v>Vertical</v>
          </cell>
          <cell r="AG610" t="str">
            <v>HP</v>
          </cell>
          <cell r="AH610" t="str">
            <v>FLOAT</v>
          </cell>
          <cell r="AO610" t="str">
            <v>B</v>
          </cell>
          <cell r="AP610" t="str">
            <v>J</v>
          </cell>
          <cell r="AQ610" t="str">
            <v>F</v>
          </cell>
          <cell r="AT610" t="str">
            <v>87.5</v>
          </cell>
          <cell r="AV610" t="b">
            <v>0</v>
          </cell>
          <cell r="GK610" t="str">
            <v>SHAFT TO TURN FLOAT</v>
          </cell>
          <cell r="HD610" t="str">
            <v>Repair Shop</v>
          </cell>
          <cell r="HT610" t="b">
            <v>0</v>
          </cell>
          <cell r="HU610" t="str">
            <v>GONZALEZ ELECTRIC</v>
          </cell>
        </row>
        <row r="611">
          <cell r="A611">
            <v>4162</v>
          </cell>
          <cell r="B611" t="str">
            <v>VEM1089</v>
          </cell>
          <cell r="D611" t="str">
            <v>TURBO</v>
          </cell>
          <cell r="F611" t="str">
            <v>Reliance</v>
          </cell>
          <cell r="G611" t="str">
            <v>XE-X IEE-45/ABS</v>
          </cell>
          <cell r="I611" t="str">
            <v>180LPZ</v>
          </cell>
          <cell r="K611" t="str">
            <v>5</v>
          </cell>
          <cell r="L611" t="str">
            <v>1750</v>
          </cell>
          <cell r="M611" t="str">
            <v>P</v>
          </cell>
          <cell r="N611" t="str">
            <v>163</v>
          </cell>
          <cell r="O611" t="str">
            <v>Full no Cord</v>
          </cell>
          <cell r="P611" t="str">
            <v>TEFC</v>
          </cell>
          <cell r="R611" t="str">
            <v>Continuous</v>
          </cell>
          <cell r="U611" t="str">
            <v>40</v>
          </cell>
          <cell r="V611" t="str">
            <v>3</v>
          </cell>
          <cell r="W611" t="str">
            <v>60</v>
          </cell>
          <cell r="X611" t="str">
            <v>230/460</v>
          </cell>
          <cell r="Y611" t="str">
            <v>12.2/6.10</v>
          </cell>
          <cell r="AA611" t="str">
            <v>Vertical</v>
          </cell>
          <cell r="AG611" t="str">
            <v>HP</v>
          </cell>
          <cell r="AO611" t="str">
            <v>B</v>
          </cell>
          <cell r="AP611" t="str">
            <v>J</v>
          </cell>
          <cell r="AQ611" t="str">
            <v>F</v>
          </cell>
          <cell r="AT611" t="str">
            <v>87.5</v>
          </cell>
          <cell r="AV611" t="b">
            <v>0</v>
          </cell>
          <cell r="EX611" t="str">
            <v>10MAN98338 G001 LD</v>
          </cell>
          <cell r="HD611" t="str">
            <v>Repair Shop</v>
          </cell>
          <cell r="HT611" t="b">
            <v>0</v>
          </cell>
          <cell r="HU611" t="str">
            <v>TURBO MACHINE</v>
          </cell>
        </row>
        <row r="612">
          <cell r="A612">
            <v>4161</v>
          </cell>
          <cell r="B612" t="str">
            <v>VEM1088</v>
          </cell>
          <cell r="D612" t="str">
            <v>EDF SCRAP</v>
          </cell>
          <cell r="F612" t="str">
            <v>LTI REENERGY</v>
          </cell>
          <cell r="G612" t="str">
            <v>FGVH 112LL-4-D-F-D-C</v>
          </cell>
          <cell r="H612" t="str">
            <v>000467818</v>
          </cell>
          <cell r="K612" t="str">
            <v>4.4/9.6</v>
          </cell>
          <cell r="L612" t="str">
            <v>1400</v>
          </cell>
          <cell r="P612" t="str">
            <v>Forced Vent</v>
          </cell>
          <cell r="U612" t="str">
            <v>50</v>
          </cell>
          <cell r="X612" t="str">
            <v>288DC</v>
          </cell>
          <cell r="Y612" t="str">
            <v>18</v>
          </cell>
          <cell r="AG612" t="str">
            <v>KW</v>
          </cell>
          <cell r="AV612" t="b">
            <v>0</v>
          </cell>
          <cell r="CM612" t="str">
            <v>100NM</v>
          </cell>
          <cell r="CN612" t="str">
            <v>288</v>
          </cell>
          <cell r="CO612" t="str">
            <v>.17</v>
          </cell>
          <cell r="EQ612" t="str">
            <v>56</v>
          </cell>
          <cell r="ES612" t="str">
            <v>.76</v>
          </cell>
          <cell r="EX612" t="str">
            <v>681-00107</v>
          </cell>
          <cell r="GK612" t="str">
            <v>230 V HEATER .22A 50W</v>
          </cell>
          <cell r="GL612" t="str">
            <v>230V BLOWER .61A 140 W 2100RPM</v>
          </cell>
          <cell r="GM612" t="str">
            <v>S/N 000467818</v>
          </cell>
          <cell r="HD612" t="str">
            <v>Repair Shop</v>
          </cell>
          <cell r="HO612" t="str">
            <v>920</v>
          </cell>
          <cell r="HT612" t="b">
            <v>0</v>
          </cell>
          <cell r="HU612" t="str">
            <v>EDF RENEWABLES FOR SCRAP ONLY</v>
          </cell>
        </row>
        <row r="613">
          <cell r="A613">
            <v>4160</v>
          </cell>
          <cell r="B613" t="str">
            <v>VEM1087</v>
          </cell>
          <cell r="D613" t="str">
            <v>EDF SCRAP</v>
          </cell>
          <cell r="F613" t="str">
            <v>MOOG</v>
          </cell>
          <cell r="G613" t="str">
            <v>FGVH 112LL-4-D-F-D-C</v>
          </cell>
          <cell r="H613" t="str">
            <v>521762</v>
          </cell>
          <cell r="K613" t="str">
            <v>4.4/9.6</v>
          </cell>
          <cell r="L613" t="str">
            <v>1400</v>
          </cell>
          <cell r="P613" t="str">
            <v>Forced Vent</v>
          </cell>
          <cell r="U613" t="str">
            <v>50</v>
          </cell>
          <cell r="X613" t="str">
            <v>288DC</v>
          </cell>
          <cell r="Y613" t="str">
            <v>18</v>
          </cell>
          <cell r="AG613" t="str">
            <v>HP</v>
          </cell>
          <cell r="AV613" t="b">
            <v>0</v>
          </cell>
          <cell r="CM613" t="str">
            <v>100NM</v>
          </cell>
          <cell r="CN613" t="str">
            <v>288</v>
          </cell>
          <cell r="CO613" t="str">
            <v>.17</v>
          </cell>
          <cell r="EQ613" t="str">
            <v>56</v>
          </cell>
          <cell r="ES613" t="str">
            <v>.76</v>
          </cell>
          <cell r="EX613" t="str">
            <v>681-00107</v>
          </cell>
          <cell r="GK613" t="str">
            <v>230 VOLT HEATER .22A 50W</v>
          </cell>
          <cell r="GL613" t="str">
            <v>230 V BLOWER .61A 140W 2100RPM</v>
          </cell>
          <cell r="GM613" t="str">
            <v>S/N 521762</v>
          </cell>
          <cell r="HD613" t="str">
            <v>Repair Shop</v>
          </cell>
          <cell r="HO613" t="str">
            <v>920</v>
          </cell>
          <cell r="HT613" t="b">
            <v>0</v>
          </cell>
          <cell r="HU613" t="str">
            <v>EDF RENEWABLES FOR SCRAP ONLY</v>
          </cell>
        </row>
        <row r="614">
          <cell r="A614">
            <v>4159</v>
          </cell>
          <cell r="B614" t="str">
            <v>VEM1086</v>
          </cell>
          <cell r="D614" t="str">
            <v>EDF SCRAP</v>
          </cell>
          <cell r="F614" t="str">
            <v>LUST DRIVETRONICS</v>
          </cell>
          <cell r="G614" t="str">
            <v>FGVH 112LL-4-D-F-D-C</v>
          </cell>
          <cell r="H614" t="str">
            <v>000469227</v>
          </cell>
          <cell r="K614" t="str">
            <v>4.4/9.6</v>
          </cell>
          <cell r="L614" t="str">
            <v>1400</v>
          </cell>
          <cell r="P614" t="str">
            <v>Forced Vent</v>
          </cell>
          <cell r="X614" t="str">
            <v>288DC</v>
          </cell>
          <cell r="AG614" t="str">
            <v>KW</v>
          </cell>
          <cell r="AV614" t="b">
            <v>0</v>
          </cell>
          <cell r="CM614" t="str">
            <v>100NM</v>
          </cell>
          <cell r="CN614" t="str">
            <v>288</v>
          </cell>
          <cell r="CO614" t="str">
            <v>.17</v>
          </cell>
          <cell r="EQ614" t="str">
            <v>56</v>
          </cell>
          <cell r="ES614" t="str">
            <v>.76</v>
          </cell>
          <cell r="EX614" t="str">
            <v>681-00107</v>
          </cell>
          <cell r="GK614" t="str">
            <v>230 VOLT HEATER .22 50W</v>
          </cell>
          <cell r="GL614" t="str">
            <v>230V BLOWER .61A 140W 2100RPM</v>
          </cell>
          <cell r="GM614" t="str">
            <v>S/N 000469227</v>
          </cell>
          <cell r="HD614" t="str">
            <v>Repair Shop</v>
          </cell>
          <cell r="HO614" t="str">
            <v>920</v>
          </cell>
          <cell r="HT614" t="b">
            <v>0</v>
          </cell>
          <cell r="HU614" t="str">
            <v>EDF RENEWABLES FOR SCRAP ONLY</v>
          </cell>
        </row>
        <row r="615">
          <cell r="A615">
            <v>4157</v>
          </cell>
          <cell r="B615" t="str">
            <v>VEM1084</v>
          </cell>
          <cell r="D615" t="str">
            <v>EDF SCRAP</v>
          </cell>
          <cell r="F615" t="str">
            <v>LUST DRIVETRONICS</v>
          </cell>
          <cell r="G615" t="str">
            <v>FGVH112LL-4-D-F-D-C</v>
          </cell>
          <cell r="H615" t="str">
            <v>Mot no. 000462814</v>
          </cell>
          <cell r="K615" t="str">
            <v>4.4/9.6</v>
          </cell>
          <cell r="L615" t="str">
            <v>1400</v>
          </cell>
          <cell r="P615" t="str">
            <v>Forced Vent</v>
          </cell>
          <cell r="X615" t="str">
            <v>288DC</v>
          </cell>
          <cell r="Y615" t="str">
            <v>18</v>
          </cell>
          <cell r="AG615" t="str">
            <v>KW</v>
          </cell>
          <cell r="AV615" t="b">
            <v>0</v>
          </cell>
          <cell r="CM615" t="str">
            <v>100NM</v>
          </cell>
          <cell r="CN615" t="str">
            <v>288</v>
          </cell>
          <cell r="CO615" t="str">
            <v>.17</v>
          </cell>
          <cell r="EQ615" t="str">
            <v>56</v>
          </cell>
          <cell r="ES615" t="str">
            <v>.76</v>
          </cell>
          <cell r="EX615" t="str">
            <v>681-00107</v>
          </cell>
          <cell r="GK615" t="str">
            <v>230 VOLT HEATER .22A 50W</v>
          </cell>
          <cell r="GL615" t="str">
            <v>230VOLT BLOWER .61A 140W 2100RPM</v>
          </cell>
          <cell r="GM615" t="str">
            <v>S/N 000462814</v>
          </cell>
          <cell r="HD615" t="str">
            <v>Repair Shop</v>
          </cell>
          <cell r="HO615" t="str">
            <v>920</v>
          </cell>
          <cell r="HT615" t="b">
            <v>0</v>
          </cell>
          <cell r="HU615" t="str">
            <v>EDF RENEWABLES FOR SCRAP ONLY</v>
          </cell>
        </row>
        <row r="616">
          <cell r="A616">
            <v>4156</v>
          </cell>
          <cell r="B616" t="str">
            <v>VEM1083</v>
          </cell>
          <cell r="D616" t="str">
            <v>VALERO</v>
          </cell>
          <cell r="F616" t="str">
            <v>LOUIS ALLIS</v>
          </cell>
          <cell r="H616" t="str">
            <v>3259446M001</v>
          </cell>
          <cell r="I616" t="str">
            <v>449TP</v>
          </cell>
          <cell r="K616" t="str">
            <v>200</v>
          </cell>
          <cell r="L616" t="str">
            <v>3570</v>
          </cell>
          <cell r="M616" t="str">
            <v>WPIN</v>
          </cell>
          <cell r="N616" t="str">
            <v>2000</v>
          </cell>
          <cell r="R616" t="str">
            <v>Continuous</v>
          </cell>
          <cell r="V616" t="str">
            <v>3</v>
          </cell>
          <cell r="W616" t="str">
            <v>60</v>
          </cell>
          <cell r="X616" t="str">
            <v>4000</v>
          </cell>
          <cell r="Y616" t="str">
            <v>28</v>
          </cell>
          <cell r="AA616" t="str">
            <v>Vertical</v>
          </cell>
          <cell r="AD616" t="str">
            <v>-1</v>
          </cell>
          <cell r="AG616" t="str">
            <v>HP</v>
          </cell>
          <cell r="AP616" t="str">
            <v>G</v>
          </cell>
          <cell r="AS616" t="str">
            <v>1.0</v>
          </cell>
          <cell r="AV616" t="b">
            <v>0</v>
          </cell>
          <cell r="GK616" t="str">
            <v>COUPLING</v>
          </cell>
          <cell r="HD616" t="str">
            <v>Repair Shop</v>
          </cell>
          <cell r="HT616" t="b">
            <v>0</v>
          </cell>
          <cell r="HU616" t="str">
            <v>VALERO REFINING CO. BENICIA</v>
          </cell>
        </row>
        <row r="617">
          <cell r="A617">
            <v>4155</v>
          </cell>
          <cell r="B617" t="str">
            <v>VEM1082</v>
          </cell>
          <cell r="D617" t="str">
            <v>WOODLINE</v>
          </cell>
          <cell r="F617" t="str">
            <v>FIMEC</v>
          </cell>
          <cell r="K617" t="str">
            <v>18</v>
          </cell>
          <cell r="L617" t="str">
            <v>3400</v>
          </cell>
          <cell r="R617" t="str">
            <v>Continuous</v>
          </cell>
          <cell r="W617" t="str">
            <v>60</v>
          </cell>
          <cell r="X617" t="str">
            <v>220/440</v>
          </cell>
          <cell r="Y617" t="str">
            <v>68/34</v>
          </cell>
          <cell r="AA617" t="str">
            <v>Vertical</v>
          </cell>
          <cell r="AD617" t="str">
            <v>-1</v>
          </cell>
          <cell r="AG617" t="str">
            <v>KW</v>
          </cell>
          <cell r="AV617" t="b">
            <v>0</v>
          </cell>
          <cell r="HD617" t="str">
            <v>Repair Shop</v>
          </cell>
          <cell r="HT617" t="b">
            <v>0</v>
          </cell>
          <cell r="HU617" t="str">
            <v>WOODLINE CABINETS</v>
          </cell>
        </row>
        <row r="618">
          <cell r="A618">
            <v>4154</v>
          </cell>
          <cell r="B618" t="str">
            <v>VEM1081</v>
          </cell>
          <cell r="D618" t="str">
            <v>VALERO</v>
          </cell>
          <cell r="AG618" t="str">
            <v>HP</v>
          </cell>
          <cell r="AV618" t="b">
            <v>0</v>
          </cell>
          <cell r="HD618" t="str">
            <v>Repair Shop</v>
          </cell>
          <cell r="HT618" t="b">
            <v>0</v>
          </cell>
          <cell r="HU618" t="str">
            <v>VALERO REFINING CO. BENICIA</v>
          </cell>
        </row>
        <row r="619">
          <cell r="A619">
            <v>4153</v>
          </cell>
          <cell r="B619" t="str">
            <v>VEM1080</v>
          </cell>
          <cell r="D619" t="str">
            <v>VALERO</v>
          </cell>
          <cell r="G619" t="str">
            <v>MOV</v>
          </cell>
          <cell r="AV619" t="b">
            <v>0</v>
          </cell>
          <cell r="HD619" t="str">
            <v>Repair Shop</v>
          </cell>
          <cell r="HT619" t="b">
            <v>0</v>
          </cell>
          <cell r="HU619" t="str">
            <v>VALERO REFINING CO. BENICIA</v>
          </cell>
        </row>
        <row r="620">
          <cell r="A620">
            <v>4152</v>
          </cell>
          <cell r="B620" t="str">
            <v>VEM1079</v>
          </cell>
          <cell r="D620" t="str">
            <v>ECOSERVICE</v>
          </cell>
          <cell r="F620" t="str">
            <v>GE</v>
          </cell>
          <cell r="I620" t="str">
            <v>8188S</v>
          </cell>
          <cell r="K620" t="str">
            <v>250</v>
          </cell>
          <cell r="L620" t="str">
            <v>1800</v>
          </cell>
          <cell r="M620" t="str">
            <v>K</v>
          </cell>
          <cell r="P620" t="str">
            <v>TEFC</v>
          </cell>
          <cell r="V620" t="str">
            <v>3</v>
          </cell>
          <cell r="W620" t="str">
            <v>60</v>
          </cell>
          <cell r="X620" t="str">
            <v>4000</v>
          </cell>
          <cell r="Y620" t="str">
            <v>34</v>
          </cell>
          <cell r="AG620" t="str">
            <v>HP</v>
          </cell>
          <cell r="AI620" t="str">
            <v>UNSURE</v>
          </cell>
          <cell r="AJ620" t="str">
            <v>UNSURE</v>
          </cell>
          <cell r="AV620" t="b">
            <v>0</v>
          </cell>
          <cell r="AX620" t="str">
            <v>4</v>
          </cell>
          <cell r="HD620" t="str">
            <v>Repair Shop</v>
          </cell>
          <cell r="HT620" t="b">
            <v>0</v>
          </cell>
          <cell r="HU620" t="str">
            <v>ECO SERVICES</v>
          </cell>
        </row>
        <row r="621">
          <cell r="A621">
            <v>4151</v>
          </cell>
          <cell r="B621" t="str">
            <v>VEM1078</v>
          </cell>
          <cell r="D621" t="str">
            <v>CONHAGEN</v>
          </cell>
          <cell r="F621" t="str">
            <v>JIN SHIN</v>
          </cell>
          <cell r="H621" t="str">
            <v>302966</v>
          </cell>
          <cell r="I621" t="str">
            <v>100L</v>
          </cell>
          <cell r="K621" t="str">
            <v>3</v>
          </cell>
          <cell r="L621" t="str">
            <v>1720</v>
          </cell>
          <cell r="N621" t="str">
            <v>30KG</v>
          </cell>
          <cell r="O621" t="str">
            <v>Full no Cord</v>
          </cell>
          <cell r="V621" t="str">
            <v>3</v>
          </cell>
          <cell r="W621" t="str">
            <v>60</v>
          </cell>
          <cell r="X621" t="str">
            <v>220/440</v>
          </cell>
          <cell r="Y621" t="str">
            <v>8.5/4.25</v>
          </cell>
          <cell r="AA621" t="str">
            <v>Vertical</v>
          </cell>
          <cell r="AD621" t="str">
            <v>0</v>
          </cell>
          <cell r="AG621" t="str">
            <v>HP</v>
          </cell>
          <cell r="AQ621" t="str">
            <v>E</v>
          </cell>
          <cell r="AV621" t="b">
            <v>0</v>
          </cell>
          <cell r="AX621" t="str">
            <v>4</v>
          </cell>
          <cell r="HD621" t="str">
            <v>Repair Shop</v>
          </cell>
          <cell r="HT621" t="b">
            <v>0</v>
          </cell>
          <cell r="HU621" t="str">
            <v>ALFRED CONHAGEN CO. OF CA</v>
          </cell>
        </row>
        <row r="622">
          <cell r="A622">
            <v>4150</v>
          </cell>
          <cell r="B622" t="str">
            <v>VEM1077</v>
          </cell>
          <cell r="D622" t="str">
            <v>CONHAGEN</v>
          </cell>
          <cell r="F622" t="str">
            <v>Baldor</v>
          </cell>
          <cell r="I622" t="str">
            <v>143JM</v>
          </cell>
          <cell r="K622" t="str">
            <v>1.5</v>
          </cell>
          <cell r="L622" t="str">
            <v>3600</v>
          </cell>
          <cell r="P622" t="str">
            <v>TEFC</v>
          </cell>
          <cell r="X622" t="str">
            <v>230/460</v>
          </cell>
          <cell r="Y622" t="str">
            <v>4.2/2.1</v>
          </cell>
          <cell r="AG622" t="str">
            <v>HP</v>
          </cell>
          <cell r="AU622" t="str">
            <v>35T921S253H1</v>
          </cell>
          <cell r="AV622" t="b">
            <v>0</v>
          </cell>
          <cell r="AX622" t="str">
            <v>2</v>
          </cell>
          <cell r="EW622" t="str">
            <v>JMM3550T</v>
          </cell>
          <cell r="HD622" t="str">
            <v>Repair Shop</v>
          </cell>
          <cell r="HT622" t="b">
            <v>0</v>
          </cell>
          <cell r="HU622" t="str">
            <v>ALFRED CONHAGEN CO. OF CA</v>
          </cell>
        </row>
        <row r="623">
          <cell r="A623">
            <v>4149</v>
          </cell>
          <cell r="B623" t="str">
            <v>VEM1076</v>
          </cell>
          <cell r="D623" t="str">
            <v>SYAR</v>
          </cell>
          <cell r="F623" t="str">
            <v>WEG</v>
          </cell>
          <cell r="G623" t="str">
            <v>PBLN350-12-586/7</v>
          </cell>
          <cell r="H623" t="str">
            <v>586/7</v>
          </cell>
          <cell r="K623" t="str">
            <v>350</v>
          </cell>
          <cell r="L623" t="str">
            <v>1190</v>
          </cell>
          <cell r="M623" t="str">
            <v>ET</v>
          </cell>
          <cell r="O623" t="str">
            <v>None</v>
          </cell>
          <cell r="P623" t="str">
            <v>TEFC</v>
          </cell>
          <cell r="R623" t="str">
            <v>Continuous</v>
          </cell>
          <cell r="U623" t="str">
            <v>40</v>
          </cell>
          <cell r="V623" t="str">
            <v>3</v>
          </cell>
          <cell r="W623" t="str">
            <v>60</v>
          </cell>
          <cell r="X623" t="str">
            <v>460</v>
          </cell>
          <cell r="Y623" t="str">
            <v>28</v>
          </cell>
          <cell r="AA623" t="str">
            <v>F1</v>
          </cell>
          <cell r="AG623" t="str">
            <v>HP</v>
          </cell>
          <cell r="AP623" t="str">
            <v>F</v>
          </cell>
          <cell r="AQ623" t="str">
            <v>F</v>
          </cell>
          <cell r="AS623" t="str">
            <v>1.15</v>
          </cell>
          <cell r="AV623" t="b">
            <v>0</v>
          </cell>
          <cell r="GK623" t="str">
            <v>LAST WORKED BY KOFFLER 6-28-11</v>
          </cell>
          <cell r="HD623" t="str">
            <v>Repair Shop</v>
          </cell>
          <cell r="HT623" t="b">
            <v>0</v>
          </cell>
          <cell r="HU623" t="str">
            <v>SYAR INDUSTRIES</v>
          </cell>
        </row>
        <row r="624">
          <cell r="A624">
            <v>4148</v>
          </cell>
          <cell r="B624" t="str">
            <v>VEM1075</v>
          </cell>
          <cell r="D624" t="str">
            <v>CORK</v>
          </cell>
          <cell r="F624" t="str">
            <v>Siemens</v>
          </cell>
          <cell r="G624" t="str">
            <v>U-S1056</v>
          </cell>
          <cell r="H624" t="str">
            <v>1LA71304AA10-Z</v>
          </cell>
          <cell r="K624" t="str">
            <v>6.3</v>
          </cell>
          <cell r="L624" t="str">
            <v>1755</v>
          </cell>
          <cell r="N624" t="str">
            <v>39KG</v>
          </cell>
          <cell r="O624" t="str">
            <v>Full no Cord</v>
          </cell>
          <cell r="R624" t="str">
            <v>Continuous</v>
          </cell>
          <cell r="U624" t="str">
            <v>40</v>
          </cell>
          <cell r="V624" t="str">
            <v>3</v>
          </cell>
          <cell r="W624" t="str">
            <v>50</v>
          </cell>
          <cell r="X624" t="str">
            <v>460</v>
          </cell>
          <cell r="Y624" t="str">
            <v>10.9</v>
          </cell>
          <cell r="AA624" t="str">
            <v>Top</v>
          </cell>
          <cell r="AD624" t="str">
            <v>0</v>
          </cell>
          <cell r="AG624" t="str">
            <v>KW</v>
          </cell>
          <cell r="AO624" t="str">
            <v>A</v>
          </cell>
          <cell r="AP624" t="str">
            <v>J</v>
          </cell>
          <cell r="AQ624" t="str">
            <v>F</v>
          </cell>
          <cell r="AT624" t="str">
            <v>87.5</v>
          </cell>
          <cell r="AV624" t="b">
            <v>0</v>
          </cell>
          <cell r="GK624" t="str">
            <v>COUPLING</v>
          </cell>
          <cell r="HD624" t="str">
            <v>Repair Shop</v>
          </cell>
          <cell r="HT624" t="b">
            <v>0</v>
          </cell>
          <cell r="HU624" t="str">
            <v>CORK SUPPY USA, INC.</v>
          </cell>
        </row>
        <row r="625">
          <cell r="A625">
            <v>4147</v>
          </cell>
          <cell r="B625" t="str">
            <v>VEM1074</v>
          </cell>
          <cell r="D625" t="str">
            <v>CONHAGEN</v>
          </cell>
          <cell r="AG625" t="str">
            <v>HP</v>
          </cell>
          <cell r="AV625" t="b">
            <v>0</v>
          </cell>
          <cell r="HD625" t="str">
            <v>Repair Shop</v>
          </cell>
          <cell r="HT625" t="b">
            <v>0</v>
          </cell>
          <cell r="HU625" t="str">
            <v>ALFRED CONHAGEN CO. OF CA</v>
          </cell>
        </row>
        <row r="626">
          <cell r="A626">
            <v>4146</v>
          </cell>
          <cell r="B626" t="str">
            <v>VEM1073</v>
          </cell>
          <cell r="D626" t="str">
            <v>CONHAGEN</v>
          </cell>
          <cell r="AG626" t="str">
            <v>HP</v>
          </cell>
          <cell r="AV626" t="b">
            <v>0</v>
          </cell>
          <cell r="HD626" t="str">
            <v>Repair Shop</v>
          </cell>
          <cell r="HT626" t="b">
            <v>0</v>
          </cell>
          <cell r="HU626" t="str">
            <v>ALFRED CONHAGEN CO. OF CA</v>
          </cell>
        </row>
        <row r="627">
          <cell r="A627">
            <v>4145</v>
          </cell>
          <cell r="B627" t="str">
            <v>VEM1072</v>
          </cell>
          <cell r="D627" t="str">
            <v>CONHAGEN</v>
          </cell>
          <cell r="AG627" t="str">
            <v>HP</v>
          </cell>
          <cell r="AV627" t="b">
            <v>0</v>
          </cell>
          <cell r="HD627" t="str">
            <v>Repair Shop</v>
          </cell>
          <cell r="HT627" t="b">
            <v>0</v>
          </cell>
          <cell r="HU627" t="str">
            <v>ALFRED CONHAGEN CO. OF CA</v>
          </cell>
        </row>
        <row r="628">
          <cell r="A628">
            <v>4144</v>
          </cell>
          <cell r="B628" t="str">
            <v>VEM1071</v>
          </cell>
          <cell r="D628" t="str">
            <v>CONHAGEN</v>
          </cell>
          <cell r="AG628" t="str">
            <v>HP</v>
          </cell>
          <cell r="AV628" t="b">
            <v>0</v>
          </cell>
          <cell r="HD628" t="str">
            <v>Repair Shop</v>
          </cell>
          <cell r="HT628" t="b">
            <v>0</v>
          </cell>
          <cell r="HU628" t="str">
            <v>ALFRED CONHAGEN CO. OF CA</v>
          </cell>
        </row>
        <row r="629">
          <cell r="A629">
            <v>4143</v>
          </cell>
          <cell r="B629" t="str">
            <v>VEM1070</v>
          </cell>
          <cell r="D629" t="str">
            <v>P66</v>
          </cell>
          <cell r="F629" t="str">
            <v>Reliance</v>
          </cell>
          <cell r="I629" t="str">
            <v>FL143TC</v>
          </cell>
          <cell r="K629" t="str">
            <v>.75</v>
          </cell>
          <cell r="L629" t="str">
            <v>1800</v>
          </cell>
          <cell r="P629" t="str">
            <v>TENV</v>
          </cell>
          <cell r="V629" t="str">
            <v>3</v>
          </cell>
          <cell r="W629" t="str">
            <v>60</v>
          </cell>
          <cell r="X629" t="str">
            <v>230/460</v>
          </cell>
          <cell r="Y629" t="str">
            <v>2.2/1.1</v>
          </cell>
          <cell r="AA629" t="str">
            <v>Vertical</v>
          </cell>
          <cell r="AG629" t="str">
            <v>HP</v>
          </cell>
          <cell r="AV629" t="b">
            <v>0</v>
          </cell>
          <cell r="AX629" t="str">
            <v>4</v>
          </cell>
          <cell r="EX629" t="str">
            <v>P14G7524M-ZZ</v>
          </cell>
          <cell r="HD629" t="str">
            <v>Repair Shop</v>
          </cell>
          <cell r="HT629" t="b">
            <v>0</v>
          </cell>
          <cell r="HU629" t="str">
            <v>PHILLIPS 66</v>
          </cell>
        </row>
        <row r="630">
          <cell r="A630">
            <v>4142</v>
          </cell>
          <cell r="B630" t="str">
            <v>VEM1069</v>
          </cell>
          <cell r="D630" t="str">
            <v>VALERO</v>
          </cell>
          <cell r="F630" t="str">
            <v>Reliance</v>
          </cell>
          <cell r="I630" t="str">
            <v>M560</v>
          </cell>
          <cell r="K630" t="str">
            <v>5</v>
          </cell>
          <cell r="L630" t="str">
            <v>900</v>
          </cell>
          <cell r="M630" t="str">
            <v>P</v>
          </cell>
          <cell r="P630" t="str">
            <v>TEFC</v>
          </cell>
          <cell r="R630" t="str">
            <v>Continuous</v>
          </cell>
          <cell r="U630" t="str">
            <v>40</v>
          </cell>
          <cell r="V630" t="str">
            <v>3</v>
          </cell>
          <cell r="W630" t="str">
            <v>60</v>
          </cell>
          <cell r="X630" t="str">
            <v>480</v>
          </cell>
          <cell r="Y630" t="str">
            <v>2.5</v>
          </cell>
          <cell r="AA630" t="str">
            <v>F1</v>
          </cell>
          <cell r="AG630" t="str">
            <v>HP</v>
          </cell>
          <cell r="AP630" t="str">
            <v>D</v>
          </cell>
          <cell r="AQ630" t="str">
            <v>B</v>
          </cell>
          <cell r="AV630" t="b">
            <v>0</v>
          </cell>
          <cell r="EX630" t="str">
            <v>464676-AV</v>
          </cell>
          <cell r="HD630" t="str">
            <v>Repair Shop</v>
          </cell>
          <cell r="HT630" t="b">
            <v>0</v>
          </cell>
          <cell r="HU630" t="str">
            <v>VALERO REFINING CO. BENICIA</v>
          </cell>
        </row>
        <row r="631">
          <cell r="A631">
            <v>4141</v>
          </cell>
          <cell r="B631" t="str">
            <v>VEM1068</v>
          </cell>
          <cell r="D631" t="str">
            <v>PG&amp;E VACAVILLE</v>
          </cell>
          <cell r="AD631" t="str">
            <v>0</v>
          </cell>
          <cell r="AG631" t="str">
            <v>HP</v>
          </cell>
          <cell r="AV631" t="b">
            <v>0</v>
          </cell>
          <cell r="HD631" t="str">
            <v>Repair Shop</v>
          </cell>
          <cell r="HT631" t="b">
            <v>0</v>
          </cell>
          <cell r="HU631" t="str">
            <v>PG&amp;E VACAVILLE SUBSTATION MAINT DEPT</v>
          </cell>
        </row>
        <row r="632">
          <cell r="A632">
            <v>4140</v>
          </cell>
          <cell r="B632" t="str">
            <v>VEM1067</v>
          </cell>
          <cell r="D632" t="str">
            <v>BAYVALVE</v>
          </cell>
          <cell r="I632" t="str">
            <v>412M</v>
          </cell>
          <cell r="K632" t="str">
            <v>3.7</v>
          </cell>
          <cell r="M632" t="str">
            <v>BRK</v>
          </cell>
          <cell r="Q632" t="str">
            <v>Yes</v>
          </cell>
          <cell r="V632" t="str">
            <v>3</v>
          </cell>
          <cell r="AD632" t="str">
            <v>0</v>
          </cell>
          <cell r="AG632" t="str">
            <v>KW</v>
          </cell>
          <cell r="AV632" t="b">
            <v>0</v>
          </cell>
          <cell r="HD632" t="str">
            <v>Repair Shop</v>
          </cell>
          <cell r="HT632" t="b">
            <v>0</v>
          </cell>
          <cell r="HU632" t="str">
            <v>BAY VALVE SERVICE</v>
          </cell>
        </row>
        <row r="633">
          <cell r="A633">
            <v>4139</v>
          </cell>
          <cell r="B633" t="str">
            <v>VEM1066</v>
          </cell>
          <cell r="D633" t="str">
            <v>CONHAGEN</v>
          </cell>
          <cell r="F633" t="str">
            <v>WEG</v>
          </cell>
          <cell r="G633" t="str">
            <v>00218ST3QIE145TC-W22</v>
          </cell>
          <cell r="H633" t="str">
            <v>26ABR2017</v>
          </cell>
          <cell r="I633" t="str">
            <v>143/ 5TC</v>
          </cell>
          <cell r="K633" t="str">
            <v>3</v>
          </cell>
          <cell r="L633" t="str">
            <v>1750</v>
          </cell>
          <cell r="P633" t="str">
            <v>TEFC</v>
          </cell>
          <cell r="R633" t="str">
            <v>Continuous</v>
          </cell>
          <cell r="U633" t="str">
            <v>40</v>
          </cell>
          <cell r="V633" t="str">
            <v>3</v>
          </cell>
          <cell r="W633" t="str">
            <v>60</v>
          </cell>
          <cell r="X633" t="str">
            <v>460</v>
          </cell>
          <cell r="Y633" t="str">
            <v>2.76</v>
          </cell>
          <cell r="AA633" t="str">
            <v>F1</v>
          </cell>
          <cell r="AD633" t="str">
            <v>-1</v>
          </cell>
          <cell r="AG633" t="str">
            <v>HP</v>
          </cell>
          <cell r="AO633" t="str">
            <v>B</v>
          </cell>
          <cell r="AP633" t="str">
            <v>K</v>
          </cell>
          <cell r="AQ633" t="str">
            <v>F</v>
          </cell>
          <cell r="AT633" t="str">
            <v>86.5</v>
          </cell>
          <cell r="AV633" t="b">
            <v>0</v>
          </cell>
          <cell r="GK633" t="str">
            <v>GROUND ON RIGHT FOOT</v>
          </cell>
          <cell r="HD633" t="str">
            <v>Repair Shop</v>
          </cell>
          <cell r="HT633" t="b">
            <v>0</v>
          </cell>
          <cell r="HU633" t="str">
            <v>ALFRED CONHAGEN CO. OF CA</v>
          </cell>
        </row>
        <row r="634">
          <cell r="A634">
            <v>4138</v>
          </cell>
          <cell r="B634" t="str">
            <v>VEM1065</v>
          </cell>
          <cell r="D634" t="str">
            <v>P66</v>
          </cell>
          <cell r="F634" t="str">
            <v>Siemens</v>
          </cell>
          <cell r="H634" t="str">
            <v>A09T1056SE</v>
          </cell>
          <cell r="I634" t="str">
            <v>256T</v>
          </cell>
          <cell r="K634" t="str">
            <v>1185</v>
          </cell>
          <cell r="M634" t="str">
            <v>SD100</v>
          </cell>
          <cell r="N634" t="str">
            <v>337</v>
          </cell>
          <cell r="P634" t="str">
            <v>TEFC</v>
          </cell>
          <cell r="R634" t="str">
            <v>Continuous</v>
          </cell>
          <cell r="U634" t="str">
            <v>40</v>
          </cell>
          <cell r="V634" t="str">
            <v>3</v>
          </cell>
          <cell r="W634" t="str">
            <v>60</v>
          </cell>
          <cell r="X634" t="str">
            <v>460</v>
          </cell>
          <cell r="Y634" t="str">
            <v>13.5</v>
          </cell>
          <cell r="AA634" t="str">
            <v>F2</v>
          </cell>
          <cell r="AG634" t="str">
            <v>HP</v>
          </cell>
          <cell r="AO634" t="str">
            <v>B</v>
          </cell>
          <cell r="AP634" t="str">
            <v>H</v>
          </cell>
          <cell r="AQ634" t="str">
            <v>F</v>
          </cell>
          <cell r="AT634" t="str">
            <v>92.4</v>
          </cell>
          <cell r="AV634" t="b">
            <v>0</v>
          </cell>
          <cell r="GK634" t="str">
            <v>IN PRO SEAL</v>
          </cell>
          <cell r="HD634" t="str">
            <v>Repair Shop</v>
          </cell>
          <cell r="HT634" t="b">
            <v>0</v>
          </cell>
          <cell r="HU634" t="str">
            <v>PHILLIPS 66</v>
          </cell>
        </row>
        <row r="635">
          <cell r="A635">
            <v>4137</v>
          </cell>
          <cell r="B635" t="str">
            <v>VEM1064</v>
          </cell>
          <cell r="D635" t="str">
            <v>P66</v>
          </cell>
          <cell r="F635" t="str">
            <v>Reliance</v>
          </cell>
          <cell r="H635" t="str">
            <v>7357507-001-EK T2</v>
          </cell>
          <cell r="I635" t="str">
            <v>215HPZ</v>
          </cell>
          <cell r="K635" t="str">
            <v>10</v>
          </cell>
          <cell r="L635" t="str">
            <v>3510</v>
          </cell>
          <cell r="M635" t="str">
            <v>P</v>
          </cell>
          <cell r="N635" t="str">
            <v>219</v>
          </cell>
          <cell r="P635" t="str">
            <v>TEFC</v>
          </cell>
          <cell r="R635" t="str">
            <v>Continuous</v>
          </cell>
          <cell r="U635" t="str">
            <v>40</v>
          </cell>
          <cell r="V635" t="str">
            <v>3</v>
          </cell>
          <cell r="W635" t="str">
            <v>60</v>
          </cell>
          <cell r="X635" t="str">
            <v>460</v>
          </cell>
          <cell r="Y635" t="str">
            <v>11.1</v>
          </cell>
          <cell r="AA635" t="str">
            <v>Vertical</v>
          </cell>
          <cell r="AD635" t="str">
            <v>-1</v>
          </cell>
          <cell r="AG635" t="str">
            <v>HP</v>
          </cell>
          <cell r="AO635" t="str">
            <v>B</v>
          </cell>
          <cell r="AP635" t="str">
            <v>H</v>
          </cell>
          <cell r="AQ635" t="str">
            <v>F</v>
          </cell>
          <cell r="AR635" t="str">
            <v>93.6</v>
          </cell>
          <cell r="AT635" t="str">
            <v>91</v>
          </cell>
          <cell r="AV635" t="b">
            <v>0</v>
          </cell>
          <cell r="HD635" t="str">
            <v>Repair Shop</v>
          </cell>
          <cell r="HT635" t="b">
            <v>0</v>
          </cell>
          <cell r="HU635" t="str">
            <v>PHILLIPS 66</v>
          </cell>
        </row>
        <row r="636">
          <cell r="A636">
            <v>4136</v>
          </cell>
          <cell r="B636" t="str">
            <v>VEM1063</v>
          </cell>
          <cell r="D636" t="str">
            <v>CONHAGEN</v>
          </cell>
          <cell r="F636" t="str">
            <v>RELIANCE ELECTRIC</v>
          </cell>
          <cell r="I636" t="str">
            <v>00324HPZ</v>
          </cell>
          <cell r="K636" t="str">
            <v>40</v>
          </cell>
          <cell r="L636" t="str">
            <v>3550</v>
          </cell>
          <cell r="M636" t="str">
            <v>P</v>
          </cell>
          <cell r="N636" t="str">
            <v>722 LBS</v>
          </cell>
          <cell r="O636" t="str">
            <v>None</v>
          </cell>
          <cell r="P636" t="str">
            <v>TEFC</v>
          </cell>
          <cell r="R636" t="str">
            <v>Continuous</v>
          </cell>
          <cell r="V636" t="str">
            <v>3</v>
          </cell>
          <cell r="W636" t="str">
            <v>60</v>
          </cell>
          <cell r="X636" t="str">
            <v>460</v>
          </cell>
          <cell r="Y636" t="str">
            <v>45.4</v>
          </cell>
          <cell r="AA636" t="str">
            <v>Vertical</v>
          </cell>
          <cell r="AG636" t="str">
            <v>HP</v>
          </cell>
          <cell r="AH636" t="str">
            <v>gasket for jbox</v>
          </cell>
          <cell r="AO636" t="str">
            <v>B</v>
          </cell>
          <cell r="AP636" t="str">
            <v>G</v>
          </cell>
          <cell r="AQ636" t="str">
            <v>F</v>
          </cell>
          <cell r="AR636" t="str">
            <v>87.6</v>
          </cell>
          <cell r="AS636" t="str">
            <v>1.15</v>
          </cell>
          <cell r="AT636" t="str">
            <v>94.1</v>
          </cell>
          <cell r="AV636" t="b">
            <v>0</v>
          </cell>
          <cell r="EX636" t="str">
            <v>05MAF97390 0001</v>
          </cell>
          <cell r="GK636" t="str">
            <v>stainless bolt above lifting eye</v>
          </cell>
          <cell r="HD636" t="str">
            <v>Repair Shop</v>
          </cell>
          <cell r="HT636" t="b">
            <v>0</v>
          </cell>
          <cell r="HU636" t="str">
            <v>ALFRED CONHAGEN CO. OF CA</v>
          </cell>
        </row>
        <row r="637">
          <cell r="A637">
            <v>4135</v>
          </cell>
          <cell r="B637" t="str">
            <v>FE1033</v>
          </cell>
          <cell r="D637" t="str">
            <v>NAPARECYCLING</v>
          </cell>
          <cell r="AG637" t="str">
            <v>HP</v>
          </cell>
          <cell r="AV637" t="b">
            <v>0</v>
          </cell>
          <cell r="HD637" t="str">
            <v>Field Service</v>
          </cell>
          <cell r="HT637" t="b">
            <v>0</v>
          </cell>
          <cell r="HU637" t="str">
            <v>NAPA RECYCLING &amp; WASTE</v>
          </cell>
        </row>
        <row r="638">
          <cell r="A638">
            <v>4134</v>
          </cell>
          <cell r="B638" t="str">
            <v>VEM1062</v>
          </cell>
          <cell r="D638" t="str">
            <v>C&amp;H</v>
          </cell>
          <cell r="F638" t="str">
            <v>GE</v>
          </cell>
          <cell r="G638" t="str">
            <v>5KS184XAA108D4</v>
          </cell>
          <cell r="H638" t="str">
            <v>JLFT261S015</v>
          </cell>
          <cell r="I638" t="str">
            <v>184T</v>
          </cell>
          <cell r="K638" t="str">
            <v>5</v>
          </cell>
          <cell r="L638" t="str">
            <v>3530</v>
          </cell>
          <cell r="M638" t="str">
            <v>KS</v>
          </cell>
          <cell r="N638" t="str">
            <v>101</v>
          </cell>
          <cell r="O638" t="str">
            <v>Full no Cord</v>
          </cell>
          <cell r="P638" t="str">
            <v>TEFC</v>
          </cell>
          <cell r="R638" t="str">
            <v>Continuous</v>
          </cell>
          <cell r="U638" t="str">
            <v>40</v>
          </cell>
          <cell r="V638" t="str">
            <v>3</v>
          </cell>
          <cell r="W638" t="str">
            <v>60</v>
          </cell>
          <cell r="Y638" t="str">
            <v>6.6</v>
          </cell>
          <cell r="Z638" t="str">
            <v>Yes</v>
          </cell>
          <cell r="AA638" t="str">
            <v>Vertical</v>
          </cell>
          <cell r="AG638" t="str">
            <v>HP</v>
          </cell>
          <cell r="AI638" t="str">
            <v>6206</v>
          </cell>
          <cell r="AJ638" t="str">
            <v>6206</v>
          </cell>
          <cell r="AO638" t="str">
            <v>B</v>
          </cell>
          <cell r="AP638" t="str">
            <v>J</v>
          </cell>
          <cell r="AQ638" t="str">
            <v>H</v>
          </cell>
          <cell r="AR638" t="str">
            <v>80.5</v>
          </cell>
          <cell r="AS638" t="str">
            <v>1.15</v>
          </cell>
          <cell r="AT638" t="str">
            <v>88.5</v>
          </cell>
          <cell r="AV638" t="b">
            <v>0</v>
          </cell>
          <cell r="EW638" t="str">
            <v>M9422</v>
          </cell>
          <cell r="HD638" t="str">
            <v>Repair Shop</v>
          </cell>
          <cell r="HT638" t="b">
            <v>0</v>
          </cell>
          <cell r="HU638" t="str">
            <v>C &amp; H SUGAR CO.</v>
          </cell>
        </row>
        <row r="639">
          <cell r="A639">
            <v>4133</v>
          </cell>
          <cell r="B639" t="str">
            <v>VEM1061</v>
          </cell>
          <cell r="D639" t="str">
            <v>C&amp;H</v>
          </cell>
          <cell r="F639" t="str">
            <v>GE</v>
          </cell>
          <cell r="G639" t="str">
            <v>5KS184XAA108D4</v>
          </cell>
          <cell r="H639" t="str">
            <v>HLFT224S012</v>
          </cell>
          <cell r="I639" t="str">
            <v>184T</v>
          </cell>
          <cell r="K639" t="str">
            <v>5</v>
          </cell>
          <cell r="L639" t="str">
            <v>3530</v>
          </cell>
          <cell r="M639" t="str">
            <v>KS</v>
          </cell>
          <cell r="N639" t="str">
            <v>101</v>
          </cell>
          <cell r="O639" t="str">
            <v>Full no Cord</v>
          </cell>
          <cell r="P639" t="str">
            <v>TEFC</v>
          </cell>
          <cell r="R639" t="str">
            <v>Continuous</v>
          </cell>
          <cell r="S639" t="str">
            <v>No</v>
          </cell>
          <cell r="T639" t="str">
            <v>no</v>
          </cell>
          <cell r="U639" t="str">
            <v>40</v>
          </cell>
          <cell r="V639" t="str">
            <v>3</v>
          </cell>
          <cell r="W639" t="str">
            <v>60</v>
          </cell>
          <cell r="X639" t="str">
            <v>460</v>
          </cell>
          <cell r="Z639" t="str">
            <v>Yes</v>
          </cell>
          <cell r="AA639" t="str">
            <v>Vertical</v>
          </cell>
          <cell r="AG639" t="str">
            <v>HP</v>
          </cell>
          <cell r="AI639" t="str">
            <v>6206</v>
          </cell>
          <cell r="AJ639" t="str">
            <v>6206</v>
          </cell>
          <cell r="AO639" t="str">
            <v>B</v>
          </cell>
          <cell r="AP639" t="str">
            <v>J</v>
          </cell>
          <cell r="AQ639" t="str">
            <v>H</v>
          </cell>
          <cell r="AR639" t="str">
            <v>80.5</v>
          </cell>
          <cell r="AS639" t="str">
            <v>1.15</v>
          </cell>
          <cell r="AT639" t="str">
            <v>88.5</v>
          </cell>
          <cell r="AV639" t="b">
            <v>0</v>
          </cell>
          <cell r="EW639" t="str">
            <v>M9422</v>
          </cell>
          <cell r="HD639" t="str">
            <v>Repair Shop</v>
          </cell>
          <cell r="HT639" t="b">
            <v>0</v>
          </cell>
          <cell r="HU639" t="str">
            <v>C &amp; H SUGAR CO.</v>
          </cell>
        </row>
        <row r="640">
          <cell r="A640">
            <v>4132</v>
          </cell>
          <cell r="B640" t="str">
            <v>VEM1060</v>
          </cell>
          <cell r="D640" t="str">
            <v>VALERO</v>
          </cell>
          <cell r="F640" t="str">
            <v>US Motors</v>
          </cell>
          <cell r="G640" t="str">
            <v>C476</v>
          </cell>
          <cell r="I640" t="str">
            <v>215TP</v>
          </cell>
          <cell r="K640" t="str">
            <v>10</v>
          </cell>
          <cell r="L640" t="str">
            <v>3485</v>
          </cell>
          <cell r="M640" t="str">
            <v>TU</v>
          </cell>
          <cell r="N640" t="str">
            <v>200</v>
          </cell>
          <cell r="O640" t="str">
            <v>Full no Cord</v>
          </cell>
          <cell r="P640" t="str">
            <v>TEFC</v>
          </cell>
          <cell r="R640" t="str">
            <v>Continuous</v>
          </cell>
          <cell r="U640" t="str">
            <v>40</v>
          </cell>
          <cell r="V640" t="str">
            <v>3</v>
          </cell>
          <cell r="W640" t="str">
            <v>60</v>
          </cell>
          <cell r="X640" t="str">
            <v>230/460</v>
          </cell>
          <cell r="Y640" t="str">
            <v>25.9/13.0</v>
          </cell>
          <cell r="AA640" t="str">
            <v>Vertical</v>
          </cell>
          <cell r="AD640" t="str">
            <v>0</v>
          </cell>
          <cell r="AG640" t="str">
            <v>HP</v>
          </cell>
          <cell r="AI640" t="str">
            <v>7309</v>
          </cell>
          <cell r="AJ640" t="str">
            <v>6208</v>
          </cell>
          <cell r="AO640" t="str">
            <v>B</v>
          </cell>
          <cell r="AP640" t="str">
            <v>H</v>
          </cell>
          <cell r="AQ640" t="str">
            <v>F</v>
          </cell>
          <cell r="AR640" t="str">
            <v>87.3</v>
          </cell>
          <cell r="AS640" t="str">
            <v>1.15</v>
          </cell>
          <cell r="AV640" t="b">
            <v>0</v>
          </cell>
          <cell r="EX640" t="str">
            <v>T 05 7525722-0018 M 0002</v>
          </cell>
          <cell r="HD640" t="str">
            <v>Repair Shop</v>
          </cell>
          <cell r="HT640" t="b">
            <v>0</v>
          </cell>
          <cell r="HU640" t="str">
            <v>VALERO REFINING CO. BENICIA</v>
          </cell>
        </row>
        <row r="641">
          <cell r="A641">
            <v>4131</v>
          </cell>
          <cell r="B641" t="str">
            <v>VEM1059</v>
          </cell>
          <cell r="D641" t="str">
            <v>VALERO</v>
          </cell>
          <cell r="F641" t="str">
            <v>US Motors</v>
          </cell>
          <cell r="I641" t="str">
            <v>326TS</v>
          </cell>
          <cell r="K641" t="str">
            <v>50</v>
          </cell>
          <cell r="L641" t="str">
            <v>3535</v>
          </cell>
          <cell r="M641" t="str">
            <v>CT</v>
          </cell>
          <cell r="O641" t="str">
            <v>None</v>
          </cell>
          <cell r="P641" t="str">
            <v>TEFC</v>
          </cell>
          <cell r="R641" t="str">
            <v>Continuous</v>
          </cell>
          <cell r="S641" t="str">
            <v>Yes</v>
          </cell>
          <cell r="T641" t="str">
            <v>yes</v>
          </cell>
          <cell r="U641" t="str">
            <v>40</v>
          </cell>
          <cell r="V641" t="str">
            <v>3</v>
          </cell>
          <cell r="W641" t="str">
            <v>60</v>
          </cell>
          <cell r="X641" t="str">
            <v>230/460</v>
          </cell>
          <cell r="Y641" t="str">
            <v>118/59</v>
          </cell>
          <cell r="Z641" t="str">
            <v>No</v>
          </cell>
          <cell r="AA641" t="str">
            <v>F1</v>
          </cell>
          <cell r="AG641" t="str">
            <v>HP</v>
          </cell>
          <cell r="AI641" t="str">
            <v>6311</v>
          </cell>
          <cell r="AJ641" t="str">
            <v>6211</v>
          </cell>
          <cell r="AS641" t="str">
            <v>1.15</v>
          </cell>
          <cell r="AV641" t="b">
            <v>0</v>
          </cell>
          <cell r="EX641" t="str">
            <v>F210-50-Y05Y040R251M</v>
          </cell>
          <cell r="HD641" t="str">
            <v>Repair Shop</v>
          </cell>
          <cell r="HT641" t="b">
            <v>0</v>
          </cell>
          <cell r="HU641" t="str">
            <v>VALERO REFINING CO. BENICIA</v>
          </cell>
        </row>
        <row r="642">
          <cell r="A642">
            <v>4130</v>
          </cell>
          <cell r="B642" t="str">
            <v>VEM1058</v>
          </cell>
          <cell r="D642" t="str">
            <v>PG&amp;E</v>
          </cell>
          <cell r="L642" t="str">
            <v>1725</v>
          </cell>
          <cell r="O642" t="str">
            <v>Half w/ Cord</v>
          </cell>
          <cell r="P642" t="str">
            <v>TENV</v>
          </cell>
          <cell r="R642" t="str">
            <v>Continuous</v>
          </cell>
          <cell r="V642" t="str">
            <v>1</v>
          </cell>
          <cell r="W642" t="str">
            <v>60</v>
          </cell>
          <cell r="X642" t="str">
            <v>115/230</v>
          </cell>
          <cell r="AV642" t="b">
            <v>0</v>
          </cell>
          <cell r="HD642" t="str">
            <v>Repair Shop</v>
          </cell>
          <cell r="HT642" t="b">
            <v>0</v>
          </cell>
          <cell r="HU642" t="str">
            <v>PG&amp;E</v>
          </cell>
        </row>
        <row r="643">
          <cell r="A643">
            <v>4129</v>
          </cell>
          <cell r="B643" t="str">
            <v>VEM1057</v>
          </cell>
          <cell r="D643" t="str">
            <v>PG&amp;E</v>
          </cell>
          <cell r="F643" t="str">
            <v>Dayton</v>
          </cell>
          <cell r="G643" t="str">
            <v>5K410w</v>
          </cell>
          <cell r="H643" t="str">
            <v>MFG no A501B</v>
          </cell>
          <cell r="I643" t="str">
            <v>56</v>
          </cell>
          <cell r="K643" t="str">
            <v>.25</v>
          </cell>
          <cell r="L643" t="str">
            <v>1725</v>
          </cell>
          <cell r="M643" t="str">
            <v>KF</v>
          </cell>
          <cell r="O643" t="str">
            <v>Full w/ Cord</v>
          </cell>
          <cell r="P643" t="str">
            <v>TEFC</v>
          </cell>
          <cell r="R643" t="str">
            <v>Continuous</v>
          </cell>
          <cell r="U643" t="str">
            <v>40</v>
          </cell>
          <cell r="V643" t="str">
            <v>1</v>
          </cell>
          <cell r="W643" t="str">
            <v>60</v>
          </cell>
          <cell r="X643" t="str">
            <v>115/230</v>
          </cell>
          <cell r="Y643" t="str">
            <v>5.6/2.8</v>
          </cell>
          <cell r="AA643" t="str">
            <v>F1</v>
          </cell>
          <cell r="AD643" t="str">
            <v>-1</v>
          </cell>
          <cell r="AG643" t="str">
            <v>HP</v>
          </cell>
          <cell r="AP643" t="str">
            <v>M</v>
          </cell>
          <cell r="AQ643" t="str">
            <v>A</v>
          </cell>
          <cell r="AS643" t="str">
            <v>1.0</v>
          </cell>
          <cell r="AV643" t="b">
            <v>0</v>
          </cell>
          <cell r="GK643" t="str">
            <v>MTR REF R61919W</v>
          </cell>
          <cell r="HD643" t="str">
            <v>Repair Shop</v>
          </cell>
          <cell r="HT643" t="b">
            <v>0</v>
          </cell>
          <cell r="HU643" t="str">
            <v>PG&amp;E</v>
          </cell>
        </row>
        <row r="644">
          <cell r="A644">
            <v>4128</v>
          </cell>
          <cell r="B644" t="str">
            <v>VEM1056</v>
          </cell>
          <cell r="D644" t="str">
            <v>CITYOFAMCAN</v>
          </cell>
          <cell r="F644" t="str">
            <v>Flygt pump</v>
          </cell>
          <cell r="H644" t="str">
            <v>3085092-0070435</v>
          </cell>
          <cell r="K644" t="str">
            <v>2.2</v>
          </cell>
          <cell r="L644" t="str">
            <v>1700</v>
          </cell>
          <cell r="O644" t="str">
            <v>None</v>
          </cell>
          <cell r="R644" t="str">
            <v>Continuous</v>
          </cell>
          <cell r="U644" t="str">
            <v>40</v>
          </cell>
          <cell r="V644" t="str">
            <v>3</v>
          </cell>
          <cell r="W644" t="str">
            <v>60</v>
          </cell>
          <cell r="X644" t="str">
            <v>230/460</v>
          </cell>
          <cell r="Y644" t="str">
            <v>8.7/4.3</v>
          </cell>
          <cell r="AD644" t="str">
            <v>0</v>
          </cell>
          <cell r="AG644" t="str">
            <v>KW</v>
          </cell>
          <cell r="AV644" t="b">
            <v>0</v>
          </cell>
          <cell r="HD644" t="str">
            <v>Repair Shop</v>
          </cell>
          <cell r="HT644" t="b">
            <v>0</v>
          </cell>
          <cell r="HU644" t="str">
            <v>CITY OF AMERICAN CANYON</v>
          </cell>
        </row>
        <row r="645">
          <cell r="A645">
            <v>4127</v>
          </cell>
          <cell r="B645" t="str">
            <v>VEM1055</v>
          </cell>
          <cell r="D645" t="str">
            <v>VALERO</v>
          </cell>
          <cell r="F645" t="str">
            <v>GE</v>
          </cell>
          <cell r="G645" t="str">
            <v>5KS286XAB208B</v>
          </cell>
          <cell r="H645" t="str">
            <v>XXP5424MQO2D</v>
          </cell>
          <cell r="I645" t="str">
            <v>286T</v>
          </cell>
          <cell r="K645" t="str">
            <v>30</v>
          </cell>
          <cell r="L645" t="str">
            <v>1775</v>
          </cell>
          <cell r="M645" t="str">
            <v>KS</v>
          </cell>
          <cell r="N645" t="str">
            <v>510</v>
          </cell>
          <cell r="O645" t="str">
            <v>None</v>
          </cell>
          <cell r="P645" t="str">
            <v>TEFC</v>
          </cell>
          <cell r="R645" t="str">
            <v>Continuous</v>
          </cell>
          <cell r="S645" t="str">
            <v>No</v>
          </cell>
          <cell r="T645" t="str">
            <v>none no key</v>
          </cell>
          <cell r="U645" t="str">
            <v>40</v>
          </cell>
          <cell r="V645" t="str">
            <v>3</v>
          </cell>
          <cell r="W645" t="str">
            <v>60</v>
          </cell>
          <cell r="Z645" t="str">
            <v>No</v>
          </cell>
          <cell r="AA645" t="str">
            <v>F1</v>
          </cell>
          <cell r="AD645" t="str">
            <v>0</v>
          </cell>
          <cell r="AG645" t="str">
            <v>HP</v>
          </cell>
          <cell r="AI645" t="str">
            <v>6310</v>
          </cell>
          <cell r="AJ645" t="str">
            <v>6310</v>
          </cell>
          <cell r="AO645" t="str">
            <v>B</v>
          </cell>
          <cell r="AP645" t="str">
            <v>G</v>
          </cell>
          <cell r="AQ645" t="str">
            <v>F</v>
          </cell>
          <cell r="AR645" t="str">
            <v>84.5</v>
          </cell>
          <cell r="AS645" t="str">
            <v>1.15</v>
          </cell>
          <cell r="AT645" t="str">
            <v>93.6</v>
          </cell>
          <cell r="AV645" t="b">
            <v>0</v>
          </cell>
          <cell r="EW645" t="str">
            <v>M9447</v>
          </cell>
          <cell r="HD645" t="str">
            <v>Repair Shop</v>
          </cell>
          <cell r="HT645" t="b">
            <v>0</v>
          </cell>
          <cell r="HU645" t="str">
            <v>VALERO REFINING CO. BENICIA</v>
          </cell>
        </row>
        <row r="646">
          <cell r="A646">
            <v>4126</v>
          </cell>
          <cell r="B646" t="str">
            <v>VEM1054</v>
          </cell>
          <cell r="D646" t="str">
            <v>PG&amp;E</v>
          </cell>
          <cell r="F646" t="str">
            <v>GE</v>
          </cell>
          <cell r="G646" t="str">
            <v>5KSP29DG27T</v>
          </cell>
          <cell r="H646" t="str">
            <v>ZTS</v>
          </cell>
          <cell r="K646" t="str">
            <v>.25</v>
          </cell>
          <cell r="L646" t="str">
            <v>1550</v>
          </cell>
          <cell r="O646" t="str">
            <v>Full w/ Cord</v>
          </cell>
          <cell r="P646" t="str">
            <v>TENV</v>
          </cell>
          <cell r="R646" t="str">
            <v>Continuous</v>
          </cell>
          <cell r="U646" t="str">
            <v>50</v>
          </cell>
          <cell r="V646" t="str">
            <v>1</v>
          </cell>
          <cell r="W646" t="str">
            <v>60</v>
          </cell>
          <cell r="X646" t="str">
            <v>230</v>
          </cell>
          <cell r="Y646" t="str">
            <v>.4</v>
          </cell>
          <cell r="AG646" t="str">
            <v>HP</v>
          </cell>
          <cell r="AV646" t="b">
            <v>0</v>
          </cell>
          <cell r="HD646" t="str">
            <v>Repair Shop</v>
          </cell>
          <cell r="HT646" t="b">
            <v>0</v>
          </cell>
          <cell r="HU646" t="str">
            <v>PG&amp;E</v>
          </cell>
        </row>
        <row r="647">
          <cell r="A647">
            <v>4125</v>
          </cell>
          <cell r="B647" t="str">
            <v>VEM0139</v>
          </cell>
          <cell r="D647" t="str">
            <v>PG&amp;E</v>
          </cell>
          <cell r="AG647" t="str">
            <v>HP</v>
          </cell>
          <cell r="AV647" t="b">
            <v>0</v>
          </cell>
          <cell r="HT647" t="b">
            <v>0</v>
          </cell>
          <cell r="HU647" t="str">
            <v>PG&amp;E</v>
          </cell>
        </row>
        <row r="648">
          <cell r="A648">
            <v>4124</v>
          </cell>
          <cell r="B648" t="str">
            <v>VEM1053</v>
          </cell>
          <cell r="D648" t="str">
            <v>PG&amp;E</v>
          </cell>
          <cell r="H648" t="str">
            <v>ZTS</v>
          </cell>
          <cell r="K648" t="str">
            <v>.25</v>
          </cell>
          <cell r="L648" t="str">
            <v>1550</v>
          </cell>
          <cell r="O648" t="str">
            <v>Full w/ Cord</v>
          </cell>
          <cell r="P648" t="str">
            <v>TENV</v>
          </cell>
          <cell r="R648" t="str">
            <v>Continuous</v>
          </cell>
          <cell r="U648" t="str">
            <v>50</v>
          </cell>
          <cell r="V648" t="str">
            <v>1</v>
          </cell>
          <cell r="W648" t="str">
            <v>60</v>
          </cell>
          <cell r="X648" t="str">
            <v>230</v>
          </cell>
          <cell r="Y648" t="str">
            <v>.4</v>
          </cell>
          <cell r="AG648" t="str">
            <v>HP</v>
          </cell>
          <cell r="AV648" t="b">
            <v>0</v>
          </cell>
          <cell r="HD648" t="str">
            <v>Repair Shop</v>
          </cell>
          <cell r="HT648" t="b">
            <v>0</v>
          </cell>
          <cell r="HU648" t="str">
            <v>PG&amp;E</v>
          </cell>
        </row>
        <row r="649">
          <cell r="A649">
            <v>4123</v>
          </cell>
          <cell r="B649" t="str">
            <v>VEM1052</v>
          </cell>
          <cell r="D649" t="str">
            <v>CONHAGEN</v>
          </cell>
          <cell r="F649" t="str">
            <v>Baldor</v>
          </cell>
          <cell r="H649" t="str">
            <v>Z0312090019</v>
          </cell>
          <cell r="I649" t="str">
            <v>284TSC</v>
          </cell>
          <cell r="K649" t="str">
            <v>25</v>
          </cell>
          <cell r="L649" t="str">
            <v>3525</v>
          </cell>
          <cell r="O649" t="str">
            <v>Full no Cord</v>
          </cell>
          <cell r="P649" t="str">
            <v>ODP</v>
          </cell>
          <cell r="R649" t="str">
            <v>Continuous</v>
          </cell>
          <cell r="S649" t="str">
            <v>No</v>
          </cell>
          <cell r="T649" t="str">
            <v>none no key</v>
          </cell>
          <cell r="U649" t="str">
            <v>40</v>
          </cell>
          <cell r="V649" t="str">
            <v>3</v>
          </cell>
          <cell r="W649" t="str">
            <v>60</v>
          </cell>
          <cell r="X649" t="str">
            <v>230/460</v>
          </cell>
          <cell r="Y649" t="str">
            <v>59/29.5</v>
          </cell>
          <cell r="Z649" t="str">
            <v>No</v>
          </cell>
          <cell r="AA649" t="str">
            <v>Vertical</v>
          </cell>
          <cell r="AG649" t="str">
            <v>HP</v>
          </cell>
          <cell r="AI649" t="str">
            <v>6313</v>
          </cell>
          <cell r="AJ649" t="str">
            <v>6208</v>
          </cell>
          <cell r="AO649" t="str">
            <v>B</v>
          </cell>
          <cell r="AP649" t="str">
            <v>G</v>
          </cell>
          <cell r="AQ649" t="str">
            <v>B</v>
          </cell>
          <cell r="AS649" t="str">
            <v>1.15</v>
          </cell>
          <cell r="AT649" t="str">
            <v>91</v>
          </cell>
          <cell r="AU649" t="str">
            <v>39L075W639G1</v>
          </cell>
          <cell r="AV649" t="b">
            <v>0</v>
          </cell>
          <cell r="EW649" t="str">
            <v>84.Z00021</v>
          </cell>
          <cell r="GK649" t="str">
            <v>Lifting eyes on top of motor</v>
          </cell>
          <cell r="HD649" t="str">
            <v>Repair Shop</v>
          </cell>
          <cell r="HT649" t="b">
            <v>0</v>
          </cell>
          <cell r="HU649" t="str">
            <v>ALFRED CONHAGEN CO. OF CA</v>
          </cell>
        </row>
        <row r="650">
          <cell r="A650">
            <v>4122</v>
          </cell>
          <cell r="B650" t="str">
            <v>VEM1051</v>
          </cell>
          <cell r="D650" t="str">
            <v>CONHAGEN</v>
          </cell>
          <cell r="F650" t="str">
            <v>Baldor</v>
          </cell>
          <cell r="H650" t="str">
            <v>70312090014</v>
          </cell>
          <cell r="I650" t="str">
            <v>284TSC</v>
          </cell>
          <cell r="K650" t="str">
            <v>25</v>
          </cell>
          <cell r="L650" t="str">
            <v>3525</v>
          </cell>
          <cell r="O650" t="str">
            <v>Full no Cord</v>
          </cell>
          <cell r="P650" t="str">
            <v>ODP</v>
          </cell>
          <cell r="R650" t="str">
            <v>Continuous</v>
          </cell>
          <cell r="S650" t="str">
            <v>No</v>
          </cell>
          <cell r="T650" t="str">
            <v>none no key</v>
          </cell>
          <cell r="U650" t="str">
            <v>40</v>
          </cell>
          <cell r="V650" t="str">
            <v>3</v>
          </cell>
          <cell r="X650" t="str">
            <v>230/460</v>
          </cell>
          <cell r="Y650" t="str">
            <v>59/29.5</v>
          </cell>
          <cell r="AA650" t="str">
            <v>Vertical</v>
          </cell>
          <cell r="AD650" t="str">
            <v>0</v>
          </cell>
          <cell r="AG650" t="str">
            <v>HP</v>
          </cell>
          <cell r="AI650" t="str">
            <v>6313</v>
          </cell>
          <cell r="AJ650" t="str">
            <v>6208</v>
          </cell>
          <cell r="AO650" t="str">
            <v>B</v>
          </cell>
          <cell r="AP650" t="str">
            <v>G</v>
          </cell>
          <cell r="AQ650" t="str">
            <v>B</v>
          </cell>
          <cell r="AR650" t="str">
            <v>87</v>
          </cell>
          <cell r="AS650" t="str">
            <v>1.15</v>
          </cell>
          <cell r="AT650" t="str">
            <v>91</v>
          </cell>
          <cell r="AU650" t="str">
            <v>39L075W639G1</v>
          </cell>
          <cell r="AV650" t="b">
            <v>0</v>
          </cell>
          <cell r="EW650" t="str">
            <v>84.Z00021</v>
          </cell>
          <cell r="GK650" t="str">
            <v>lifting eyes on back of motor</v>
          </cell>
          <cell r="HD650" t="str">
            <v>Repair Shop</v>
          </cell>
          <cell r="HT650" t="b">
            <v>0</v>
          </cell>
          <cell r="HU650" t="str">
            <v>ALFRED CONHAGEN CO. OF CA</v>
          </cell>
        </row>
        <row r="651">
          <cell r="A651">
            <v>4121</v>
          </cell>
          <cell r="B651" t="str">
            <v>VEM1050</v>
          </cell>
          <cell r="D651" t="str">
            <v>VALERO</v>
          </cell>
          <cell r="F651" t="str">
            <v>Reliance</v>
          </cell>
          <cell r="G651" t="str">
            <v>P12013GH</v>
          </cell>
          <cell r="K651" t="str">
            <v>5</v>
          </cell>
          <cell r="L651" t="str">
            <v>1725</v>
          </cell>
          <cell r="O651" t="str">
            <v>None</v>
          </cell>
          <cell r="P651" t="str">
            <v>TEFC</v>
          </cell>
          <cell r="R651" t="str">
            <v>Continuous</v>
          </cell>
          <cell r="S651" t="str">
            <v>No</v>
          </cell>
          <cell r="T651" t="str">
            <v>yes</v>
          </cell>
          <cell r="V651" t="str">
            <v>3</v>
          </cell>
          <cell r="W651" t="str">
            <v>60</v>
          </cell>
          <cell r="X651" t="str">
            <v>460</v>
          </cell>
          <cell r="Y651" t="str">
            <v>6.8</v>
          </cell>
          <cell r="AA651" t="str">
            <v>Vertical</v>
          </cell>
          <cell r="AG651" t="str">
            <v>HP</v>
          </cell>
          <cell r="AS651" t="str">
            <v>1.0</v>
          </cell>
          <cell r="AV651" t="b">
            <v>0</v>
          </cell>
          <cell r="HD651" t="str">
            <v>Repair Shop</v>
          </cell>
          <cell r="HT651" t="b">
            <v>0</v>
          </cell>
          <cell r="HU651" t="str">
            <v>VALERO REFINING CO. BENICIA</v>
          </cell>
        </row>
        <row r="652">
          <cell r="A652">
            <v>4120</v>
          </cell>
          <cell r="B652" t="str">
            <v>VEM1049</v>
          </cell>
          <cell r="D652" t="str">
            <v>CONHAGEN</v>
          </cell>
          <cell r="F652" t="str">
            <v>GE</v>
          </cell>
          <cell r="G652" t="str">
            <v>5K6257XJ206B</v>
          </cell>
          <cell r="H652" t="str">
            <v>GEJ702509</v>
          </cell>
          <cell r="I652" t="str">
            <v>326TPZ12</v>
          </cell>
          <cell r="K652" t="str">
            <v>50</v>
          </cell>
          <cell r="L652" t="str">
            <v>3540</v>
          </cell>
          <cell r="M652" t="str">
            <v>K</v>
          </cell>
          <cell r="O652" t="str">
            <v>None</v>
          </cell>
          <cell r="P652" t="str">
            <v>TEFC</v>
          </cell>
          <cell r="R652" t="str">
            <v>Continuous</v>
          </cell>
          <cell r="S652" t="str">
            <v>Yes</v>
          </cell>
          <cell r="T652" t="str">
            <v>no</v>
          </cell>
          <cell r="U652" t="str">
            <v>75</v>
          </cell>
          <cell r="V652" t="str">
            <v>3</v>
          </cell>
          <cell r="W652" t="str">
            <v>60</v>
          </cell>
          <cell r="Y652" t="str">
            <v>117/58.5</v>
          </cell>
          <cell r="AA652" t="str">
            <v>Vertical</v>
          </cell>
          <cell r="AD652" t="str">
            <v>-1</v>
          </cell>
          <cell r="AG652" t="str">
            <v>HP</v>
          </cell>
          <cell r="AI652" t="str">
            <v>6310</v>
          </cell>
          <cell r="AJ652" t="str">
            <v>6210</v>
          </cell>
          <cell r="AO652" t="str">
            <v>B</v>
          </cell>
          <cell r="AP652" t="str">
            <v>G</v>
          </cell>
          <cell r="AS652" t="str">
            <v>1.0</v>
          </cell>
          <cell r="AV652" t="b">
            <v>0</v>
          </cell>
          <cell r="HD652" t="str">
            <v>Repair Shop</v>
          </cell>
          <cell r="HT652" t="b">
            <v>0</v>
          </cell>
          <cell r="HU652" t="str">
            <v>ALFRED CONHAGEN CO. OF CA</v>
          </cell>
        </row>
        <row r="653">
          <cell r="A653">
            <v>4119</v>
          </cell>
          <cell r="B653" t="str">
            <v>VEM1048</v>
          </cell>
          <cell r="D653" t="str">
            <v>CONHAGEN</v>
          </cell>
          <cell r="F653" t="str">
            <v>Siemens</v>
          </cell>
          <cell r="H653" t="str">
            <v>Q2-L14T0008P 2</v>
          </cell>
          <cell r="I653" t="str">
            <v>184LP</v>
          </cell>
          <cell r="K653" t="str">
            <v>5</v>
          </cell>
          <cell r="L653" t="str">
            <v>1730</v>
          </cell>
          <cell r="M653" t="str">
            <v>RGZVILESD</v>
          </cell>
          <cell r="N653" t="str">
            <v>128</v>
          </cell>
          <cell r="O653" t="str">
            <v>Full no Cord</v>
          </cell>
          <cell r="P653" t="str">
            <v>TEFC</v>
          </cell>
          <cell r="R653" t="str">
            <v>Continuous</v>
          </cell>
          <cell r="S653" t="str">
            <v>No</v>
          </cell>
          <cell r="T653" t="str">
            <v>yes</v>
          </cell>
          <cell r="U653" t="str">
            <v>40</v>
          </cell>
          <cell r="V653" t="str">
            <v>3</v>
          </cell>
          <cell r="W653" t="str">
            <v>60</v>
          </cell>
          <cell r="X653" t="str">
            <v>230/460</v>
          </cell>
          <cell r="Y653" t="str">
            <v>13.0/6.5</v>
          </cell>
          <cell r="AA653" t="str">
            <v>Vertical</v>
          </cell>
          <cell r="AG653" t="str">
            <v>HP</v>
          </cell>
          <cell r="AI653" t="str">
            <v>6206</v>
          </cell>
          <cell r="AJ653" t="str">
            <v>7306</v>
          </cell>
          <cell r="AO653" t="str">
            <v>B</v>
          </cell>
          <cell r="AP653" t="str">
            <v>J</v>
          </cell>
          <cell r="AQ653" t="str">
            <v>F</v>
          </cell>
          <cell r="AS653" t="str">
            <v>1.15</v>
          </cell>
          <cell r="AT653" t="str">
            <v>86.5</v>
          </cell>
          <cell r="AV653" t="b">
            <v>0</v>
          </cell>
          <cell r="HD653" t="str">
            <v>Repair Shop</v>
          </cell>
          <cell r="HT653" t="b">
            <v>0</v>
          </cell>
          <cell r="HU653" t="str">
            <v>ALFRED CONHAGEN CO. OF CA</v>
          </cell>
        </row>
        <row r="654">
          <cell r="A654">
            <v>4118</v>
          </cell>
          <cell r="B654" t="str">
            <v>VEM1047</v>
          </cell>
          <cell r="D654" t="str">
            <v>CONHAGEN</v>
          </cell>
          <cell r="AG654" t="str">
            <v>HP</v>
          </cell>
          <cell r="AV654" t="b">
            <v>0</v>
          </cell>
          <cell r="HD654" t="str">
            <v>Repair Shop</v>
          </cell>
          <cell r="HT654" t="b">
            <v>0</v>
          </cell>
          <cell r="HU654" t="str">
            <v>ALFRED CONHAGEN CO. OF CA</v>
          </cell>
        </row>
        <row r="655">
          <cell r="A655">
            <v>4117</v>
          </cell>
          <cell r="B655" t="str">
            <v>VEM1046</v>
          </cell>
          <cell r="D655" t="str">
            <v>VALLEJOSCHOOLS</v>
          </cell>
          <cell r="AG655" t="str">
            <v>HP</v>
          </cell>
          <cell r="AV655" t="b">
            <v>0</v>
          </cell>
          <cell r="HD655" t="str">
            <v>Repair Shop</v>
          </cell>
          <cell r="HT655" t="b">
            <v>0</v>
          </cell>
          <cell r="HU655" t="str">
            <v>VALLEJO UNIFIED SCHOOL DIST.</v>
          </cell>
        </row>
        <row r="656">
          <cell r="A656">
            <v>4116</v>
          </cell>
          <cell r="B656" t="str">
            <v>VEM1045</v>
          </cell>
          <cell r="D656" t="str">
            <v>EURO</v>
          </cell>
          <cell r="AG656" t="str">
            <v>HP</v>
          </cell>
          <cell r="AV656" t="b">
            <v>0</v>
          </cell>
          <cell r="HD656" t="str">
            <v>Repair Shop</v>
          </cell>
          <cell r="HT656" t="b">
            <v>0</v>
          </cell>
          <cell r="HU656" t="str">
            <v>EURO-MACHINES, INC.</v>
          </cell>
        </row>
        <row r="657">
          <cell r="A657">
            <v>4115</v>
          </cell>
          <cell r="B657" t="str">
            <v>VEM1044</v>
          </cell>
          <cell r="D657" t="str">
            <v>VALLEJOSAN</v>
          </cell>
          <cell r="F657" t="str">
            <v>Flygt Pump</v>
          </cell>
          <cell r="H657" t="str">
            <v>3102 090 0450 156</v>
          </cell>
          <cell r="K657" t="str">
            <v>3.7</v>
          </cell>
          <cell r="L657" t="str">
            <v>1745</v>
          </cell>
          <cell r="N657" t="str">
            <v>107 kg</v>
          </cell>
          <cell r="O657" t="str">
            <v>Full w/ Cord</v>
          </cell>
          <cell r="R657" t="str">
            <v>Continuous</v>
          </cell>
          <cell r="U657" t="str">
            <v>40</v>
          </cell>
          <cell r="V657" t="str">
            <v>3</v>
          </cell>
          <cell r="W657" t="str">
            <v>60</v>
          </cell>
          <cell r="X657" t="str">
            <v>230/460</v>
          </cell>
          <cell r="Y657" t="str">
            <v>6.8/14</v>
          </cell>
          <cell r="AG657" t="str">
            <v>KW</v>
          </cell>
          <cell r="AV657" t="b">
            <v>0</v>
          </cell>
          <cell r="GK657" t="str">
            <v>Product no.3102.090-0643</v>
          </cell>
          <cell r="HD657" t="str">
            <v>Repair Shop</v>
          </cell>
          <cell r="HT657" t="b">
            <v>0</v>
          </cell>
          <cell r="HU657" t="str">
            <v>VALLEJO FLOOD &amp; WASTEWATER DISTRICT</v>
          </cell>
        </row>
        <row r="658">
          <cell r="A658">
            <v>4114</v>
          </cell>
          <cell r="B658" t="str">
            <v>VEM1043</v>
          </cell>
          <cell r="D658" t="str">
            <v>VALERO</v>
          </cell>
          <cell r="F658" t="str">
            <v>Teco</v>
          </cell>
          <cell r="H658" t="str">
            <v>GT708713022</v>
          </cell>
          <cell r="I658" t="str">
            <v>326T</v>
          </cell>
          <cell r="K658" t="str">
            <v>30</v>
          </cell>
          <cell r="L658" t="str">
            <v>1175</v>
          </cell>
          <cell r="O658" t="str">
            <v>Full no Cord</v>
          </cell>
          <cell r="P658" t="str">
            <v>TEFC</v>
          </cell>
          <cell r="R658" t="str">
            <v>Continuous</v>
          </cell>
          <cell r="S658" t="str">
            <v>Yes</v>
          </cell>
          <cell r="T658" t="str">
            <v>yes</v>
          </cell>
          <cell r="U658" t="str">
            <v>40</v>
          </cell>
          <cell r="V658" t="str">
            <v>3</v>
          </cell>
          <cell r="W658" t="str">
            <v>60</v>
          </cell>
          <cell r="X658" t="str">
            <v>460</v>
          </cell>
          <cell r="Y658" t="str">
            <v>37.5</v>
          </cell>
          <cell r="Z658" t="str">
            <v>Yes</v>
          </cell>
          <cell r="AA658" t="str">
            <v>F1</v>
          </cell>
          <cell r="AD658" t="str">
            <v>0</v>
          </cell>
          <cell r="AG658" t="str">
            <v>HP</v>
          </cell>
          <cell r="AI658" t="str">
            <v>6312</v>
          </cell>
          <cell r="AJ658" t="str">
            <v>6212</v>
          </cell>
          <cell r="AO658" t="str">
            <v>B</v>
          </cell>
          <cell r="AP658" t="str">
            <v>G</v>
          </cell>
          <cell r="AQ658" t="str">
            <v>F</v>
          </cell>
          <cell r="AS658" t="str">
            <v>1.15</v>
          </cell>
          <cell r="AV658" t="b">
            <v>0</v>
          </cell>
          <cell r="EW658" t="str">
            <v>APH03006TE4</v>
          </cell>
          <cell r="HD658" t="str">
            <v>Repair Shop</v>
          </cell>
          <cell r="HT658" t="b">
            <v>0</v>
          </cell>
          <cell r="HU658" t="str">
            <v>VALERO REFINING CO. BENICIA</v>
          </cell>
        </row>
        <row r="659">
          <cell r="A659">
            <v>4113</v>
          </cell>
          <cell r="B659" t="str">
            <v>VEM1042</v>
          </cell>
          <cell r="D659" t="str">
            <v>VALERO</v>
          </cell>
          <cell r="F659" t="str">
            <v>Teco</v>
          </cell>
          <cell r="I659" t="str">
            <v>326T</v>
          </cell>
          <cell r="K659" t="str">
            <v>30</v>
          </cell>
          <cell r="L659" t="str">
            <v>1175</v>
          </cell>
          <cell r="M659" t="str">
            <v>AEHH8R</v>
          </cell>
          <cell r="O659" t="str">
            <v>Full no Cord</v>
          </cell>
          <cell r="P659" t="str">
            <v>TEFC</v>
          </cell>
          <cell r="R659" t="str">
            <v>Continuous</v>
          </cell>
          <cell r="S659" t="str">
            <v>Yes</v>
          </cell>
          <cell r="T659" t="str">
            <v>yes</v>
          </cell>
          <cell r="U659" t="str">
            <v>40</v>
          </cell>
          <cell r="V659" t="str">
            <v>3</v>
          </cell>
          <cell r="W659" t="str">
            <v>60</v>
          </cell>
          <cell r="X659" t="str">
            <v>460</v>
          </cell>
          <cell r="Y659" t="str">
            <v>37.5</v>
          </cell>
          <cell r="Z659" t="str">
            <v>Yes</v>
          </cell>
          <cell r="AA659" t="str">
            <v>F1</v>
          </cell>
          <cell r="AD659" t="str">
            <v>0</v>
          </cell>
          <cell r="AG659" t="str">
            <v>HP</v>
          </cell>
          <cell r="AI659" t="str">
            <v>6312</v>
          </cell>
          <cell r="AJ659" t="str">
            <v>6212</v>
          </cell>
          <cell r="AO659" t="str">
            <v>B</v>
          </cell>
          <cell r="AP659" t="str">
            <v>G</v>
          </cell>
          <cell r="AQ659" t="str">
            <v>F</v>
          </cell>
          <cell r="AS659" t="str">
            <v>1.15</v>
          </cell>
          <cell r="AT659" t="str">
            <v>93.0</v>
          </cell>
          <cell r="AV659" t="b">
            <v>0</v>
          </cell>
          <cell r="EW659" t="str">
            <v>APH03006TE4</v>
          </cell>
          <cell r="HD659" t="str">
            <v>Repair Shop</v>
          </cell>
          <cell r="HT659" t="b">
            <v>0</v>
          </cell>
          <cell r="HU659" t="str">
            <v>VALERO REFINING CO. BENICIA</v>
          </cell>
        </row>
        <row r="660">
          <cell r="A660">
            <v>4112</v>
          </cell>
          <cell r="B660" t="str">
            <v>VEM1041</v>
          </cell>
          <cell r="D660" t="str">
            <v>VALERO</v>
          </cell>
          <cell r="M660" t="str">
            <v>Valve motor</v>
          </cell>
          <cell r="V660" t="str">
            <v>3</v>
          </cell>
          <cell r="W660" t="str">
            <v>60</v>
          </cell>
          <cell r="AV660" t="b">
            <v>0</v>
          </cell>
          <cell r="HD660" t="str">
            <v>Repair Shop</v>
          </cell>
          <cell r="HT660" t="b">
            <v>0</v>
          </cell>
          <cell r="HU660" t="str">
            <v>VALERO REFINING CO. BENICIA</v>
          </cell>
        </row>
        <row r="661">
          <cell r="A661">
            <v>4111</v>
          </cell>
          <cell r="B661" t="str">
            <v>VEM1040</v>
          </cell>
          <cell r="D661" t="str">
            <v>ALFBURTLESON</v>
          </cell>
          <cell r="AG661" t="str">
            <v>HP</v>
          </cell>
          <cell r="AV661" t="b">
            <v>0</v>
          </cell>
          <cell r="HD661" t="str">
            <v>Repair Shop</v>
          </cell>
          <cell r="HT661" t="b">
            <v>0</v>
          </cell>
          <cell r="HU661" t="str">
            <v>ALF BURTLESON CONSTRUCTION CO.</v>
          </cell>
        </row>
        <row r="662">
          <cell r="A662">
            <v>4110</v>
          </cell>
          <cell r="B662" t="str">
            <v>VEM1039</v>
          </cell>
          <cell r="D662" t="str">
            <v>PANPACIFIC</v>
          </cell>
          <cell r="F662" t="str">
            <v>US Motors</v>
          </cell>
          <cell r="G662" t="str">
            <v>H12258</v>
          </cell>
          <cell r="I662" t="str">
            <v>254JM</v>
          </cell>
          <cell r="K662" t="str">
            <v>15</v>
          </cell>
          <cell r="L662" t="str">
            <v>1775</v>
          </cell>
          <cell r="M662" t="str">
            <v>TCEF4</v>
          </cell>
          <cell r="O662" t="str">
            <v>Full no Cord</v>
          </cell>
          <cell r="P662" t="str">
            <v>TEFC</v>
          </cell>
          <cell r="R662" t="str">
            <v>Continuous</v>
          </cell>
          <cell r="S662" t="str">
            <v>Yes</v>
          </cell>
          <cell r="T662" t="str">
            <v>none</v>
          </cell>
          <cell r="U662" t="str">
            <v>40</v>
          </cell>
          <cell r="V662" t="str">
            <v>3</v>
          </cell>
          <cell r="W662" t="str">
            <v>60</v>
          </cell>
          <cell r="X662" t="str">
            <v>460</v>
          </cell>
          <cell r="Y662" t="str">
            <v>18.2</v>
          </cell>
          <cell r="AA662" t="str">
            <v>Vertical</v>
          </cell>
          <cell r="AG662" t="str">
            <v>HP</v>
          </cell>
          <cell r="AI662" t="str">
            <v>6310</v>
          </cell>
          <cell r="AJ662" t="str">
            <v>6207</v>
          </cell>
          <cell r="AO662" t="str">
            <v>B</v>
          </cell>
          <cell r="AQ662" t="str">
            <v>F</v>
          </cell>
          <cell r="AS662" t="str">
            <v>1.15</v>
          </cell>
          <cell r="AV662" t="b">
            <v>0</v>
          </cell>
          <cell r="EX662" t="str">
            <v>AO1Z3230337F</v>
          </cell>
          <cell r="HD662" t="str">
            <v>Repair Shop</v>
          </cell>
          <cell r="HT662" t="b">
            <v>0</v>
          </cell>
          <cell r="HU662" t="str">
            <v>PAN PACIFIC SUPPLY CO.</v>
          </cell>
        </row>
        <row r="663">
          <cell r="A663">
            <v>4109</v>
          </cell>
          <cell r="B663" t="str">
            <v>VEM1038</v>
          </cell>
          <cell r="D663" t="str">
            <v>EDF RENEWABLES</v>
          </cell>
          <cell r="F663" t="str">
            <v>Lust</v>
          </cell>
          <cell r="H663" t="str">
            <v>000464767</v>
          </cell>
          <cell r="K663" t="str">
            <v>4.4/9.6</v>
          </cell>
          <cell r="L663" t="str">
            <v>1400</v>
          </cell>
          <cell r="O663" t="str">
            <v>Half no Cord</v>
          </cell>
          <cell r="R663" t="str">
            <v>Continuous</v>
          </cell>
          <cell r="S663" t="str">
            <v>No</v>
          </cell>
          <cell r="T663" t="str">
            <v>key only</v>
          </cell>
          <cell r="U663" t="str">
            <v>50</v>
          </cell>
          <cell r="X663" t="str">
            <v>288</v>
          </cell>
          <cell r="Y663" t="str">
            <v>18</v>
          </cell>
          <cell r="AD663" t="str">
            <v>0</v>
          </cell>
          <cell r="AG663" t="str">
            <v>KW</v>
          </cell>
          <cell r="AV663" t="b">
            <v>0</v>
          </cell>
          <cell r="DW663" t="str">
            <v>150 W</v>
          </cell>
          <cell r="DX663" t="str">
            <v>230</v>
          </cell>
          <cell r="EQ663" t="str">
            <v>56</v>
          </cell>
          <cell r="ER663" t="str">
            <v>288</v>
          </cell>
          <cell r="ES663" t="str">
            <v>.76</v>
          </cell>
          <cell r="GK663" t="str">
            <v>S/N 000464767</v>
          </cell>
          <cell r="GL663" t="str">
            <v>Art no 681-00107</v>
          </cell>
          <cell r="HD663" t="str">
            <v>Repair Shop</v>
          </cell>
          <cell r="HO663" t="str">
            <v>920</v>
          </cell>
          <cell r="HT663" t="b">
            <v>0</v>
          </cell>
          <cell r="HU663" t="str">
            <v>EDF RENEWABLES</v>
          </cell>
        </row>
        <row r="664">
          <cell r="A664">
            <v>4108</v>
          </cell>
          <cell r="B664" t="str">
            <v>VEM1037</v>
          </cell>
          <cell r="D664" t="str">
            <v>FAIRFIELDMAINT</v>
          </cell>
          <cell r="F664" t="str">
            <v>Aquamaster</v>
          </cell>
          <cell r="G664" t="str">
            <v>760064</v>
          </cell>
          <cell r="H664" t="str">
            <v>R3338???</v>
          </cell>
          <cell r="K664" t="str">
            <v>2</v>
          </cell>
          <cell r="R664" t="str">
            <v>Continuous</v>
          </cell>
          <cell r="V664" t="str">
            <v>1</v>
          </cell>
          <cell r="W664" t="str">
            <v>60</v>
          </cell>
          <cell r="AA664" t="str">
            <v>Other</v>
          </cell>
          <cell r="AG664" t="str">
            <v>HP</v>
          </cell>
          <cell r="AV664" t="b">
            <v>0</v>
          </cell>
          <cell r="HD664" t="str">
            <v>Repair Shop</v>
          </cell>
          <cell r="HT664" t="b">
            <v>0</v>
          </cell>
          <cell r="HU664" t="str">
            <v>CITY OF FAIRFIELD</v>
          </cell>
        </row>
        <row r="665">
          <cell r="A665">
            <v>4107</v>
          </cell>
          <cell r="B665" t="str">
            <v>VEM1036</v>
          </cell>
          <cell r="D665" t="str">
            <v>CERTCOATING</v>
          </cell>
          <cell r="F665" t="str">
            <v>Meccalte(Italy)</v>
          </cell>
          <cell r="K665" t="str">
            <v>7.5</v>
          </cell>
          <cell r="L665" t="str">
            <v>1800</v>
          </cell>
          <cell r="M665" t="str">
            <v>LT3-130/4</v>
          </cell>
          <cell r="N665" t="str">
            <v>46 kg</v>
          </cell>
          <cell r="P665" t="str">
            <v>ODP</v>
          </cell>
          <cell r="R665" t="str">
            <v>S 1</v>
          </cell>
          <cell r="V665" t="str">
            <v>1</v>
          </cell>
          <cell r="W665" t="str">
            <v>60</v>
          </cell>
          <cell r="X665" t="str">
            <v>120/240</v>
          </cell>
          <cell r="Y665" t="str">
            <v>62.5/31.2</v>
          </cell>
          <cell r="AD665" t="str">
            <v>0</v>
          </cell>
          <cell r="AG665" t="str">
            <v>KVA</v>
          </cell>
          <cell r="AQ665" t="str">
            <v>H</v>
          </cell>
          <cell r="AV665" t="b">
            <v>0</v>
          </cell>
          <cell r="EX665" t="str">
            <v>0001410322</v>
          </cell>
          <cell r="HD665" t="str">
            <v>Repair Shop</v>
          </cell>
          <cell r="HT665" t="b">
            <v>0</v>
          </cell>
          <cell r="HU665" t="str">
            <v>CERTIFIED COATING CO</v>
          </cell>
        </row>
        <row r="666">
          <cell r="A666">
            <v>4106</v>
          </cell>
          <cell r="B666" t="str">
            <v>VEM1035</v>
          </cell>
          <cell r="D666" t="str">
            <v>CERTCOATING</v>
          </cell>
          <cell r="F666" t="str">
            <v>Meccalte (Italy)</v>
          </cell>
          <cell r="K666" t="str">
            <v>7.5</v>
          </cell>
          <cell r="L666" t="str">
            <v>1800</v>
          </cell>
          <cell r="M666" t="str">
            <v>LT3-130/4</v>
          </cell>
          <cell r="N666" t="str">
            <v>46 kg</v>
          </cell>
          <cell r="P666" t="str">
            <v>ODP</v>
          </cell>
          <cell r="R666" t="str">
            <v>S 1</v>
          </cell>
          <cell r="S666" t="str">
            <v>No</v>
          </cell>
          <cell r="V666" t="str">
            <v>1</v>
          </cell>
          <cell r="W666" t="str">
            <v>60</v>
          </cell>
          <cell r="X666" t="str">
            <v>120/240</v>
          </cell>
          <cell r="AA666" t="str">
            <v>Other</v>
          </cell>
          <cell r="AG666" t="str">
            <v>KVA</v>
          </cell>
          <cell r="AQ666" t="str">
            <v>H</v>
          </cell>
          <cell r="AV666" t="b">
            <v>0</v>
          </cell>
          <cell r="EX666" t="str">
            <v>0001414874</v>
          </cell>
          <cell r="HD666" t="str">
            <v>Repair Shop</v>
          </cell>
          <cell r="HT666" t="b">
            <v>0</v>
          </cell>
          <cell r="HU666" t="str">
            <v>CERTIFIED COATING CO</v>
          </cell>
        </row>
        <row r="667">
          <cell r="A667">
            <v>4105</v>
          </cell>
          <cell r="B667" t="str">
            <v>VEM1034</v>
          </cell>
          <cell r="D667" t="str">
            <v>EDF RENEWABLES</v>
          </cell>
          <cell r="F667" t="str">
            <v>Lust</v>
          </cell>
          <cell r="H667" t="str">
            <v>Mot no.000464286</v>
          </cell>
          <cell r="K667" t="str">
            <v>4.4/9.6</v>
          </cell>
          <cell r="L667" t="str">
            <v>1400</v>
          </cell>
          <cell r="O667" t="str">
            <v>Half no Cord</v>
          </cell>
          <cell r="P667" t="str">
            <v>TEAO</v>
          </cell>
          <cell r="R667" t="str">
            <v>Continuous</v>
          </cell>
          <cell r="S667" t="str">
            <v>No</v>
          </cell>
          <cell r="T667" t="str">
            <v>key only</v>
          </cell>
          <cell r="U667" t="str">
            <v>50</v>
          </cell>
          <cell r="X667" t="str">
            <v>288</v>
          </cell>
          <cell r="Y667" t="str">
            <v>18</v>
          </cell>
          <cell r="Z667" t="str">
            <v>No</v>
          </cell>
          <cell r="AD667" t="str">
            <v>-1</v>
          </cell>
          <cell r="AG667" t="str">
            <v>KW</v>
          </cell>
          <cell r="AV667" t="b">
            <v>0</v>
          </cell>
          <cell r="CM667" t="str">
            <v>100 Nm</v>
          </cell>
          <cell r="CN667" t="str">
            <v>288 VDC</v>
          </cell>
          <cell r="CO667" t="str">
            <v>.17</v>
          </cell>
          <cell r="CQ667" t="str">
            <v>60</v>
          </cell>
          <cell r="DX667" t="str">
            <v>230 VAC ,1 PH</v>
          </cell>
          <cell r="EQ667" t="str">
            <v>56</v>
          </cell>
          <cell r="ER667" t="str">
            <v>288</v>
          </cell>
          <cell r="ES667" t="str">
            <v>.76</v>
          </cell>
          <cell r="GK667" t="str">
            <v>Art no 681-00107</v>
          </cell>
          <cell r="GL667" t="str">
            <v>Mounting IM V1</v>
          </cell>
          <cell r="GM667" t="str">
            <v>DC motor FGVH II2LL-4-D-F-D-C</v>
          </cell>
          <cell r="GN667" t="str">
            <v>S/N 000464286</v>
          </cell>
          <cell r="HD667" t="str">
            <v>Repair Shop</v>
          </cell>
          <cell r="HO667" t="str">
            <v>920</v>
          </cell>
          <cell r="HT667" t="b">
            <v>0</v>
          </cell>
          <cell r="HU667" t="str">
            <v>EDF RENEWABLES</v>
          </cell>
        </row>
        <row r="668">
          <cell r="A668">
            <v>4104</v>
          </cell>
          <cell r="B668" t="str">
            <v>VEM1033</v>
          </cell>
          <cell r="D668" t="str">
            <v>P66</v>
          </cell>
          <cell r="F668" t="str">
            <v>Reliance</v>
          </cell>
          <cell r="I668" t="str">
            <v>182HPZ</v>
          </cell>
          <cell r="K668" t="str">
            <v>3</v>
          </cell>
          <cell r="L668" t="str">
            <v>3520</v>
          </cell>
          <cell r="M668" t="str">
            <v>P</v>
          </cell>
          <cell r="O668" t="str">
            <v>Full no Cord</v>
          </cell>
          <cell r="P668" t="str">
            <v>TEFC</v>
          </cell>
          <cell r="R668" t="str">
            <v>Continuous</v>
          </cell>
          <cell r="T668" t="str">
            <v>none no key</v>
          </cell>
          <cell r="U668" t="str">
            <v>40</v>
          </cell>
          <cell r="V668" t="str">
            <v>3</v>
          </cell>
          <cell r="W668" t="str">
            <v>60</v>
          </cell>
          <cell r="X668" t="str">
            <v>460</v>
          </cell>
          <cell r="Y668" t="str">
            <v>3.6</v>
          </cell>
          <cell r="Z668" t="str">
            <v>Yes</v>
          </cell>
          <cell r="AA668" t="str">
            <v>Vertical</v>
          </cell>
          <cell r="AG668" t="str">
            <v>HP</v>
          </cell>
          <cell r="AI668" t="str">
            <v>6210</v>
          </cell>
          <cell r="AJ668" t="str">
            <v>6205</v>
          </cell>
          <cell r="AQ668" t="str">
            <v>F</v>
          </cell>
          <cell r="AR668" t="str">
            <v>88.2</v>
          </cell>
          <cell r="AS668" t="str">
            <v>1.15</v>
          </cell>
          <cell r="AT668" t="str">
            <v>88.5</v>
          </cell>
          <cell r="AV668" t="b">
            <v>0</v>
          </cell>
          <cell r="EX668" t="str">
            <v>630000</v>
          </cell>
          <cell r="HD668" t="str">
            <v>Repair Shop</v>
          </cell>
          <cell r="HT668" t="b">
            <v>0</v>
          </cell>
          <cell r="HU668" t="str">
            <v>PHILLIPS 66</v>
          </cell>
        </row>
        <row r="669">
          <cell r="A669">
            <v>4103</v>
          </cell>
          <cell r="B669" t="str">
            <v>VEM1032</v>
          </cell>
          <cell r="D669" t="str">
            <v>TURBO</v>
          </cell>
          <cell r="F669" t="str">
            <v>US Motors</v>
          </cell>
          <cell r="I669" t="str">
            <v>365TP</v>
          </cell>
          <cell r="K669" t="str">
            <v>75</v>
          </cell>
          <cell r="L669" t="str">
            <v>1780</v>
          </cell>
          <cell r="M669" t="str">
            <v>RUSI</v>
          </cell>
          <cell r="O669" t="str">
            <v>Full no Cord</v>
          </cell>
          <cell r="P669" t="str">
            <v>WP1</v>
          </cell>
          <cell r="R669" t="str">
            <v>Continuous</v>
          </cell>
          <cell r="U669" t="str">
            <v>40</v>
          </cell>
          <cell r="V669" t="str">
            <v>3</v>
          </cell>
          <cell r="W669" t="str">
            <v>60</v>
          </cell>
          <cell r="X669" t="str">
            <v>460</v>
          </cell>
          <cell r="Y669" t="str">
            <v>87.0</v>
          </cell>
          <cell r="AA669" t="str">
            <v>Vertical</v>
          </cell>
          <cell r="AD669" t="str">
            <v>0</v>
          </cell>
          <cell r="AG669" t="str">
            <v>HP</v>
          </cell>
          <cell r="AI669" t="str">
            <v>6211</v>
          </cell>
          <cell r="AJ669" t="str">
            <v>7220</v>
          </cell>
          <cell r="AO669" t="str">
            <v>B</v>
          </cell>
          <cell r="AP669" t="str">
            <v>G</v>
          </cell>
          <cell r="AQ669" t="str">
            <v>F</v>
          </cell>
          <cell r="AR669" t="str">
            <v>85.3</v>
          </cell>
          <cell r="AS669" t="str">
            <v>1.15</v>
          </cell>
          <cell r="AT669" t="str">
            <v>95.0</v>
          </cell>
          <cell r="AV669" t="b">
            <v>0</v>
          </cell>
          <cell r="EX669" t="str">
            <v>R03-30717778-GT-03</v>
          </cell>
          <cell r="HD669" t="str">
            <v>Repair Shop</v>
          </cell>
          <cell r="HT669" t="b">
            <v>0</v>
          </cell>
          <cell r="HU669" t="str">
            <v>TURBO MACHINE</v>
          </cell>
        </row>
        <row r="670">
          <cell r="A670">
            <v>4102</v>
          </cell>
          <cell r="B670" t="str">
            <v>VEM1031</v>
          </cell>
          <cell r="D670" t="str">
            <v>CONHAGEN</v>
          </cell>
          <cell r="F670" t="str">
            <v>Siemens</v>
          </cell>
          <cell r="H670" t="str">
            <v>A13T0382BP 1</v>
          </cell>
          <cell r="I670" t="str">
            <v>286HPZ</v>
          </cell>
          <cell r="K670" t="str">
            <v>30</v>
          </cell>
          <cell r="L670" t="str">
            <v>3525</v>
          </cell>
          <cell r="M670" t="str">
            <v>RGZVESD</v>
          </cell>
          <cell r="O670" t="str">
            <v>Full no Cord</v>
          </cell>
          <cell r="P670" t="str">
            <v>TEFC</v>
          </cell>
          <cell r="R670" t="str">
            <v>Continuous</v>
          </cell>
          <cell r="U670" t="str">
            <v>40</v>
          </cell>
          <cell r="V670" t="str">
            <v>3</v>
          </cell>
          <cell r="W670" t="str">
            <v>60</v>
          </cell>
          <cell r="X670" t="str">
            <v>460</v>
          </cell>
          <cell r="Y670" t="str">
            <v>34.0</v>
          </cell>
          <cell r="AA670" t="str">
            <v>Vertical</v>
          </cell>
          <cell r="AD670" t="str">
            <v>-1</v>
          </cell>
          <cell r="AG670" t="str">
            <v>HP</v>
          </cell>
          <cell r="AI670" t="str">
            <v>3312</v>
          </cell>
          <cell r="AJ670" t="str">
            <v>6310</v>
          </cell>
          <cell r="AO670" t="str">
            <v>B</v>
          </cell>
          <cell r="AP670" t="str">
            <v>G</v>
          </cell>
          <cell r="AQ670" t="str">
            <v>F</v>
          </cell>
          <cell r="AS670" t="str">
            <v>1.15</v>
          </cell>
          <cell r="AV670" t="b">
            <v>0</v>
          </cell>
          <cell r="HD670" t="str">
            <v>Repair Shop</v>
          </cell>
          <cell r="HT670" t="b">
            <v>0</v>
          </cell>
          <cell r="HU670" t="str">
            <v>ALFRED CONHAGEN CO. OF CA</v>
          </cell>
        </row>
        <row r="671">
          <cell r="A671">
            <v>4101</v>
          </cell>
          <cell r="B671" t="str">
            <v>VEM1030</v>
          </cell>
          <cell r="D671" t="str">
            <v>P66</v>
          </cell>
          <cell r="AG671" t="str">
            <v>HP</v>
          </cell>
          <cell r="AV671" t="b">
            <v>0</v>
          </cell>
          <cell r="HD671" t="str">
            <v>Repair Shop</v>
          </cell>
          <cell r="HT671" t="b">
            <v>0</v>
          </cell>
          <cell r="HU671" t="str">
            <v>PHILLIPS 66</v>
          </cell>
        </row>
        <row r="672">
          <cell r="A672">
            <v>4100</v>
          </cell>
          <cell r="B672" t="str">
            <v>VEM1029</v>
          </cell>
          <cell r="D672" t="str">
            <v>P66</v>
          </cell>
          <cell r="F672" t="str">
            <v>Toshiba</v>
          </cell>
          <cell r="G672" t="str">
            <v>4K4050L1A4ADHHNZ</v>
          </cell>
          <cell r="H672" t="str">
            <v>030704217</v>
          </cell>
          <cell r="I672" t="str">
            <v>326T</v>
          </cell>
          <cell r="K672" t="str">
            <v>50</v>
          </cell>
          <cell r="L672" t="str">
            <v>1770</v>
          </cell>
          <cell r="M672" t="str">
            <v>TKKH</v>
          </cell>
          <cell r="N672" t="str">
            <v>650</v>
          </cell>
          <cell r="O672" t="str">
            <v>Full no Cord</v>
          </cell>
          <cell r="P672" t="str">
            <v>TEFC</v>
          </cell>
          <cell r="R672" t="str">
            <v>Continuous</v>
          </cell>
          <cell r="S672" t="str">
            <v>Yes</v>
          </cell>
          <cell r="T672" t="str">
            <v>yes</v>
          </cell>
          <cell r="U672" t="str">
            <v>50</v>
          </cell>
          <cell r="V672" t="str">
            <v>3</v>
          </cell>
          <cell r="W672" t="str">
            <v>60</v>
          </cell>
          <cell r="X672" t="str">
            <v>460</v>
          </cell>
          <cell r="Y672" t="str">
            <v>60</v>
          </cell>
          <cell r="AA672" t="str">
            <v>F1</v>
          </cell>
          <cell r="AG672" t="str">
            <v>HP</v>
          </cell>
          <cell r="AO672" t="str">
            <v>B</v>
          </cell>
          <cell r="AP672" t="str">
            <v>G</v>
          </cell>
          <cell r="AQ672" t="str">
            <v>F</v>
          </cell>
          <cell r="AS672" t="str">
            <v>1.15</v>
          </cell>
          <cell r="AT672" t="str">
            <v>94.1</v>
          </cell>
          <cell r="AV672" t="b">
            <v>0</v>
          </cell>
          <cell r="HD672" t="str">
            <v>Repair Shop</v>
          </cell>
          <cell r="HT672" t="b">
            <v>0</v>
          </cell>
          <cell r="HU672" t="str">
            <v>PHILLIPS 66</v>
          </cell>
        </row>
        <row r="673">
          <cell r="A673">
            <v>4099</v>
          </cell>
          <cell r="B673" t="str">
            <v>VEM1028</v>
          </cell>
          <cell r="D673" t="str">
            <v>CONHAGEN</v>
          </cell>
          <cell r="F673" t="str">
            <v>EBARA</v>
          </cell>
          <cell r="G673" t="str">
            <v>300DSC4F0FM66060</v>
          </cell>
          <cell r="I673" t="str">
            <v>SUBMERSIBLE</v>
          </cell>
          <cell r="K673" t="str">
            <v>60</v>
          </cell>
          <cell r="L673" t="str">
            <v>1200</v>
          </cell>
          <cell r="X673" t="str">
            <v>460</v>
          </cell>
          <cell r="AG673" t="str">
            <v>HP</v>
          </cell>
          <cell r="AV673" t="b">
            <v>0</v>
          </cell>
          <cell r="AW673" t="str">
            <v>82</v>
          </cell>
          <cell r="AX673" t="str">
            <v>6</v>
          </cell>
          <cell r="AY673" t="str">
            <v>EBARA</v>
          </cell>
          <cell r="AZ673" t="str">
            <v>300DSC4F0FM66060</v>
          </cell>
          <cell r="BA673" t="str">
            <v>C31479/1/1</v>
          </cell>
          <cell r="HD673" t="str">
            <v>Repair Shop</v>
          </cell>
          <cell r="HT673" t="b">
            <v>0</v>
          </cell>
          <cell r="HU673" t="str">
            <v>ALFRED CONHAGEN CO. OF CA</v>
          </cell>
        </row>
        <row r="674">
          <cell r="A674">
            <v>4098</v>
          </cell>
          <cell r="B674" t="str">
            <v>VEM1027</v>
          </cell>
          <cell r="D674" t="str">
            <v>CONHAGEN</v>
          </cell>
          <cell r="F674" t="str">
            <v>EBARA</v>
          </cell>
          <cell r="G674" t="str">
            <v>80DLCMFU611</v>
          </cell>
          <cell r="I674" t="str">
            <v>SUBMERSIBLE</v>
          </cell>
          <cell r="K674" t="str">
            <v>15</v>
          </cell>
          <cell r="L674" t="str">
            <v>1800</v>
          </cell>
          <cell r="V674" t="str">
            <v>3</v>
          </cell>
          <cell r="W674" t="str">
            <v>60</v>
          </cell>
          <cell r="X674" t="str">
            <v>460</v>
          </cell>
          <cell r="AG674" t="str">
            <v>HP</v>
          </cell>
          <cell r="AV674" t="b">
            <v>0</v>
          </cell>
          <cell r="AW674" t="str">
            <v>19.6</v>
          </cell>
          <cell r="AX674" t="str">
            <v>4</v>
          </cell>
          <cell r="AY674" t="str">
            <v>EBARA</v>
          </cell>
          <cell r="AZ674" t="str">
            <v>80DLCMFU611</v>
          </cell>
          <cell r="BA674" t="str">
            <v>031061/1/1</v>
          </cell>
          <cell r="HD674" t="str">
            <v>Repair Shop</v>
          </cell>
          <cell r="HT674" t="b">
            <v>0</v>
          </cell>
          <cell r="HU674" t="str">
            <v>ALFRED CONHAGEN CO. OF CA</v>
          </cell>
        </row>
        <row r="675">
          <cell r="A675">
            <v>4097</v>
          </cell>
          <cell r="B675" t="str">
            <v>VEM1026</v>
          </cell>
          <cell r="D675" t="str">
            <v>PANPACIFIC</v>
          </cell>
          <cell r="F675" t="str">
            <v>US Motors</v>
          </cell>
          <cell r="I675" t="str">
            <v>405T</v>
          </cell>
          <cell r="K675" t="str">
            <v>40</v>
          </cell>
          <cell r="L675" t="str">
            <v>710</v>
          </cell>
          <cell r="M675" t="str">
            <v>CTI</v>
          </cell>
          <cell r="N675" t="str">
            <v>1180</v>
          </cell>
          <cell r="O675" t="str">
            <v>Full no Cord</v>
          </cell>
          <cell r="P675" t="str">
            <v>TEFC</v>
          </cell>
          <cell r="R675" t="str">
            <v>Continuous</v>
          </cell>
          <cell r="S675" t="str">
            <v>Yes</v>
          </cell>
          <cell r="T675" t="str">
            <v>yes</v>
          </cell>
          <cell r="U675" t="str">
            <v>40</v>
          </cell>
          <cell r="V675" t="str">
            <v>3</v>
          </cell>
          <cell r="W675" t="str">
            <v>60</v>
          </cell>
          <cell r="X675" t="str">
            <v>460</v>
          </cell>
          <cell r="Y675" t="str">
            <v>56</v>
          </cell>
          <cell r="Z675" t="str">
            <v>No</v>
          </cell>
          <cell r="AA675" t="str">
            <v>F1</v>
          </cell>
          <cell r="AG675" t="str">
            <v>HP</v>
          </cell>
          <cell r="AI675" t="str">
            <v>6217</v>
          </cell>
          <cell r="AJ675" t="str">
            <v>6214</v>
          </cell>
          <cell r="AO675" t="str">
            <v>B</v>
          </cell>
          <cell r="AP675" t="str">
            <v>F</v>
          </cell>
          <cell r="AQ675" t="str">
            <v>F</v>
          </cell>
          <cell r="AR675" t="str">
            <v>71.9</v>
          </cell>
          <cell r="AS675" t="str">
            <v>1.15</v>
          </cell>
          <cell r="AT675" t="str">
            <v>92.4</v>
          </cell>
          <cell r="AV675" t="b">
            <v>0</v>
          </cell>
          <cell r="EW675" t="str">
            <v>H40V5C-P</v>
          </cell>
          <cell r="EX675" t="str">
            <v>L06 20075582-100R-   02</v>
          </cell>
          <cell r="HD675" t="str">
            <v>Repair Shop</v>
          </cell>
          <cell r="HT675" t="b">
            <v>0</v>
          </cell>
          <cell r="HU675" t="str">
            <v>PAN PACIFIC SUPPLY CO.</v>
          </cell>
        </row>
        <row r="676">
          <cell r="A676">
            <v>4096</v>
          </cell>
          <cell r="B676" t="str">
            <v>VEM1025</v>
          </cell>
          <cell r="D676" t="str">
            <v>VALERO</v>
          </cell>
          <cell r="F676" t="str">
            <v>Siemens</v>
          </cell>
          <cell r="H676" t="str">
            <v>E18322-01-1</v>
          </cell>
          <cell r="I676" t="str">
            <v>509Z</v>
          </cell>
          <cell r="K676" t="str">
            <v>250</v>
          </cell>
          <cell r="L676" t="str">
            <v>1786</v>
          </cell>
          <cell r="M676" t="str">
            <v>NCZ</v>
          </cell>
          <cell r="N676" t="str">
            <v>4400</v>
          </cell>
          <cell r="O676" t="str">
            <v>Full no Cord</v>
          </cell>
          <cell r="R676" t="str">
            <v>Continuous</v>
          </cell>
          <cell r="T676" t="str">
            <v>yes</v>
          </cell>
          <cell r="U676" t="str">
            <v>40</v>
          </cell>
          <cell r="V676" t="str">
            <v>3</v>
          </cell>
          <cell r="W676" t="str">
            <v>60</v>
          </cell>
          <cell r="X676" t="str">
            <v>4000</v>
          </cell>
          <cell r="Y676" t="str">
            <v>34.8</v>
          </cell>
          <cell r="AF676" t="str">
            <v>E18322-01-1</v>
          </cell>
          <cell r="AG676" t="str">
            <v>HP</v>
          </cell>
          <cell r="AO676" t="str">
            <v>A</v>
          </cell>
          <cell r="AQ676" t="str">
            <v>F</v>
          </cell>
          <cell r="AS676" t="str">
            <v>1.15</v>
          </cell>
          <cell r="AV676" t="b">
            <v>0</v>
          </cell>
          <cell r="GZ676" t="str">
            <v>C,D</v>
          </cell>
          <cell r="HA676" t="str">
            <v>1</v>
          </cell>
          <cell r="HD676" t="str">
            <v>Repair Shop</v>
          </cell>
          <cell r="HT676" t="b">
            <v>0</v>
          </cell>
          <cell r="HU676" t="str">
            <v>VALERO REFINING CO. BENICIA</v>
          </cell>
        </row>
        <row r="677">
          <cell r="A677">
            <v>4095</v>
          </cell>
          <cell r="B677" t="str">
            <v>VEM1024</v>
          </cell>
          <cell r="D677" t="str">
            <v>P66</v>
          </cell>
          <cell r="F677" t="str">
            <v>GE</v>
          </cell>
          <cell r="G677" t="str">
            <v>5K6267XJ63A</v>
          </cell>
          <cell r="H677" t="str">
            <v>FEJ611154</v>
          </cell>
          <cell r="I677" t="str">
            <v>365TPZ16</v>
          </cell>
          <cell r="K677" t="str">
            <v>75</v>
          </cell>
          <cell r="L677" t="str">
            <v>3550</v>
          </cell>
          <cell r="M677" t="str">
            <v>K</v>
          </cell>
          <cell r="O677" t="str">
            <v>Full no Cord</v>
          </cell>
          <cell r="P677" t="str">
            <v>TEFC</v>
          </cell>
          <cell r="R677" t="str">
            <v>Continuous</v>
          </cell>
          <cell r="T677" t="str">
            <v>yes</v>
          </cell>
          <cell r="U677" t="str">
            <v>75</v>
          </cell>
          <cell r="V677" t="str">
            <v>3</v>
          </cell>
          <cell r="W677" t="str">
            <v>60</v>
          </cell>
          <cell r="X677" t="str">
            <v>230/460</v>
          </cell>
          <cell r="Y677" t="str">
            <v>172.4/86.2</v>
          </cell>
          <cell r="Z677" t="str">
            <v>Yes</v>
          </cell>
          <cell r="AA677" t="str">
            <v>Vertical</v>
          </cell>
          <cell r="AD677" t="str">
            <v>0</v>
          </cell>
          <cell r="AG677" t="str">
            <v>HP</v>
          </cell>
          <cell r="AO677" t="str">
            <v>B</v>
          </cell>
          <cell r="AP677" t="str">
            <v>G</v>
          </cell>
          <cell r="AS677" t="str">
            <v>1.0</v>
          </cell>
          <cell r="AV677" t="b">
            <v>0</v>
          </cell>
          <cell r="HD677" t="str">
            <v>Repair Shop</v>
          </cell>
          <cell r="HT677" t="b">
            <v>0</v>
          </cell>
          <cell r="HU677" t="str">
            <v>PHILLIPS 66</v>
          </cell>
        </row>
        <row r="678">
          <cell r="A678">
            <v>4094</v>
          </cell>
          <cell r="B678" t="str">
            <v>VEM1023</v>
          </cell>
          <cell r="D678" t="str">
            <v>P66</v>
          </cell>
          <cell r="F678" t="str">
            <v>Louis Allis</v>
          </cell>
          <cell r="G678" t="str">
            <v>13295-1</v>
          </cell>
          <cell r="H678" t="str">
            <v>4396362012</v>
          </cell>
          <cell r="I678" t="str">
            <v>286U</v>
          </cell>
          <cell r="K678" t="str">
            <v>20</v>
          </cell>
          <cell r="L678" t="str">
            <v>1770</v>
          </cell>
          <cell r="M678" t="str">
            <v>CJX</v>
          </cell>
          <cell r="O678" t="str">
            <v>Full no Cord</v>
          </cell>
          <cell r="P678" t="str">
            <v>TEFC</v>
          </cell>
          <cell r="R678" t="str">
            <v>Continuous</v>
          </cell>
          <cell r="S678" t="str">
            <v>No</v>
          </cell>
          <cell r="T678" t="str">
            <v>None no key</v>
          </cell>
          <cell r="U678" t="str">
            <v>55</v>
          </cell>
          <cell r="V678" t="str">
            <v>3</v>
          </cell>
          <cell r="W678" t="str">
            <v>60</v>
          </cell>
          <cell r="X678" t="str">
            <v>208-220/440</v>
          </cell>
          <cell r="Y678" t="str">
            <v>53-50/25</v>
          </cell>
          <cell r="Z678" t="str">
            <v>No</v>
          </cell>
          <cell r="AA678" t="str">
            <v>F1</v>
          </cell>
          <cell r="AD678" t="str">
            <v>0</v>
          </cell>
          <cell r="AG678" t="str">
            <v>HP</v>
          </cell>
          <cell r="AO678" t="str">
            <v>B</v>
          </cell>
          <cell r="AP678" t="str">
            <v>F</v>
          </cell>
          <cell r="AQ678" t="str">
            <v>B</v>
          </cell>
          <cell r="AS678" t="str">
            <v>1.15</v>
          </cell>
          <cell r="AV678" t="b">
            <v>0</v>
          </cell>
          <cell r="HD678" t="str">
            <v>Repair Shop</v>
          </cell>
          <cell r="HT678" t="b">
            <v>0</v>
          </cell>
          <cell r="HU678" t="str">
            <v>PHILLIPS 66</v>
          </cell>
        </row>
        <row r="679">
          <cell r="A679">
            <v>4093</v>
          </cell>
          <cell r="B679" t="str">
            <v>VEM1022</v>
          </cell>
          <cell r="D679" t="str">
            <v>VALLEJOWATER</v>
          </cell>
          <cell r="F679" t="str">
            <v>Flygt sub pump</v>
          </cell>
          <cell r="H679" t="str">
            <v>3068180.3891</v>
          </cell>
          <cell r="K679" t="str">
            <v>3.8</v>
          </cell>
          <cell r="L679" t="str">
            <v>3395</v>
          </cell>
          <cell r="N679" t="str">
            <v>39kg</v>
          </cell>
          <cell r="O679" t="str">
            <v>Full w/ Cord</v>
          </cell>
          <cell r="R679" t="str">
            <v>Continuous</v>
          </cell>
          <cell r="U679" t="str">
            <v>40</v>
          </cell>
          <cell r="V679" t="str">
            <v>3</v>
          </cell>
          <cell r="W679" t="str">
            <v>60</v>
          </cell>
          <cell r="X679" t="str">
            <v>230/460</v>
          </cell>
          <cell r="Y679" t="str">
            <v>5.1/10</v>
          </cell>
          <cell r="AD679" t="str">
            <v>0</v>
          </cell>
          <cell r="AG679" t="str">
            <v>HP</v>
          </cell>
          <cell r="AV679" t="b">
            <v>0</v>
          </cell>
          <cell r="GK679" t="str">
            <v>Temp T 3 C</v>
          </cell>
          <cell r="GL679" t="str">
            <v>No plug</v>
          </cell>
          <cell r="GZ679" t="str">
            <v>ABCD</v>
          </cell>
          <cell r="HA679" t="str">
            <v>1,Div 2</v>
          </cell>
          <cell r="HD679" t="str">
            <v>Repair Shop</v>
          </cell>
          <cell r="HT679" t="b">
            <v>0</v>
          </cell>
          <cell r="HU679" t="str">
            <v>CITY OF VALLEJO WATER TREATMENT</v>
          </cell>
        </row>
        <row r="680">
          <cell r="A680">
            <v>4092</v>
          </cell>
          <cell r="B680" t="str">
            <v>VEM1021</v>
          </cell>
          <cell r="D680" t="str">
            <v>EURO</v>
          </cell>
          <cell r="F680" t="str">
            <v>EBERHARD</v>
          </cell>
          <cell r="H680" t="str">
            <v xml:space="preserve"> 1851467</v>
          </cell>
          <cell r="K680" t="str">
            <v>.4/1.6</v>
          </cell>
          <cell r="L680" t="str">
            <v>840/1710</v>
          </cell>
          <cell r="M680" t="str">
            <v>DP 1A82KFG1-115/283-AS/Y</v>
          </cell>
          <cell r="O680" t="str">
            <v>Full w/ Cord</v>
          </cell>
          <cell r="P680" t="str">
            <v>TEFC</v>
          </cell>
          <cell r="R680" t="str">
            <v>Continuous</v>
          </cell>
          <cell r="T680" t="str">
            <v>SPROCKET</v>
          </cell>
          <cell r="V680" t="str">
            <v>3</v>
          </cell>
          <cell r="W680" t="str">
            <v>60</v>
          </cell>
          <cell r="X680" t="str">
            <v>230/460</v>
          </cell>
          <cell r="Y680" t="str">
            <v>3.1/1.55/7.2/3.6</v>
          </cell>
          <cell r="AD680" t="str">
            <v>0</v>
          </cell>
          <cell r="AG680" t="str">
            <v>KW</v>
          </cell>
          <cell r="AQ680" t="str">
            <v>B</v>
          </cell>
          <cell r="AV680" t="b">
            <v>0</v>
          </cell>
          <cell r="CM680" t="str">
            <v>1 kpm</v>
          </cell>
          <cell r="CN680" t="str">
            <v>230</v>
          </cell>
          <cell r="CO680" t="str">
            <v>.32</v>
          </cell>
          <cell r="CR680" t="str">
            <v>GBR 100 WS</v>
          </cell>
          <cell r="GK680" t="str">
            <v>Motor No. 1851467</v>
          </cell>
          <cell r="HD680" t="str">
            <v>Repair Shop</v>
          </cell>
          <cell r="HT680" t="b">
            <v>0</v>
          </cell>
          <cell r="HU680" t="str">
            <v>EURO-MACHINES, INC.</v>
          </cell>
        </row>
        <row r="681">
          <cell r="A681">
            <v>4091</v>
          </cell>
          <cell r="B681" t="str">
            <v>VEM1020</v>
          </cell>
          <cell r="D681" t="str">
            <v>VALLEJOSAN</v>
          </cell>
          <cell r="AG681" t="str">
            <v>HP</v>
          </cell>
          <cell r="AV681" t="b">
            <v>0</v>
          </cell>
          <cell r="HD681" t="str">
            <v>Repair Shop</v>
          </cell>
          <cell r="HT681" t="b">
            <v>0</v>
          </cell>
          <cell r="HU681" t="str">
            <v>VALLEJO FLOOD &amp; WASTEWATER DISTRICT</v>
          </cell>
        </row>
        <row r="682">
          <cell r="A682">
            <v>4090</v>
          </cell>
          <cell r="B682" t="str">
            <v>VEM1019</v>
          </cell>
          <cell r="D682" t="str">
            <v>CONHAGEN</v>
          </cell>
          <cell r="AG682" t="str">
            <v>HP</v>
          </cell>
          <cell r="AV682" t="b">
            <v>0</v>
          </cell>
          <cell r="HD682" t="str">
            <v>Repair Shop</v>
          </cell>
          <cell r="HT682" t="b">
            <v>0</v>
          </cell>
          <cell r="HU682" t="str">
            <v>ALFRED CONHAGEN CO. OF CA</v>
          </cell>
        </row>
        <row r="683">
          <cell r="A683">
            <v>4089</v>
          </cell>
          <cell r="B683" t="str">
            <v>VEM1018</v>
          </cell>
          <cell r="D683" t="str">
            <v>CROCKETTCOGEN</v>
          </cell>
          <cell r="F683" t="str">
            <v>Siemens</v>
          </cell>
          <cell r="H683" t="str">
            <v>2103106001-1</v>
          </cell>
          <cell r="I683" t="str">
            <v>447TCV</v>
          </cell>
          <cell r="K683" t="str">
            <v>150/18.8</v>
          </cell>
          <cell r="L683" t="str">
            <v>1190</v>
          </cell>
          <cell r="M683" t="str">
            <v>RGZVESD</v>
          </cell>
          <cell r="P683" t="str">
            <v>TEFC</v>
          </cell>
          <cell r="V683" t="str">
            <v>3</v>
          </cell>
          <cell r="W683" t="str">
            <v>60</v>
          </cell>
          <cell r="X683" t="str">
            <v>460</v>
          </cell>
          <cell r="AA683" t="str">
            <v>Vertical</v>
          </cell>
          <cell r="AG683" t="str">
            <v>HP</v>
          </cell>
          <cell r="AV683" t="b">
            <v>0</v>
          </cell>
          <cell r="AW683" t="str">
            <v>180/85</v>
          </cell>
          <cell r="HD683" t="str">
            <v>Repair Shop</v>
          </cell>
          <cell r="HO683" t="str">
            <v>595</v>
          </cell>
          <cell r="HT683" t="b">
            <v>0</v>
          </cell>
          <cell r="HU683" t="str">
            <v>CROCKETT COGEN</v>
          </cell>
        </row>
        <row r="684">
          <cell r="A684">
            <v>4088</v>
          </cell>
          <cell r="B684" t="str">
            <v>VEM1017</v>
          </cell>
          <cell r="D684" t="str">
            <v>FAIRFIELDMAINT</v>
          </cell>
          <cell r="F684" t="str">
            <v>BALDOR-RELIANCE</v>
          </cell>
          <cell r="H684" t="str">
            <v>F1606014070</v>
          </cell>
          <cell r="I684" t="str">
            <v>184T</v>
          </cell>
          <cell r="K684" t="str">
            <v>5</v>
          </cell>
          <cell r="L684" t="str">
            <v>1750</v>
          </cell>
          <cell r="O684" t="str">
            <v>Full no Cord</v>
          </cell>
          <cell r="P684" t="str">
            <v>ODP</v>
          </cell>
          <cell r="Q684" t="str">
            <v>No</v>
          </cell>
          <cell r="R684" t="str">
            <v>Continuous</v>
          </cell>
          <cell r="S684" t="str">
            <v>Yes</v>
          </cell>
          <cell r="T684" t="str">
            <v>YES</v>
          </cell>
          <cell r="U684" t="str">
            <v>40C</v>
          </cell>
          <cell r="V684" t="str">
            <v>3</v>
          </cell>
          <cell r="W684" t="str">
            <v>60</v>
          </cell>
          <cell r="X684" t="str">
            <v>230/460</v>
          </cell>
          <cell r="Z684" t="str">
            <v>Yes</v>
          </cell>
          <cell r="AA684" t="str">
            <v>F1</v>
          </cell>
          <cell r="AD684" t="str">
            <v>0</v>
          </cell>
          <cell r="AG684" t="str">
            <v>HP</v>
          </cell>
          <cell r="AI684" t="str">
            <v>6206</v>
          </cell>
          <cell r="AJ684" t="str">
            <v>6205</v>
          </cell>
          <cell r="AO684" t="str">
            <v>B</v>
          </cell>
          <cell r="AP684" t="str">
            <v>J</v>
          </cell>
          <cell r="AQ684" t="str">
            <v>F</v>
          </cell>
          <cell r="AR684" t="str">
            <v>80</v>
          </cell>
          <cell r="AS684" t="str">
            <v>1.15</v>
          </cell>
          <cell r="AT684" t="str">
            <v>89.5</v>
          </cell>
          <cell r="AU684" t="str">
            <v>36G548S270G1</v>
          </cell>
          <cell r="AV684" t="b">
            <v>0</v>
          </cell>
          <cell r="AW684" t="str">
            <v>13.2/6.6</v>
          </cell>
          <cell r="AY684" t="str">
            <v>BELL &amp; GOSSETT</v>
          </cell>
          <cell r="AZ684" t="str">
            <v>3AD 7SSF</v>
          </cell>
          <cell r="BA684" t="str">
            <v>PH017174-B</v>
          </cell>
          <cell r="BE684" t="str">
            <v>330</v>
          </cell>
          <cell r="BF684" t="str">
            <v>NO</v>
          </cell>
          <cell r="BL684" t="str">
            <v>MAX 175</v>
          </cell>
          <cell r="EW684" t="str">
            <v>EM3218T</v>
          </cell>
          <cell r="HD684" t="str">
            <v>Repair Shop</v>
          </cell>
          <cell r="HT684" t="b">
            <v>0</v>
          </cell>
          <cell r="HU684" t="str">
            <v>CITY OF FAIRFIELD</v>
          </cell>
        </row>
        <row r="685">
          <cell r="A685">
            <v>4087</v>
          </cell>
          <cell r="B685" t="str">
            <v>VEM1016</v>
          </cell>
          <cell r="D685" t="str">
            <v>CONHAGEN</v>
          </cell>
          <cell r="F685" t="str">
            <v>Reliance</v>
          </cell>
          <cell r="I685" t="str">
            <v>X365LP</v>
          </cell>
          <cell r="K685" t="str">
            <v>75</v>
          </cell>
          <cell r="L685" t="str">
            <v>1780</v>
          </cell>
          <cell r="N685" t="str">
            <v>1066</v>
          </cell>
          <cell r="O685" t="str">
            <v>Full no Cord</v>
          </cell>
          <cell r="P685" t="str">
            <v>TEFC</v>
          </cell>
          <cell r="R685" t="str">
            <v>Continuous</v>
          </cell>
          <cell r="T685" t="str">
            <v>none no key</v>
          </cell>
          <cell r="U685" t="str">
            <v>40</v>
          </cell>
          <cell r="V685" t="str">
            <v>3</v>
          </cell>
          <cell r="W685" t="str">
            <v>60</v>
          </cell>
          <cell r="X685" t="str">
            <v>460</v>
          </cell>
          <cell r="Y685" t="str">
            <v>87.0</v>
          </cell>
          <cell r="Z685" t="str">
            <v>No</v>
          </cell>
          <cell r="AA685" t="str">
            <v>Vertical</v>
          </cell>
          <cell r="AD685" t="str">
            <v>0</v>
          </cell>
          <cell r="AF685" t="str">
            <v>LAK535686</v>
          </cell>
          <cell r="AG685" t="str">
            <v>HP</v>
          </cell>
          <cell r="AO685" t="str">
            <v>B</v>
          </cell>
          <cell r="AP685" t="str">
            <v>G</v>
          </cell>
          <cell r="AQ685" t="str">
            <v>F</v>
          </cell>
          <cell r="AR685" t="str">
            <v>85.5</v>
          </cell>
          <cell r="AS685" t="str">
            <v>1.15</v>
          </cell>
          <cell r="AT685" t="str">
            <v>94.1</v>
          </cell>
          <cell r="AV685" t="b">
            <v>0</v>
          </cell>
          <cell r="EX685" t="str">
            <v>6359170 G001 DF</v>
          </cell>
          <cell r="GK685" t="str">
            <v>Temp Code T3C</v>
          </cell>
          <cell r="GZ685" t="str">
            <v>D</v>
          </cell>
          <cell r="HA685" t="str">
            <v>1</v>
          </cell>
          <cell r="HD685" t="str">
            <v>Repair Shop</v>
          </cell>
          <cell r="HT685" t="b">
            <v>0</v>
          </cell>
          <cell r="HU685" t="str">
            <v>ALFRED CONHAGEN CO. OF CA</v>
          </cell>
        </row>
        <row r="686">
          <cell r="A686">
            <v>4086</v>
          </cell>
          <cell r="B686" t="str">
            <v>VEM1015</v>
          </cell>
          <cell r="D686" t="str">
            <v>EDF RENEWABLES</v>
          </cell>
          <cell r="F686" t="str">
            <v>Lust</v>
          </cell>
          <cell r="G686" t="str">
            <v>FGVH 112LL-4-D-F-D-C</v>
          </cell>
          <cell r="H686" t="str">
            <v>Mot No. 000457110</v>
          </cell>
          <cell r="K686" t="str">
            <v>4.4/9.6</v>
          </cell>
          <cell r="L686" t="str">
            <v>1400/920</v>
          </cell>
          <cell r="O686" t="str">
            <v>Full no Cord</v>
          </cell>
          <cell r="S686" t="str">
            <v>No</v>
          </cell>
          <cell r="T686" t="str">
            <v>key only</v>
          </cell>
          <cell r="U686" t="str">
            <v>50</v>
          </cell>
          <cell r="X686" t="str">
            <v>288</v>
          </cell>
          <cell r="AD686" t="str">
            <v>0</v>
          </cell>
          <cell r="AG686" t="str">
            <v>KW</v>
          </cell>
          <cell r="AV686" t="b">
            <v>0</v>
          </cell>
          <cell r="CM686" t="str">
            <v>100 Nm</v>
          </cell>
          <cell r="CN686" t="str">
            <v>288VDC</v>
          </cell>
          <cell r="CO686" t="str">
            <v>.17</v>
          </cell>
          <cell r="DW686" t="str">
            <v>140 W</v>
          </cell>
          <cell r="DX686" t="str">
            <v>230</v>
          </cell>
          <cell r="GK686" t="str">
            <v>S/N 000457110</v>
          </cell>
          <cell r="HD686" t="str">
            <v>Repair Shop</v>
          </cell>
          <cell r="HT686" t="b">
            <v>0</v>
          </cell>
          <cell r="HU686" t="str">
            <v>EDF RENEWABLES</v>
          </cell>
        </row>
        <row r="687">
          <cell r="A687">
            <v>4085</v>
          </cell>
          <cell r="B687" t="str">
            <v>VEM1014</v>
          </cell>
          <cell r="D687" t="str">
            <v>UNICO</v>
          </cell>
          <cell r="F687" t="str">
            <v>Baldor</v>
          </cell>
          <cell r="G687" t="str">
            <v>B478362</v>
          </cell>
          <cell r="K687" t="str">
            <v>40</v>
          </cell>
          <cell r="L687" t="str">
            <v>3560</v>
          </cell>
          <cell r="N687" t="str">
            <v>788</v>
          </cell>
          <cell r="O687" t="str">
            <v>Full no Cord</v>
          </cell>
          <cell r="P687" t="str">
            <v>EXP</v>
          </cell>
          <cell r="R687" t="str">
            <v>Continuous</v>
          </cell>
          <cell r="S687" t="str">
            <v>No</v>
          </cell>
          <cell r="T687" t="str">
            <v>NONE ,NO KEY</v>
          </cell>
          <cell r="U687" t="str">
            <v>40</v>
          </cell>
          <cell r="V687" t="str">
            <v>3</v>
          </cell>
          <cell r="X687" t="str">
            <v>460</v>
          </cell>
          <cell r="Y687" t="str">
            <v>44.3</v>
          </cell>
          <cell r="Z687" t="str">
            <v>Yes</v>
          </cell>
          <cell r="AA687" t="str">
            <v>F1</v>
          </cell>
          <cell r="AD687" t="str">
            <v>-1</v>
          </cell>
          <cell r="AF687" t="str">
            <v>XBW565855</v>
          </cell>
          <cell r="AG687" t="str">
            <v>HP</v>
          </cell>
          <cell r="AQ687" t="str">
            <v>F</v>
          </cell>
          <cell r="AR687" t="str">
            <v>89.7</v>
          </cell>
          <cell r="AS687" t="str">
            <v>1.15</v>
          </cell>
          <cell r="AT687" t="str">
            <v>94.1</v>
          </cell>
          <cell r="AV687" t="b">
            <v>0</v>
          </cell>
          <cell r="GK687" t="str">
            <v>has second jb full</v>
          </cell>
          <cell r="GL687" t="str">
            <v>TEMP CODE FOR XP T3C</v>
          </cell>
          <cell r="GZ687" t="str">
            <v>D</v>
          </cell>
          <cell r="HA687" t="str">
            <v>1</v>
          </cell>
          <cell r="HD687" t="str">
            <v>Repair Shop</v>
          </cell>
          <cell r="HT687" t="b">
            <v>0</v>
          </cell>
          <cell r="HU687" t="str">
            <v>UNICO MECHANICAL CORP.</v>
          </cell>
        </row>
        <row r="688">
          <cell r="A688">
            <v>4084</v>
          </cell>
          <cell r="B688" t="str">
            <v>VEM1013</v>
          </cell>
          <cell r="D688" t="str">
            <v>P66</v>
          </cell>
          <cell r="F688" t="str">
            <v>GE</v>
          </cell>
          <cell r="G688" t="str">
            <v>5KSZXJ63A</v>
          </cell>
          <cell r="H688" t="str">
            <v>FEJ61154</v>
          </cell>
          <cell r="I688" t="str">
            <v>365TPZ16</v>
          </cell>
          <cell r="K688" t="str">
            <v>75</v>
          </cell>
          <cell r="L688" t="str">
            <v>3600</v>
          </cell>
          <cell r="P688" t="str">
            <v>TEFC</v>
          </cell>
          <cell r="R688" t="str">
            <v>Continuous</v>
          </cell>
          <cell r="V688" t="str">
            <v>3</v>
          </cell>
          <cell r="W688" t="str">
            <v>60</v>
          </cell>
          <cell r="X688" t="str">
            <v>230/460</v>
          </cell>
          <cell r="Y688" t="str">
            <v>172.4/86.2</v>
          </cell>
          <cell r="AA688" t="str">
            <v>Vertical</v>
          </cell>
          <cell r="AG688" t="str">
            <v>HP</v>
          </cell>
          <cell r="AV688" t="b">
            <v>0</v>
          </cell>
          <cell r="AX688" t="str">
            <v>2</v>
          </cell>
          <cell r="HD688" t="str">
            <v>Repair Shop</v>
          </cell>
          <cell r="HT688" t="b">
            <v>0</v>
          </cell>
          <cell r="HU688" t="str">
            <v>PHILLIPS 66</v>
          </cell>
        </row>
        <row r="689">
          <cell r="A689">
            <v>4083</v>
          </cell>
          <cell r="B689" t="str">
            <v>VEM1012</v>
          </cell>
          <cell r="D689" t="str">
            <v>CONHAGEN</v>
          </cell>
          <cell r="F689" t="str">
            <v>GE</v>
          </cell>
          <cell r="G689" t="str">
            <v>5KS215XAE5721B</v>
          </cell>
          <cell r="H689" t="str">
            <v>DLFT094S051</v>
          </cell>
          <cell r="I689" t="str">
            <v>L215LP10</v>
          </cell>
          <cell r="K689" t="str">
            <v>10</v>
          </cell>
          <cell r="L689" t="str">
            <v>3520</v>
          </cell>
          <cell r="M689" t="str">
            <v>KS</v>
          </cell>
          <cell r="N689" t="str">
            <v>220</v>
          </cell>
          <cell r="O689" t="str">
            <v>Full no Cord</v>
          </cell>
          <cell r="P689" t="str">
            <v>TEFC</v>
          </cell>
          <cell r="R689" t="str">
            <v>Continuous</v>
          </cell>
          <cell r="S689" t="str">
            <v>No</v>
          </cell>
          <cell r="T689" t="str">
            <v>NONE NO KEY</v>
          </cell>
          <cell r="U689" t="str">
            <v>40</v>
          </cell>
          <cell r="V689" t="str">
            <v>3</v>
          </cell>
          <cell r="W689" t="str">
            <v>60</v>
          </cell>
          <cell r="X689" t="str">
            <v>460</v>
          </cell>
          <cell r="Y689" t="str">
            <v>11.5</v>
          </cell>
          <cell r="Z689" t="str">
            <v>Yes</v>
          </cell>
          <cell r="AA689" t="str">
            <v>Vertical</v>
          </cell>
          <cell r="AG689" t="str">
            <v>HP</v>
          </cell>
          <cell r="AI689" t="str">
            <v>3210</v>
          </cell>
          <cell r="AJ689" t="str">
            <v>6208</v>
          </cell>
          <cell r="AO689" t="str">
            <v>B</v>
          </cell>
          <cell r="AP689" t="str">
            <v>H</v>
          </cell>
          <cell r="AQ689" t="str">
            <v>H</v>
          </cell>
          <cell r="AR689" t="str">
            <v>90.0</v>
          </cell>
          <cell r="AS689" t="str">
            <v>1.15</v>
          </cell>
          <cell r="AT689" t="str">
            <v>90.2</v>
          </cell>
          <cell r="AV689" t="b">
            <v>0</v>
          </cell>
          <cell r="EW689" t="str">
            <v>V771</v>
          </cell>
          <cell r="HD689" t="str">
            <v>Repair Shop</v>
          </cell>
          <cell r="HT689" t="b">
            <v>0</v>
          </cell>
          <cell r="HU689" t="str">
            <v>ALFRED CONHAGEN CO. OF CA</v>
          </cell>
        </row>
        <row r="690">
          <cell r="A690">
            <v>3084</v>
          </cell>
          <cell r="B690" t="str">
            <v>VEM1011</v>
          </cell>
          <cell r="D690" t="str">
            <v>P66</v>
          </cell>
          <cell r="F690" t="str">
            <v>SIEMENS ALLIS</v>
          </cell>
          <cell r="I690" t="str">
            <v>286U</v>
          </cell>
          <cell r="K690" t="str">
            <v>20</v>
          </cell>
          <cell r="L690" t="str">
            <v>1800</v>
          </cell>
          <cell r="AG690" t="str">
            <v>HP</v>
          </cell>
          <cell r="AI690" t="str">
            <v>211</v>
          </cell>
          <cell r="AJ690" t="str">
            <v>311</v>
          </cell>
          <cell r="AV690" t="b">
            <v>0</v>
          </cell>
          <cell r="AX690" t="str">
            <v>4</v>
          </cell>
          <cell r="HD690" t="str">
            <v>Repair Shop</v>
          </cell>
          <cell r="HT690" t="b">
            <v>0</v>
          </cell>
          <cell r="HU690" t="str">
            <v>PHILLIPS 66</v>
          </cell>
        </row>
        <row r="691">
          <cell r="A691">
            <v>3083</v>
          </cell>
          <cell r="B691" t="str">
            <v>VEM1010</v>
          </cell>
          <cell r="D691" t="str">
            <v>P66</v>
          </cell>
          <cell r="F691" t="str">
            <v>Siemens</v>
          </cell>
          <cell r="H691" t="str">
            <v>A12T0238BP  3</v>
          </cell>
          <cell r="I691" t="str">
            <v>286LPH</v>
          </cell>
          <cell r="K691" t="str">
            <v>30</v>
          </cell>
          <cell r="L691" t="str">
            <v>3525</v>
          </cell>
          <cell r="M691" t="str">
            <v>RGZVILESD</v>
          </cell>
          <cell r="P691" t="str">
            <v>TEFC</v>
          </cell>
          <cell r="R691" t="str">
            <v>Continuous</v>
          </cell>
          <cell r="U691" t="str">
            <v>40</v>
          </cell>
          <cell r="V691" t="str">
            <v>3</v>
          </cell>
          <cell r="W691" t="str">
            <v>60</v>
          </cell>
          <cell r="X691" t="str">
            <v>460</v>
          </cell>
          <cell r="AA691" t="str">
            <v>Vertical</v>
          </cell>
          <cell r="AD691" t="str">
            <v>-1</v>
          </cell>
          <cell r="AG691" t="str">
            <v>HP</v>
          </cell>
          <cell r="AI691" t="str">
            <v>60BC03JPP3</v>
          </cell>
          <cell r="AJ691" t="str">
            <v>50BT03MR</v>
          </cell>
          <cell r="AO691" t="str">
            <v>B</v>
          </cell>
          <cell r="AP691" t="str">
            <v>G</v>
          </cell>
          <cell r="AQ691" t="str">
            <v>B</v>
          </cell>
          <cell r="AS691" t="str">
            <v>1.15</v>
          </cell>
          <cell r="AT691" t="str">
            <v>90.2</v>
          </cell>
          <cell r="AV691" t="b">
            <v>0</v>
          </cell>
          <cell r="AW691" t="str">
            <v>34</v>
          </cell>
          <cell r="GK691" t="str">
            <v>PART#1PC28312EA412TA3</v>
          </cell>
          <cell r="HD691" t="str">
            <v>Repair Shop</v>
          </cell>
          <cell r="HT691" t="b">
            <v>0</v>
          </cell>
          <cell r="HU691" t="str">
            <v>PHILLIPS 66</v>
          </cell>
        </row>
        <row r="692">
          <cell r="A692">
            <v>3082</v>
          </cell>
          <cell r="B692" t="str">
            <v>VEM1009</v>
          </cell>
          <cell r="D692" t="str">
            <v>P66</v>
          </cell>
          <cell r="F692" t="str">
            <v>Reliance</v>
          </cell>
          <cell r="G692" t="str">
            <v>B433502</v>
          </cell>
          <cell r="I692" t="str">
            <v>184T</v>
          </cell>
          <cell r="K692" t="str">
            <v>5</v>
          </cell>
          <cell r="L692" t="str">
            <v>1750</v>
          </cell>
          <cell r="M692" t="str">
            <v>P</v>
          </cell>
          <cell r="N692" t="str">
            <v>126</v>
          </cell>
          <cell r="O692" t="str">
            <v>Full no Cord</v>
          </cell>
          <cell r="P692" t="str">
            <v>TEFC</v>
          </cell>
          <cell r="R692" t="str">
            <v>Continuous</v>
          </cell>
          <cell r="S692" t="str">
            <v>Yes</v>
          </cell>
          <cell r="T692" t="str">
            <v>yes</v>
          </cell>
          <cell r="U692" t="str">
            <v>40</v>
          </cell>
          <cell r="V692" t="str">
            <v>3</v>
          </cell>
          <cell r="W692" t="str">
            <v>60</v>
          </cell>
          <cell r="X692" t="str">
            <v>460</v>
          </cell>
          <cell r="Y692" t="str">
            <v>6.6</v>
          </cell>
          <cell r="Z692" t="str">
            <v>Yes</v>
          </cell>
          <cell r="AA692" t="str">
            <v>F1</v>
          </cell>
          <cell r="AD692" t="str">
            <v>0</v>
          </cell>
          <cell r="AG692" t="str">
            <v>HP</v>
          </cell>
          <cell r="AP692" t="str">
            <v>J</v>
          </cell>
          <cell r="AQ692" t="str">
            <v>F</v>
          </cell>
          <cell r="AR692" t="str">
            <v>79.7</v>
          </cell>
          <cell r="AS692" t="str">
            <v>1.15</v>
          </cell>
          <cell r="AV692" t="b">
            <v>0</v>
          </cell>
          <cell r="EX692" t="str">
            <v>B433502-010 L0011 JL</v>
          </cell>
          <cell r="HD692" t="str">
            <v>Repair Shop</v>
          </cell>
          <cell r="HT692" t="b">
            <v>0</v>
          </cell>
          <cell r="HU692" t="str">
            <v>PHILLIPS 66</v>
          </cell>
        </row>
        <row r="693">
          <cell r="A693">
            <v>3081</v>
          </cell>
          <cell r="B693" t="str">
            <v>VEM1008</v>
          </cell>
          <cell r="D693" t="str">
            <v>CONHAGEN</v>
          </cell>
          <cell r="AG693" t="str">
            <v>HP</v>
          </cell>
          <cell r="AV693" t="b">
            <v>0</v>
          </cell>
          <cell r="HD693" t="str">
            <v>Repair Shop</v>
          </cell>
          <cell r="HT693" t="b">
            <v>0</v>
          </cell>
          <cell r="HU693" t="str">
            <v>ALFRED CONHAGEN CO. OF CA</v>
          </cell>
        </row>
        <row r="694">
          <cell r="A694">
            <v>3080</v>
          </cell>
          <cell r="B694" t="str">
            <v>VEM1007</v>
          </cell>
          <cell r="D694" t="str">
            <v>UNICO</v>
          </cell>
          <cell r="F694" t="str">
            <v>GE</v>
          </cell>
          <cell r="G694" t="str">
            <v>5K182GK266A</v>
          </cell>
          <cell r="I694" t="str">
            <v>182TY</v>
          </cell>
          <cell r="K694" t="str">
            <v>3</v>
          </cell>
          <cell r="L694" t="str">
            <v>1755</v>
          </cell>
          <cell r="M694" t="str">
            <v>K</v>
          </cell>
          <cell r="O694" t="str">
            <v>Full no Cord</v>
          </cell>
          <cell r="P694" t="str">
            <v>TEFC</v>
          </cell>
          <cell r="R694" t="str">
            <v>Continuous</v>
          </cell>
          <cell r="S694" t="str">
            <v>No</v>
          </cell>
          <cell r="T694" t="str">
            <v>none no key</v>
          </cell>
          <cell r="U694" t="str">
            <v>40</v>
          </cell>
          <cell r="V694" t="str">
            <v>3</v>
          </cell>
          <cell r="W694" t="str">
            <v>60</v>
          </cell>
          <cell r="Y694" t="str">
            <v>9.2/4.6</v>
          </cell>
          <cell r="Z694" t="str">
            <v>Yes</v>
          </cell>
          <cell r="AA694" t="str">
            <v>Vertical</v>
          </cell>
          <cell r="AG694" t="str">
            <v>HP</v>
          </cell>
          <cell r="AO694" t="str">
            <v>B</v>
          </cell>
          <cell r="AQ694" t="str">
            <v>B</v>
          </cell>
          <cell r="AS694" t="str">
            <v>1.0</v>
          </cell>
          <cell r="AV694" t="b">
            <v>0</v>
          </cell>
          <cell r="HD694" t="str">
            <v>Repair Shop</v>
          </cell>
          <cell r="HT694" t="b">
            <v>0</v>
          </cell>
          <cell r="HU694" t="str">
            <v>UNICO MECHANICAL CORP.</v>
          </cell>
        </row>
        <row r="695">
          <cell r="A695">
            <v>3079</v>
          </cell>
          <cell r="B695" t="str">
            <v>VEM1006</v>
          </cell>
          <cell r="D695" t="str">
            <v>P66</v>
          </cell>
          <cell r="F695" t="str">
            <v>GE</v>
          </cell>
          <cell r="G695" t="str">
            <v>5K6325DD2</v>
          </cell>
          <cell r="H695" t="str">
            <v>6100153</v>
          </cell>
          <cell r="I695" t="str">
            <v>63255</v>
          </cell>
          <cell r="K695" t="str">
            <v>75</v>
          </cell>
          <cell r="L695" t="str">
            <v>1780</v>
          </cell>
          <cell r="M695" t="str">
            <v>K</v>
          </cell>
          <cell r="O695" t="str">
            <v>Full no Cord</v>
          </cell>
          <cell r="P695" t="str">
            <v>TEFC</v>
          </cell>
          <cell r="R695" t="str">
            <v>Continuous</v>
          </cell>
          <cell r="S695" t="str">
            <v>Yes</v>
          </cell>
          <cell r="T695" t="str">
            <v>YES</v>
          </cell>
          <cell r="U695" t="str">
            <v>40</v>
          </cell>
          <cell r="V695" t="str">
            <v>3</v>
          </cell>
          <cell r="W695" t="str">
            <v>60</v>
          </cell>
          <cell r="X695" t="str">
            <v>2300</v>
          </cell>
          <cell r="Y695" t="str">
            <v>17.5</v>
          </cell>
          <cell r="AA695" t="str">
            <v>F1</v>
          </cell>
          <cell r="AG695" t="str">
            <v>HP</v>
          </cell>
          <cell r="AP695" t="str">
            <v>J</v>
          </cell>
          <cell r="AV695" t="b">
            <v>0</v>
          </cell>
          <cell r="GK695" t="str">
            <v>hEATER JB WITH COVER.</v>
          </cell>
          <cell r="HD695" t="str">
            <v>Repair Shop</v>
          </cell>
          <cell r="HT695" t="b">
            <v>0</v>
          </cell>
          <cell r="HU695" t="str">
            <v>PHILLIPS 66</v>
          </cell>
        </row>
        <row r="696">
          <cell r="A696">
            <v>3078</v>
          </cell>
          <cell r="B696" t="str">
            <v>VEM1005</v>
          </cell>
          <cell r="D696" t="str">
            <v>EURO</v>
          </cell>
          <cell r="AG696" t="str">
            <v>HP</v>
          </cell>
          <cell r="AV696" t="b">
            <v>0</v>
          </cell>
          <cell r="CM696" t="str">
            <v>10 Nm</v>
          </cell>
          <cell r="CN696" t="str">
            <v>230</v>
          </cell>
          <cell r="CO696" t="str">
            <v>.32</v>
          </cell>
          <cell r="CQ696" t="str">
            <v>60</v>
          </cell>
          <cell r="CR696" t="str">
            <v>GBR 100 WS</v>
          </cell>
          <cell r="HD696" t="str">
            <v>Repair Shop</v>
          </cell>
          <cell r="HT696" t="b">
            <v>0</v>
          </cell>
          <cell r="HU696" t="str">
            <v>EURO-MACHINES, INC.</v>
          </cell>
        </row>
        <row r="697">
          <cell r="A697">
            <v>3077</v>
          </cell>
          <cell r="B697" t="str">
            <v>VEM1004</v>
          </cell>
          <cell r="D697" t="str">
            <v>AMPORTS</v>
          </cell>
          <cell r="F697" t="str">
            <v>GE</v>
          </cell>
          <cell r="G697" t="str">
            <v>5K6248X3006A</v>
          </cell>
          <cell r="H697" t="str">
            <v>ELJ521419</v>
          </cell>
          <cell r="I697" t="str">
            <v>B326HP16</v>
          </cell>
          <cell r="K697" t="str">
            <v>30</v>
          </cell>
          <cell r="L697" t="str">
            <v>1170</v>
          </cell>
          <cell r="M697" t="str">
            <v>K</v>
          </cell>
          <cell r="O697" t="str">
            <v>Full no Cord</v>
          </cell>
          <cell r="P697" t="str">
            <v>ODP</v>
          </cell>
          <cell r="R697" t="str">
            <v>Continuous</v>
          </cell>
          <cell r="S697" t="str">
            <v>Yes</v>
          </cell>
          <cell r="T697" t="str">
            <v>yes</v>
          </cell>
          <cell r="V697" t="str">
            <v>3</v>
          </cell>
          <cell r="W697" t="str">
            <v>60</v>
          </cell>
          <cell r="X697" t="str">
            <v>230/460</v>
          </cell>
          <cell r="Y697" t="str">
            <v>79/39.5</v>
          </cell>
          <cell r="AA697" t="str">
            <v>Vertical</v>
          </cell>
          <cell r="AG697" t="str">
            <v>HP</v>
          </cell>
          <cell r="AO697" t="str">
            <v>B</v>
          </cell>
          <cell r="AP697" t="str">
            <v>G</v>
          </cell>
          <cell r="AS697" t="str">
            <v>1.15</v>
          </cell>
          <cell r="AV697" t="b">
            <v>0</v>
          </cell>
          <cell r="HD697" t="str">
            <v>Repair Shop</v>
          </cell>
          <cell r="HT697" t="b">
            <v>0</v>
          </cell>
          <cell r="HU697" t="str">
            <v>AMPORTS BENICIA PORT TERMINAL</v>
          </cell>
        </row>
        <row r="698">
          <cell r="A698">
            <v>3076</v>
          </cell>
          <cell r="B698" t="str">
            <v>VEM1003</v>
          </cell>
          <cell r="D698" t="str">
            <v>SYAR</v>
          </cell>
          <cell r="F698" t="str">
            <v>US Motors</v>
          </cell>
          <cell r="G698" t="str">
            <v>B048</v>
          </cell>
          <cell r="I698" t="str">
            <v>256JP</v>
          </cell>
          <cell r="K698" t="str">
            <v>20.00</v>
          </cell>
          <cell r="L698" t="str">
            <v>3530</v>
          </cell>
          <cell r="M698" t="str">
            <v>UT-1</v>
          </cell>
          <cell r="N698" t="str">
            <v>230</v>
          </cell>
          <cell r="O698" t="str">
            <v>None</v>
          </cell>
          <cell r="P698" t="str">
            <v>TEFC</v>
          </cell>
          <cell r="R698" t="str">
            <v>Continuous</v>
          </cell>
          <cell r="S698" t="str">
            <v>Yes</v>
          </cell>
          <cell r="U698" t="str">
            <v>40</v>
          </cell>
          <cell r="V698" t="str">
            <v>3</v>
          </cell>
          <cell r="W698" t="str">
            <v>60</v>
          </cell>
          <cell r="X698" t="str">
            <v>208-230/460</v>
          </cell>
          <cell r="Y698" t="str">
            <v>55-48/24</v>
          </cell>
          <cell r="AA698" t="str">
            <v>F1</v>
          </cell>
          <cell r="AD698" t="str">
            <v>0</v>
          </cell>
          <cell r="AG698" t="str">
            <v>HP</v>
          </cell>
          <cell r="AI698" t="str">
            <v>6310</v>
          </cell>
          <cell r="AJ698" t="str">
            <v>6207</v>
          </cell>
          <cell r="AO698" t="str">
            <v>B</v>
          </cell>
          <cell r="AP698" t="str">
            <v>G</v>
          </cell>
          <cell r="AQ698" t="str">
            <v>F</v>
          </cell>
          <cell r="AS698" t="str">
            <v>1.25</v>
          </cell>
          <cell r="AT698" t="str">
            <v>88.5</v>
          </cell>
          <cell r="AV698" t="b">
            <v>0</v>
          </cell>
          <cell r="AY698" t="str">
            <v>MARLOW</v>
          </cell>
          <cell r="AZ698" t="str">
            <v>3PL4EC</v>
          </cell>
          <cell r="BA698" t="str">
            <v>438B822</v>
          </cell>
          <cell r="BB698" t="str">
            <v>6.500</v>
          </cell>
          <cell r="EW698" t="str">
            <v>UJ20S1AP</v>
          </cell>
          <cell r="EX698" t="str">
            <v>H10-B048-M</v>
          </cell>
          <cell r="GK698" t="str">
            <v>eyebolt only on motor</v>
          </cell>
          <cell r="HD698" t="str">
            <v>Repair Shop</v>
          </cell>
          <cell r="HT698" t="b">
            <v>0</v>
          </cell>
          <cell r="HU698" t="str">
            <v>SYAR INDUSTRIES</v>
          </cell>
        </row>
        <row r="699">
          <cell r="A699">
            <v>3075</v>
          </cell>
          <cell r="B699" t="str">
            <v>VEM1002</v>
          </cell>
          <cell r="D699" t="str">
            <v>VALLEJOSAN</v>
          </cell>
          <cell r="AD699" t="str">
            <v>0</v>
          </cell>
          <cell r="AG699" t="str">
            <v>HP</v>
          </cell>
          <cell r="AV699" t="b">
            <v>0</v>
          </cell>
          <cell r="HD699" t="str">
            <v>Repair Shop</v>
          </cell>
          <cell r="HT699" t="b">
            <v>0</v>
          </cell>
          <cell r="HU699" t="str">
            <v>VALLEJO FLOOD &amp; WASTEWATER DISTRICT</v>
          </cell>
        </row>
        <row r="700">
          <cell r="A700">
            <v>3074</v>
          </cell>
          <cell r="B700" t="str">
            <v>VEM1001</v>
          </cell>
          <cell r="D700" t="str">
            <v>P66</v>
          </cell>
          <cell r="F700" t="str">
            <v>Reliance</v>
          </cell>
          <cell r="I700" t="str">
            <v>215A</v>
          </cell>
          <cell r="K700" t="str">
            <v>1.5</v>
          </cell>
          <cell r="L700" t="str">
            <v>1150-2300</v>
          </cell>
          <cell r="O700" t="str">
            <v>Full no Cord</v>
          </cell>
          <cell r="P700" t="str">
            <v>TENV</v>
          </cell>
          <cell r="R700" t="str">
            <v>Continuous</v>
          </cell>
          <cell r="S700" t="str">
            <v>Yes</v>
          </cell>
          <cell r="T700" t="str">
            <v>NONE NO KEY</v>
          </cell>
          <cell r="U700" t="str">
            <v>60</v>
          </cell>
          <cell r="X700" t="str">
            <v>240</v>
          </cell>
          <cell r="Y700" t="str">
            <v>6.0</v>
          </cell>
          <cell r="AA700" t="str">
            <v>F1</v>
          </cell>
          <cell r="AV700" t="b">
            <v>0</v>
          </cell>
          <cell r="ER700" t="str">
            <v>240</v>
          </cell>
          <cell r="ES700" t="str">
            <v>.65</v>
          </cell>
          <cell r="EX700" t="str">
            <v>21D56B KS</v>
          </cell>
          <cell r="HD700" t="str">
            <v>Repair Shop</v>
          </cell>
          <cell r="HT700" t="b">
            <v>0</v>
          </cell>
          <cell r="HU700" t="str">
            <v>PHILLIPS 66</v>
          </cell>
        </row>
        <row r="701">
          <cell r="A701">
            <v>3073</v>
          </cell>
          <cell r="B701" t="str">
            <v>VEM1000</v>
          </cell>
          <cell r="D701" t="str">
            <v>GERDAU</v>
          </cell>
          <cell r="AD701" t="str">
            <v>0</v>
          </cell>
          <cell r="AG701" t="str">
            <v>HP</v>
          </cell>
          <cell r="AV701" t="b">
            <v>0</v>
          </cell>
          <cell r="HD701" t="str">
            <v>Repair Shop</v>
          </cell>
          <cell r="HT701" t="b">
            <v>0</v>
          </cell>
          <cell r="HU701" t="str">
            <v>GERDAU REINFORCING</v>
          </cell>
        </row>
        <row r="702">
          <cell r="A702">
            <v>3072</v>
          </cell>
          <cell r="B702" t="str">
            <v>VEM0998</v>
          </cell>
          <cell r="D702" t="str">
            <v>GERDAU</v>
          </cell>
          <cell r="AG702" t="str">
            <v>HP</v>
          </cell>
          <cell r="AV702" t="b">
            <v>0</v>
          </cell>
          <cell r="HD702" t="str">
            <v>Repair Shop</v>
          </cell>
          <cell r="HT702" t="b">
            <v>0</v>
          </cell>
          <cell r="HU702" t="str">
            <v>GERDAU REINFORCING</v>
          </cell>
        </row>
        <row r="703">
          <cell r="A703">
            <v>3071</v>
          </cell>
          <cell r="B703" t="str">
            <v>VEM0997</v>
          </cell>
          <cell r="D703" t="str">
            <v>CONHAGEN</v>
          </cell>
          <cell r="F703" t="str">
            <v>Baldor</v>
          </cell>
          <cell r="H703" t="str">
            <v>C1509290047</v>
          </cell>
          <cell r="I703" t="str">
            <v>284TSCZ</v>
          </cell>
          <cell r="K703" t="str">
            <v>30</v>
          </cell>
          <cell r="L703" t="str">
            <v>3520</v>
          </cell>
          <cell r="O703" t="str">
            <v>Full no Cord</v>
          </cell>
          <cell r="P703" t="str">
            <v>TEFC</v>
          </cell>
          <cell r="R703" t="str">
            <v>Continuous</v>
          </cell>
          <cell r="S703" t="str">
            <v>Yes</v>
          </cell>
          <cell r="T703" t="str">
            <v>none</v>
          </cell>
          <cell r="U703" t="str">
            <v>40</v>
          </cell>
          <cell r="V703" t="str">
            <v>3</v>
          </cell>
          <cell r="W703" t="str">
            <v>60</v>
          </cell>
          <cell r="X703" t="str">
            <v>230/460</v>
          </cell>
          <cell r="Y703" t="str">
            <v>66/33</v>
          </cell>
          <cell r="Z703" t="str">
            <v>No</v>
          </cell>
          <cell r="AA703" t="str">
            <v>Vertical</v>
          </cell>
          <cell r="AD703" t="str">
            <v>0</v>
          </cell>
          <cell r="AG703" t="str">
            <v>HP</v>
          </cell>
          <cell r="AI703" t="str">
            <v>7311</v>
          </cell>
          <cell r="AJ703" t="str">
            <v>6309</v>
          </cell>
          <cell r="AO703" t="str">
            <v>B</v>
          </cell>
          <cell r="AP703" t="str">
            <v>G</v>
          </cell>
          <cell r="AQ703" t="str">
            <v>F</v>
          </cell>
          <cell r="AR703" t="str">
            <v>89</v>
          </cell>
          <cell r="AT703" t="str">
            <v>91.7</v>
          </cell>
          <cell r="AU703" t="str">
            <v>10G373Y130G2</v>
          </cell>
          <cell r="AV703" t="b">
            <v>0</v>
          </cell>
          <cell r="EW703" t="str">
            <v>84Z03091</v>
          </cell>
          <cell r="HD703" t="str">
            <v>Repair Shop</v>
          </cell>
          <cell r="HT703" t="b">
            <v>0</v>
          </cell>
          <cell r="HU703" t="str">
            <v>ALFRED CONHAGEN CO. OF CA</v>
          </cell>
        </row>
        <row r="704">
          <cell r="A704">
            <v>3070</v>
          </cell>
          <cell r="B704" t="str">
            <v>VEM0996</v>
          </cell>
          <cell r="D704" t="str">
            <v>GERDAU</v>
          </cell>
          <cell r="F704" t="str">
            <v>DEMAG</v>
          </cell>
          <cell r="H704" t="str">
            <v>70366421</v>
          </cell>
          <cell r="K704" t="str">
            <v>.47/1.95</v>
          </cell>
          <cell r="L704" t="str">
            <v>835/3360</v>
          </cell>
          <cell r="M704" t="str">
            <v>ZBF 100 A8/2 B050</v>
          </cell>
          <cell r="O704" t="str">
            <v>Full no Cord</v>
          </cell>
          <cell r="R704" t="str">
            <v>Continuous</v>
          </cell>
          <cell r="S704" t="str">
            <v>No</v>
          </cell>
          <cell r="T704" t="str">
            <v>PINION GEAR</v>
          </cell>
          <cell r="V704" t="str">
            <v>3</v>
          </cell>
          <cell r="W704" t="str">
            <v>60</v>
          </cell>
          <cell r="X704" t="str">
            <v>480</v>
          </cell>
          <cell r="Y704" t="str">
            <v>2.10/3.20</v>
          </cell>
          <cell r="Z704" t="str">
            <v>Yes</v>
          </cell>
          <cell r="AA704" t="str">
            <v>Top</v>
          </cell>
          <cell r="AD704" t="str">
            <v>0</v>
          </cell>
          <cell r="AG704" t="str">
            <v>HP</v>
          </cell>
          <cell r="AQ704" t="str">
            <v>F</v>
          </cell>
          <cell r="AR704" t="str">
            <v>.49/.81</v>
          </cell>
          <cell r="AV704" t="b">
            <v>0</v>
          </cell>
          <cell r="CM704" t="str">
            <v>6.1</v>
          </cell>
          <cell r="CN704" t="str">
            <v>AC 480 DC 216</v>
          </cell>
          <cell r="CO704" t="str">
            <v>0.16</v>
          </cell>
          <cell r="GK704" t="str">
            <v>with rectifier in jb</v>
          </cell>
          <cell r="HD704" t="str">
            <v>Repair Shop</v>
          </cell>
          <cell r="HT704" t="b">
            <v>0</v>
          </cell>
          <cell r="HU704" t="str">
            <v>GERDAU REINFORCING</v>
          </cell>
        </row>
        <row r="705">
          <cell r="A705">
            <v>3069</v>
          </cell>
          <cell r="B705" t="str">
            <v>VEM0995</v>
          </cell>
          <cell r="D705" t="str">
            <v>GERDAU</v>
          </cell>
          <cell r="F705" t="str">
            <v>Brook Crompton</v>
          </cell>
          <cell r="I705" t="str">
            <v>286T</v>
          </cell>
          <cell r="K705" t="str">
            <v>30</v>
          </cell>
          <cell r="L705" t="str">
            <v>1770</v>
          </cell>
          <cell r="M705" t="str">
            <v>WP-DF286TS-R4</v>
          </cell>
          <cell r="O705" t="str">
            <v>Half no Cord</v>
          </cell>
          <cell r="P705" t="str">
            <v>TEFC</v>
          </cell>
          <cell r="R705" t="str">
            <v>Continuous</v>
          </cell>
          <cell r="S705" t="str">
            <v>Yes</v>
          </cell>
          <cell r="T705" t="str">
            <v>yes</v>
          </cell>
          <cell r="U705" t="str">
            <v>40</v>
          </cell>
          <cell r="V705" t="str">
            <v>3</v>
          </cell>
          <cell r="W705" t="str">
            <v>60</v>
          </cell>
          <cell r="X705" t="str">
            <v>230/460</v>
          </cell>
          <cell r="Y705" t="str">
            <v>67.8/33.9</v>
          </cell>
          <cell r="AD705" t="str">
            <v>0</v>
          </cell>
          <cell r="AG705" t="str">
            <v>HP</v>
          </cell>
          <cell r="AI705" t="str">
            <v>6310</v>
          </cell>
          <cell r="AJ705" t="str">
            <v>6308</v>
          </cell>
          <cell r="AO705" t="str">
            <v>B</v>
          </cell>
          <cell r="AP705" t="str">
            <v>F</v>
          </cell>
          <cell r="AQ705" t="str">
            <v>F</v>
          </cell>
          <cell r="AR705" t="str">
            <v>0.87</v>
          </cell>
          <cell r="AS705" t="str">
            <v>1.15</v>
          </cell>
          <cell r="AV705" t="b">
            <v>0</v>
          </cell>
          <cell r="GK705" t="str">
            <v>P/N  BC4N030-4C</v>
          </cell>
          <cell r="HD705" t="str">
            <v>Repair Shop</v>
          </cell>
          <cell r="HT705" t="b">
            <v>0</v>
          </cell>
          <cell r="HU705" t="str">
            <v>GERDAU REINFORCING</v>
          </cell>
        </row>
        <row r="706">
          <cell r="A706">
            <v>3068</v>
          </cell>
          <cell r="B706" t="str">
            <v>VEM0994</v>
          </cell>
          <cell r="D706" t="str">
            <v>PG&amp;E</v>
          </cell>
          <cell r="F706" t="str">
            <v>Brook Compton</v>
          </cell>
          <cell r="H706" t="str">
            <v>DI 162476</v>
          </cell>
          <cell r="I706" t="str">
            <v>W-DA56MC-T</v>
          </cell>
          <cell r="K706" t="str">
            <v>.25</v>
          </cell>
          <cell r="L706" t="str">
            <v>820</v>
          </cell>
          <cell r="O706" t="str">
            <v>Full no Cord</v>
          </cell>
          <cell r="P706" t="str">
            <v>TENV</v>
          </cell>
          <cell r="R706" t="str">
            <v>Continuous</v>
          </cell>
          <cell r="V706" t="str">
            <v>3</v>
          </cell>
          <cell r="W706" t="str">
            <v>60</v>
          </cell>
          <cell r="X706" t="str">
            <v>208</v>
          </cell>
          <cell r="Y706" t="str">
            <v>1.92</v>
          </cell>
          <cell r="AA706" t="str">
            <v>Vertical</v>
          </cell>
          <cell r="AD706" t="str">
            <v>0</v>
          </cell>
          <cell r="AG706" t="str">
            <v>HP</v>
          </cell>
          <cell r="AQ706" t="str">
            <v>F</v>
          </cell>
          <cell r="AR706" t="str">
            <v>.45</v>
          </cell>
          <cell r="AV706" t="b">
            <v>0</v>
          </cell>
          <cell r="GK706" t="str">
            <v>DIAG LD704</v>
          </cell>
          <cell r="HD706" t="str">
            <v>Repair Shop</v>
          </cell>
          <cell r="HT706" t="b">
            <v>0</v>
          </cell>
          <cell r="HU706" t="str">
            <v>PG&amp;E</v>
          </cell>
        </row>
        <row r="707">
          <cell r="A707">
            <v>3067</v>
          </cell>
          <cell r="B707" t="str">
            <v>VEM0992</v>
          </cell>
          <cell r="D707" t="str">
            <v>PG&amp;E</v>
          </cell>
          <cell r="F707" t="str">
            <v>Brook  Crompton</v>
          </cell>
          <cell r="H707" t="str">
            <v>DK 169793</v>
          </cell>
          <cell r="I707" t="str">
            <v>U-DA56MC-T</v>
          </cell>
          <cell r="K707" t="str">
            <v>.25</v>
          </cell>
          <cell r="L707" t="str">
            <v>820</v>
          </cell>
          <cell r="P707" t="str">
            <v>TENV</v>
          </cell>
          <cell r="R707" t="str">
            <v>Continuous</v>
          </cell>
          <cell r="S707" t="str">
            <v>No</v>
          </cell>
          <cell r="V707" t="str">
            <v>3</v>
          </cell>
          <cell r="W707" t="str">
            <v>60</v>
          </cell>
          <cell r="X707" t="str">
            <v>208</v>
          </cell>
          <cell r="Y707" t="str">
            <v>1.92</v>
          </cell>
          <cell r="AA707" t="str">
            <v>Vertical</v>
          </cell>
          <cell r="AD707" t="str">
            <v>-1</v>
          </cell>
          <cell r="AG707" t="str">
            <v>HP</v>
          </cell>
          <cell r="AV707" t="b">
            <v>0</v>
          </cell>
          <cell r="EW707" t="str">
            <v>080W000123F</v>
          </cell>
          <cell r="GK707" t="str">
            <v>44732 Blower Nr</v>
          </cell>
          <cell r="HD707" t="str">
            <v>Repair Shop</v>
          </cell>
          <cell r="HT707" t="b">
            <v>0</v>
          </cell>
          <cell r="HU707" t="str">
            <v>PG&amp;E</v>
          </cell>
        </row>
        <row r="708">
          <cell r="A708">
            <v>3066</v>
          </cell>
          <cell r="B708" t="str">
            <v>VEM0993</v>
          </cell>
          <cell r="D708" t="str">
            <v>PG&amp;E</v>
          </cell>
          <cell r="F708" t="str">
            <v>Brook  Crompton</v>
          </cell>
          <cell r="H708" t="str">
            <v>DK 169793</v>
          </cell>
          <cell r="I708" t="str">
            <v>U-DA56MC-T</v>
          </cell>
          <cell r="K708" t="str">
            <v>.25</v>
          </cell>
          <cell r="L708" t="str">
            <v>820</v>
          </cell>
          <cell r="O708" t="str">
            <v>Full no Cord</v>
          </cell>
          <cell r="P708" t="str">
            <v>TENV</v>
          </cell>
          <cell r="R708" t="str">
            <v>Continuous</v>
          </cell>
          <cell r="S708" t="str">
            <v>No</v>
          </cell>
          <cell r="V708" t="str">
            <v>3</v>
          </cell>
          <cell r="W708" t="str">
            <v>60</v>
          </cell>
          <cell r="X708" t="str">
            <v>208</v>
          </cell>
          <cell r="Y708" t="str">
            <v>1.92</v>
          </cell>
          <cell r="AA708" t="str">
            <v>Vertical</v>
          </cell>
          <cell r="AD708" t="str">
            <v>-1</v>
          </cell>
          <cell r="AG708" t="str">
            <v>HP</v>
          </cell>
          <cell r="AV708" t="b">
            <v>0</v>
          </cell>
          <cell r="EW708" t="str">
            <v>080W000123F</v>
          </cell>
          <cell r="GK708" t="str">
            <v xml:space="preserve"> Blower Nr 44452</v>
          </cell>
          <cell r="HD708" t="str">
            <v>Repair Shop</v>
          </cell>
          <cell r="HT708" t="b">
            <v>0</v>
          </cell>
          <cell r="HU708" t="str">
            <v>PG&amp;E</v>
          </cell>
        </row>
        <row r="709">
          <cell r="A709">
            <v>3065</v>
          </cell>
          <cell r="B709" t="str">
            <v>VEM0991</v>
          </cell>
          <cell r="D709" t="str">
            <v>PG&amp;E</v>
          </cell>
          <cell r="AV709" t="b">
            <v>0</v>
          </cell>
          <cell r="HD709" t="str">
            <v>Repair Shop</v>
          </cell>
          <cell r="HT709" t="b">
            <v>0</v>
          </cell>
          <cell r="HU709" t="str">
            <v>PG&amp;E</v>
          </cell>
        </row>
        <row r="710">
          <cell r="A710">
            <v>3064</v>
          </cell>
          <cell r="B710" t="str">
            <v>VEM0990</v>
          </cell>
          <cell r="D710" t="str">
            <v>PG&amp;E</v>
          </cell>
          <cell r="F710" t="str">
            <v>Brook  Crompton</v>
          </cell>
          <cell r="H710" t="str">
            <v>DK 169793</v>
          </cell>
          <cell r="I710" t="str">
            <v>U-DA56MC-T</v>
          </cell>
          <cell r="K710" t="str">
            <v>.25</v>
          </cell>
          <cell r="L710" t="str">
            <v>820</v>
          </cell>
          <cell r="P710" t="str">
            <v>TENV</v>
          </cell>
          <cell r="R710" t="str">
            <v>Continuous</v>
          </cell>
          <cell r="S710" t="str">
            <v>No</v>
          </cell>
          <cell r="V710" t="str">
            <v>3</v>
          </cell>
          <cell r="W710" t="str">
            <v>60</v>
          </cell>
          <cell r="X710" t="str">
            <v>208</v>
          </cell>
          <cell r="Y710" t="str">
            <v>1.92</v>
          </cell>
          <cell r="AA710" t="str">
            <v>Vertical</v>
          </cell>
          <cell r="AG710" t="str">
            <v>HP</v>
          </cell>
          <cell r="AV710" t="b">
            <v>0</v>
          </cell>
          <cell r="EW710" t="str">
            <v>080W000123F</v>
          </cell>
          <cell r="GK710" t="str">
            <v>44732 Blower Nr</v>
          </cell>
          <cell r="HD710" t="str">
            <v>Repair Shop</v>
          </cell>
          <cell r="HT710" t="b">
            <v>0</v>
          </cell>
          <cell r="HU710" t="str">
            <v>PG&amp;E</v>
          </cell>
        </row>
        <row r="711">
          <cell r="A711">
            <v>3063</v>
          </cell>
          <cell r="B711" t="str">
            <v>VEM0989</v>
          </cell>
          <cell r="D711" t="str">
            <v>PG&amp;E</v>
          </cell>
          <cell r="F711" t="str">
            <v>Brook Compton</v>
          </cell>
          <cell r="L711" t="str">
            <v>850</v>
          </cell>
          <cell r="M711" t="str">
            <v>SK 520-8/5/50</v>
          </cell>
          <cell r="P711" t="str">
            <v>TENV</v>
          </cell>
          <cell r="R711" t="str">
            <v>Continuous</v>
          </cell>
          <cell r="V711" t="str">
            <v>1</v>
          </cell>
          <cell r="W711" t="str">
            <v>60</v>
          </cell>
          <cell r="X711" t="str">
            <v>208</v>
          </cell>
          <cell r="Y711" t="str">
            <v>1.92</v>
          </cell>
          <cell r="AA711" t="str">
            <v>Vertical</v>
          </cell>
          <cell r="AV711" t="b">
            <v>0</v>
          </cell>
          <cell r="GK711" t="str">
            <v>Nr. 44452</v>
          </cell>
          <cell r="HD711" t="str">
            <v>Repair Shop</v>
          </cell>
          <cell r="HT711" t="b">
            <v>0</v>
          </cell>
          <cell r="HU711" t="str">
            <v>PG&amp;E</v>
          </cell>
        </row>
        <row r="712">
          <cell r="A712">
            <v>3062</v>
          </cell>
          <cell r="B712" t="str">
            <v>VEM0988</v>
          </cell>
          <cell r="D712" t="str">
            <v>CLEANHARBORS</v>
          </cell>
          <cell r="AD712" t="str">
            <v>0</v>
          </cell>
          <cell r="AG712" t="str">
            <v>HP</v>
          </cell>
          <cell r="AV712" t="b">
            <v>0</v>
          </cell>
          <cell r="HD712" t="str">
            <v>Repair Shop</v>
          </cell>
          <cell r="HT712" t="b">
            <v>0</v>
          </cell>
          <cell r="HU712" t="str">
            <v>CLEAN HARBORS</v>
          </cell>
        </row>
        <row r="713">
          <cell r="A713">
            <v>3061</v>
          </cell>
          <cell r="B713" t="str">
            <v>VEM0987</v>
          </cell>
          <cell r="D713" t="str">
            <v>P66</v>
          </cell>
          <cell r="F713" t="str">
            <v>Reliance</v>
          </cell>
          <cell r="H713" t="str">
            <v>2307460</v>
          </cell>
          <cell r="I713" t="str">
            <v>254HPZ</v>
          </cell>
          <cell r="K713" t="str">
            <v>15</v>
          </cell>
          <cell r="L713" t="str">
            <v>3515</v>
          </cell>
          <cell r="M713" t="str">
            <v>P</v>
          </cell>
          <cell r="O713" t="str">
            <v>Full no Cord</v>
          </cell>
          <cell r="P713" t="str">
            <v>TEFC</v>
          </cell>
          <cell r="R713" t="str">
            <v>Continuous</v>
          </cell>
          <cell r="S713" t="str">
            <v>Lifting eyes</v>
          </cell>
          <cell r="U713" t="str">
            <v>40</v>
          </cell>
          <cell r="V713" t="str">
            <v>3</v>
          </cell>
          <cell r="W713" t="str">
            <v>60</v>
          </cell>
          <cell r="X713" t="str">
            <v>230/460</v>
          </cell>
          <cell r="Y713" t="str">
            <v>38/19</v>
          </cell>
          <cell r="AA713" t="str">
            <v>Vertical</v>
          </cell>
          <cell r="AD713" t="str">
            <v>0</v>
          </cell>
          <cell r="AO713" t="str">
            <v>B</v>
          </cell>
          <cell r="AP713" t="str">
            <v>G</v>
          </cell>
          <cell r="AQ713" t="str">
            <v>F</v>
          </cell>
          <cell r="AV713" t="b">
            <v>0</v>
          </cell>
          <cell r="EX713" t="str">
            <v>P25G6633B-G1-SD</v>
          </cell>
          <cell r="HD713" t="str">
            <v>Repair Shop</v>
          </cell>
          <cell r="HT713" t="b">
            <v>0</v>
          </cell>
          <cell r="HU713" t="str">
            <v>PHILLIPS 66</v>
          </cell>
        </row>
        <row r="714">
          <cell r="A714">
            <v>3060</v>
          </cell>
          <cell r="B714" t="str">
            <v>VEM0986</v>
          </cell>
          <cell r="D714" t="str">
            <v>CLEANHARBORS</v>
          </cell>
          <cell r="F714" t="str">
            <v>Reliance</v>
          </cell>
          <cell r="I714" t="str">
            <v>449T</v>
          </cell>
          <cell r="K714" t="str">
            <v>250</v>
          </cell>
          <cell r="L714" t="str">
            <v>1785</v>
          </cell>
          <cell r="N714" t="str">
            <v>2782</v>
          </cell>
          <cell r="O714" t="str">
            <v>Half no Cord</v>
          </cell>
          <cell r="P714" t="str">
            <v>TEFC</v>
          </cell>
          <cell r="Q714" t="str">
            <v>Yes</v>
          </cell>
          <cell r="R714" t="str">
            <v>Continuous</v>
          </cell>
          <cell r="S714" t="str">
            <v>Yes</v>
          </cell>
          <cell r="U714" t="str">
            <v>40</v>
          </cell>
          <cell r="V714" t="str">
            <v>3</v>
          </cell>
          <cell r="W714" t="str">
            <v>60</v>
          </cell>
          <cell r="X714" t="str">
            <v>460</v>
          </cell>
          <cell r="Y714" t="str">
            <v>277</v>
          </cell>
          <cell r="AA714" t="str">
            <v>F1</v>
          </cell>
          <cell r="AD714" t="str">
            <v>0</v>
          </cell>
          <cell r="AG714" t="str">
            <v>HP</v>
          </cell>
          <cell r="AO714" t="str">
            <v>B</v>
          </cell>
          <cell r="AP714" t="str">
            <v>A</v>
          </cell>
          <cell r="AQ714" t="str">
            <v>F</v>
          </cell>
          <cell r="AR714" t="str">
            <v>87.7</v>
          </cell>
          <cell r="AS714" t="str">
            <v>1.15</v>
          </cell>
          <cell r="AT714" t="str">
            <v>96.5</v>
          </cell>
          <cell r="AV714" t="b">
            <v>0</v>
          </cell>
          <cell r="EX714" t="str">
            <v>6749751</v>
          </cell>
          <cell r="GK714" t="str">
            <v>Only 1 eyebolt</v>
          </cell>
          <cell r="HD714" t="str">
            <v>Repair Shop</v>
          </cell>
          <cell r="HT714" t="b">
            <v>0</v>
          </cell>
          <cell r="HU714" t="str">
            <v>CLEAN HARBORS</v>
          </cell>
        </row>
        <row r="715">
          <cell r="A715">
            <v>3059</v>
          </cell>
          <cell r="B715" t="str">
            <v>VEM0985</v>
          </cell>
          <cell r="D715" t="str">
            <v>EDF RENEWABLES</v>
          </cell>
          <cell r="F715" t="str">
            <v>LUST DRIVETRONICS</v>
          </cell>
          <cell r="G715" t="str">
            <v>112LL-4-D-F-D-C</v>
          </cell>
          <cell r="H715" t="str">
            <v>000457303</v>
          </cell>
          <cell r="I715" t="str">
            <v>112LL</v>
          </cell>
          <cell r="K715" t="str">
            <v>4.4/9.6</v>
          </cell>
          <cell r="L715" t="str">
            <v>1400</v>
          </cell>
          <cell r="P715" t="str">
            <v>TEFC</v>
          </cell>
          <cell r="V715" t="str">
            <v>DC</v>
          </cell>
          <cell r="AG715" t="str">
            <v>KW</v>
          </cell>
          <cell r="AV715" t="b">
            <v>0</v>
          </cell>
          <cell r="EP715" t="str">
            <v>288</v>
          </cell>
          <cell r="EQ715" t="str">
            <v>18/56</v>
          </cell>
          <cell r="ER715" t="str">
            <v>288</v>
          </cell>
          <cell r="ES715" t="str">
            <v>.76</v>
          </cell>
          <cell r="GK715" t="str">
            <v>HEATER</v>
          </cell>
          <cell r="GL715" t="str">
            <v>ENCODER</v>
          </cell>
          <cell r="GM715" t="str">
            <v>BLOWER</v>
          </cell>
          <cell r="GN715" t="str">
            <v>BRAKE</v>
          </cell>
          <cell r="HD715" t="str">
            <v>Repair Shop</v>
          </cell>
          <cell r="HO715" t="str">
            <v>920</v>
          </cell>
          <cell r="HT715" t="b">
            <v>0</v>
          </cell>
          <cell r="HU715" t="str">
            <v>EDF RENEWABLES</v>
          </cell>
        </row>
        <row r="716">
          <cell r="A716">
            <v>3058</v>
          </cell>
          <cell r="B716" t="str">
            <v>VEM0984</v>
          </cell>
          <cell r="D716" t="str">
            <v>PG&amp;E</v>
          </cell>
          <cell r="F716" t="str">
            <v>ETE-AFO NL</v>
          </cell>
          <cell r="L716" t="str">
            <v>1110</v>
          </cell>
          <cell r="M716" t="str">
            <v>450/6/S/6/45</v>
          </cell>
          <cell r="O716" t="str">
            <v>Full w/ Cord</v>
          </cell>
          <cell r="P716" t="str">
            <v>TENV</v>
          </cell>
          <cell r="R716" t="str">
            <v>Continuous</v>
          </cell>
          <cell r="S716" t="str">
            <v>No</v>
          </cell>
          <cell r="T716" t="str">
            <v>fan</v>
          </cell>
          <cell r="V716" t="str">
            <v>1</v>
          </cell>
          <cell r="X716" t="str">
            <v>208</v>
          </cell>
          <cell r="Y716" t="str">
            <v>.6</v>
          </cell>
          <cell r="AD716" t="str">
            <v>0</v>
          </cell>
          <cell r="AI716" t="str">
            <v>6202 koyo</v>
          </cell>
          <cell r="AJ716" t="str">
            <v>6202 koyo</v>
          </cell>
          <cell r="AV716" t="b">
            <v>0</v>
          </cell>
          <cell r="GK716" t="str">
            <v>CLIENT NR. 116670</v>
          </cell>
          <cell r="GL716" t="str">
            <v>INTERN NR. 200.4609-73</v>
          </cell>
          <cell r="HD716" t="str">
            <v>Repair Shop</v>
          </cell>
          <cell r="HT716" t="b">
            <v>0</v>
          </cell>
          <cell r="HU716" t="str">
            <v>PG&amp;E</v>
          </cell>
        </row>
        <row r="717">
          <cell r="A717">
            <v>3057</v>
          </cell>
          <cell r="B717" t="str">
            <v>VEM0983</v>
          </cell>
          <cell r="D717" t="str">
            <v>VALERO</v>
          </cell>
          <cell r="F717" t="str">
            <v>Siemens</v>
          </cell>
          <cell r="H717" t="str">
            <v>L93T0954 48</v>
          </cell>
          <cell r="I717" t="str">
            <v>254T</v>
          </cell>
          <cell r="K717" t="str">
            <v>15</v>
          </cell>
          <cell r="L717" t="str">
            <v>1760</v>
          </cell>
          <cell r="M717" t="str">
            <v>RGZESD</v>
          </cell>
          <cell r="N717" t="str">
            <v>256</v>
          </cell>
          <cell r="O717" t="str">
            <v>None</v>
          </cell>
          <cell r="P717" t="str">
            <v>TEFC</v>
          </cell>
          <cell r="R717" t="str">
            <v>Continuous</v>
          </cell>
          <cell r="S717" t="str">
            <v>No</v>
          </cell>
          <cell r="T717" t="str">
            <v>NONE NO KEY</v>
          </cell>
          <cell r="U717" t="str">
            <v>40</v>
          </cell>
          <cell r="V717" t="str">
            <v>3</v>
          </cell>
          <cell r="W717" t="str">
            <v>60</v>
          </cell>
          <cell r="X717" t="str">
            <v>460</v>
          </cell>
          <cell r="Y717" t="str">
            <v>19.7</v>
          </cell>
          <cell r="AA717" t="str">
            <v>F1</v>
          </cell>
          <cell r="AG717" t="str">
            <v>HP</v>
          </cell>
          <cell r="AO717" t="str">
            <v>B</v>
          </cell>
          <cell r="AP717" t="str">
            <v>G</v>
          </cell>
          <cell r="AQ717" t="str">
            <v>F</v>
          </cell>
          <cell r="AS717" t="str">
            <v>1.15</v>
          </cell>
          <cell r="AT717" t="str">
            <v>91.7</v>
          </cell>
          <cell r="AV717" t="b">
            <v>0</v>
          </cell>
          <cell r="HD717" t="str">
            <v>Repair Shop</v>
          </cell>
          <cell r="HT717" t="b">
            <v>0</v>
          </cell>
          <cell r="HU717" t="str">
            <v>VALERO REFINING CO. BENICIA</v>
          </cell>
        </row>
        <row r="718">
          <cell r="A718">
            <v>3056</v>
          </cell>
          <cell r="B718" t="str">
            <v>VEM0982</v>
          </cell>
          <cell r="D718" t="str">
            <v>JELLY</v>
          </cell>
          <cell r="F718" t="str">
            <v>ELEKTROR</v>
          </cell>
          <cell r="AV718" t="b">
            <v>0</v>
          </cell>
          <cell r="HD718" t="str">
            <v>Repair Shop</v>
          </cell>
          <cell r="HT718" t="b">
            <v>0</v>
          </cell>
          <cell r="HU718" t="str">
            <v>JELLY BELLY CANDY CO.</v>
          </cell>
        </row>
        <row r="719">
          <cell r="A719">
            <v>3055</v>
          </cell>
          <cell r="B719" t="str">
            <v>VEM0981</v>
          </cell>
          <cell r="D719" t="str">
            <v>ALLIEDMACHINE</v>
          </cell>
          <cell r="AG719" t="str">
            <v>HP</v>
          </cell>
          <cell r="AV719" t="b">
            <v>0</v>
          </cell>
          <cell r="HD719" t="str">
            <v>Repair Shop</v>
          </cell>
          <cell r="HT719" t="b">
            <v>0</v>
          </cell>
          <cell r="HU719" t="str">
            <v>ALLIED MACHINE</v>
          </cell>
        </row>
        <row r="720">
          <cell r="A720">
            <v>3054</v>
          </cell>
          <cell r="B720" t="str">
            <v>VEM0980</v>
          </cell>
          <cell r="D720" t="str">
            <v>C&amp;H</v>
          </cell>
          <cell r="F720" t="str">
            <v>Westinghouse</v>
          </cell>
          <cell r="H720" t="str">
            <v>4S-68</v>
          </cell>
          <cell r="I720" t="str">
            <v>6833</v>
          </cell>
          <cell r="K720" t="str">
            <v>50</v>
          </cell>
          <cell r="L720" t="str">
            <v>600-1200</v>
          </cell>
          <cell r="O720" t="str">
            <v>None</v>
          </cell>
          <cell r="P720" t="str">
            <v>ODP</v>
          </cell>
          <cell r="R720" t="str">
            <v>Continuous</v>
          </cell>
          <cell r="S720" t="str">
            <v>No</v>
          </cell>
          <cell r="T720" t="str">
            <v>none</v>
          </cell>
          <cell r="U720" t="str">
            <v>70</v>
          </cell>
          <cell r="V720" t="str">
            <v>3</v>
          </cell>
          <cell r="W720" t="str">
            <v>60</v>
          </cell>
          <cell r="X720" t="str">
            <v>440</v>
          </cell>
          <cell r="Y720" t="str">
            <v>LRA  220-350</v>
          </cell>
          <cell r="Z720" t="str">
            <v>Yes</v>
          </cell>
          <cell r="AA720" t="str">
            <v>Vertical</v>
          </cell>
          <cell r="AG720" t="str">
            <v>HP</v>
          </cell>
          <cell r="AV720" t="b">
            <v>0</v>
          </cell>
          <cell r="AX720" t="str">
            <v>12/6</v>
          </cell>
          <cell r="GK720" t="str">
            <v>S#-68F13539</v>
          </cell>
          <cell r="HD720" t="str">
            <v>Repair Shop</v>
          </cell>
          <cell r="HT720" t="b">
            <v>0</v>
          </cell>
          <cell r="HU720" t="str">
            <v>C &amp; H SUGAR CO.</v>
          </cell>
        </row>
        <row r="721">
          <cell r="A721">
            <v>3053</v>
          </cell>
          <cell r="B721" t="str">
            <v>VEM0979</v>
          </cell>
          <cell r="D721" t="str">
            <v>WALTON</v>
          </cell>
          <cell r="F721" t="str">
            <v>Gockel</v>
          </cell>
          <cell r="G721" t="str">
            <v>7407</v>
          </cell>
          <cell r="L721" t="str">
            <v>1800</v>
          </cell>
          <cell r="O721" t="str">
            <v>Half no Cord</v>
          </cell>
          <cell r="P721" t="str">
            <v>TEFC</v>
          </cell>
          <cell r="R721" t="str">
            <v>Continuous</v>
          </cell>
          <cell r="V721" t="str">
            <v>3</v>
          </cell>
          <cell r="W721" t="str">
            <v>60</v>
          </cell>
          <cell r="X721" t="str">
            <v>230/460</v>
          </cell>
          <cell r="AD721" t="str">
            <v>0</v>
          </cell>
          <cell r="AJ721" t="str">
            <v>6210RS</v>
          </cell>
          <cell r="AV721" t="b">
            <v>0</v>
          </cell>
          <cell r="GK721" t="str">
            <v>No cover on brush assembly</v>
          </cell>
          <cell r="GL721" t="str">
            <v>Magnetic  clutch 24VDC</v>
          </cell>
          <cell r="GM721" t="str">
            <v>Magnetic clutch ohms 18-20</v>
          </cell>
          <cell r="HD721" t="str">
            <v>Repair Shop</v>
          </cell>
          <cell r="HT721" t="b">
            <v>0</v>
          </cell>
          <cell r="HU721" t="str">
            <v>WALTON SAW AND KNIFE WORKS</v>
          </cell>
        </row>
        <row r="722">
          <cell r="A722">
            <v>3052</v>
          </cell>
          <cell r="B722" t="str">
            <v>FE1032</v>
          </cell>
          <cell r="D722" t="str">
            <v>NAPARECYCLING</v>
          </cell>
          <cell r="AD722" t="str">
            <v>0</v>
          </cell>
          <cell r="AG722" t="str">
            <v>HP</v>
          </cell>
          <cell r="AV722" t="b">
            <v>0</v>
          </cell>
          <cell r="HD722" t="str">
            <v>Field Service</v>
          </cell>
          <cell r="HT722" t="b">
            <v>0</v>
          </cell>
          <cell r="HU722" t="str">
            <v>NAPA RECYCLING &amp; WASTE</v>
          </cell>
        </row>
        <row r="723">
          <cell r="A723">
            <v>3051</v>
          </cell>
          <cell r="B723" t="str">
            <v>VEM0978</v>
          </cell>
          <cell r="D723" t="str">
            <v>GONZELECT</v>
          </cell>
          <cell r="F723" t="str">
            <v>Reliance</v>
          </cell>
          <cell r="I723" t="str">
            <v>182LPZ</v>
          </cell>
          <cell r="K723" t="str">
            <v>3</v>
          </cell>
          <cell r="L723" t="str">
            <v>1730</v>
          </cell>
          <cell r="M723" t="str">
            <v>P</v>
          </cell>
          <cell r="O723" t="str">
            <v>Half w/ Cord</v>
          </cell>
          <cell r="P723" t="str">
            <v>TEFC</v>
          </cell>
          <cell r="R723" t="str">
            <v>Continuous</v>
          </cell>
          <cell r="U723" t="str">
            <v>40</v>
          </cell>
          <cell r="V723" t="str">
            <v>3</v>
          </cell>
          <cell r="W723" t="str">
            <v>60</v>
          </cell>
          <cell r="X723" t="str">
            <v>230/460</v>
          </cell>
          <cell r="Y723" t="str">
            <v>9.2/4.6</v>
          </cell>
          <cell r="AA723" t="str">
            <v>Vertical</v>
          </cell>
          <cell r="AG723" t="str">
            <v>HP</v>
          </cell>
          <cell r="AO723" t="str">
            <v>B</v>
          </cell>
          <cell r="AP723" t="str">
            <v>J</v>
          </cell>
          <cell r="AQ723" t="str">
            <v>F</v>
          </cell>
          <cell r="AS723" t="str">
            <v>1.15</v>
          </cell>
          <cell r="AT723" t="str">
            <v>77.0</v>
          </cell>
          <cell r="AV723" t="b">
            <v>0</v>
          </cell>
          <cell r="EX723" t="str">
            <v>1YWB42116A10    XM</v>
          </cell>
          <cell r="GK723" t="str">
            <v>Lifting eyes</v>
          </cell>
          <cell r="GL723" t="str">
            <v>Cord cut</v>
          </cell>
          <cell r="HD723" t="str">
            <v>Repair Shop</v>
          </cell>
          <cell r="HT723" t="b">
            <v>0</v>
          </cell>
          <cell r="HU723" t="str">
            <v>GONZALEZ ELECTRIC</v>
          </cell>
        </row>
        <row r="724">
          <cell r="A724">
            <v>3050</v>
          </cell>
          <cell r="B724" t="str">
            <v>VEM0977</v>
          </cell>
          <cell r="D724" t="str">
            <v>KINDER</v>
          </cell>
          <cell r="F724" t="str">
            <v>US Motors</v>
          </cell>
          <cell r="I724" t="str">
            <v>213TP</v>
          </cell>
          <cell r="K724" t="str">
            <v>7.5</v>
          </cell>
          <cell r="L724" t="str">
            <v>1740</v>
          </cell>
          <cell r="M724" t="str">
            <v>LU</v>
          </cell>
          <cell r="O724" t="str">
            <v>Full no Cord</v>
          </cell>
          <cell r="P724" t="str">
            <v>TEFC</v>
          </cell>
          <cell r="R724" t="str">
            <v>Continuous</v>
          </cell>
          <cell r="S724" t="str">
            <v>Yes</v>
          </cell>
          <cell r="T724" t="str">
            <v>NONE</v>
          </cell>
          <cell r="U724" t="str">
            <v>40</v>
          </cell>
          <cell r="V724" t="str">
            <v>3</v>
          </cell>
          <cell r="W724" t="str">
            <v>60</v>
          </cell>
          <cell r="X724" t="str">
            <v>460</v>
          </cell>
          <cell r="Z724" t="str">
            <v>No</v>
          </cell>
          <cell r="AA724" t="str">
            <v>Vertical</v>
          </cell>
          <cell r="AD724" t="str">
            <v>0</v>
          </cell>
          <cell r="AF724" t="str">
            <v>CC817493</v>
          </cell>
          <cell r="AG724" t="str">
            <v>HP</v>
          </cell>
          <cell r="AI724" t="str">
            <v>7309</v>
          </cell>
          <cell r="AJ724" t="str">
            <v>6208</v>
          </cell>
          <cell r="AO724" t="str">
            <v>B</v>
          </cell>
          <cell r="AP724" t="str">
            <v>G</v>
          </cell>
          <cell r="AQ724" t="str">
            <v>B</v>
          </cell>
          <cell r="AS724" t="str">
            <v>1.0</v>
          </cell>
          <cell r="AT724" t="str">
            <v>85.5</v>
          </cell>
          <cell r="AV724" t="b">
            <v>0</v>
          </cell>
          <cell r="AW724" t="str">
            <v>10.1</v>
          </cell>
          <cell r="EX724" t="str">
            <v>6177V12V302R042F</v>
          </cell>
          <cell r="EZ724" t="str">
            <v>EPOXY</v>
          </cell>
          <cell r="GZ724" t="str">
            <v>D</v>
          </cell>
          <cell r="HA724" t="str">
            <v>I</v>
          </cell>
          <cell r="HD724" t="str">
            <v>Repair Shop</v>
          </cell>
          <cell r="HT724" t="b">
            <v>0</v>
          </cell>
          <cell r="HU724" t="str">
            <v>KINDER MORGAN ENERGY PARTNERS</v>
          </cell>
        </row>
        <row r="725">
          <cell r="A725">
            <v>3049</v>
          </cell>
          <cell r="B725" t="str">
            <v>VEM0976</v>
          </cell>
          <cell r="D725" t="str">
            <v>ABCO</v>
          </cell>
          <cell r="AG725" t="str">
            <v>HP</v>
          </cell>
          <cell r="AV725" t="b">
            <v>0</v>
          </cell>
          <cell r="HD725" t="str">
            <v>Repair Shop</v>
          </cell>
          <cell r="HT725" t="b">
            <v>0</v>
          </cell>
          <cell r="HU725" t="str">
            <v>ABCO LABORATORIES</v>
          </cell>
        </row>
        <row r="726">
          <cell r="A726">
            <v>3048</v>
          </cell>
          <cell r="B726" t="str">
            <v>VEM0975</v>
          </cell>
          <cell r="D726" t="str">
            <v>P66</v>
          </cell>
          <cell r="F726" t="str">
            <v>Siemens</v>
          </cell>
          <cell r="H726" t="str">
            <v>G13T2383XPE  11</v>
          </cell>
          <cell r="I726" t="str">
            <v>213TCV</v>
          </cell>
          <cell r="K726" t="str">
            <v>7.5</v>
          </cell>
          <cell r="L726" t="str">
            <v>1765</v>
          </cell>
          <cell r="N726" t="str">
            <v>183</v>
          </cell>
          <cell r="O726" t="str">
            <v>Full no Cord</v>
          </cell>
          <cell r="P726" t="str">
            <v>EXP</v>
          </cell>
          <cell r="R726" t="str">
            <v>Continuous</v>
          </cell>
          <cell r="S726" t="str">
            <v>LIFTING HOOKS</v>
          </cell>
          <cell r="T726" t="str">
            <v>NONE NO KEY</v>
          </cell>
          <cell r="U726" t="str">
            <v>40</v>
          </cell>
          <cell r="V726" t="str">
            <v>3</v>
          </cell>
          <cell r="W726" t="str">
            <v>60</v>
          </cell>
          <cell r="X726" t="str">
            <v>230/460</v>
          </cell>
          <cell r="Y726" t="str">
            <v>19.5/9.7</v>
          </cell>
          <cell r="AA726" t="str">
            <v>Vertical</v>
          </cell>
          <cell r="AF726" t="str">
            <v>CC-498279</v>
          </cell>
          <cell r="AG726" t="str">
            <v>HP</v>
          </cell>
          <cell r="AO726" t="str">
            <v>B</v>
          </cell>
          <cell r="AP726" t="str">
            <v>J</v>
          </cell>
          <cell r="AQ726" t="str">
            <v>F</v>
          </cell>
          <cell r="AS726" t="str">
            <v>1.0</v>
          </cell>
          <cell r="AT726" t="str">
            <v>91.7</v>
          </cell>
          <cell r="AV726" t="b">
            <v>0</v>
          </cell>
          <cell r="GK726" t="str">
            <v>Part no.1MB21212AB116LG3</v>
          </cell>
          <cell r="GZ726" t="str">
            <v>C&amp;D/F&amp;G</v>
          </cell>
          <cell r="HA726" t="str">
            <v>I/II</v>
          </cell>
          <cell r="HD726" t="str">
            <v>Repair Shop</v>
          </cell>
          <cell r="HT726" t="b">
            <v>0</v>
          </cell>
          <cell r="HU726" t="str">
            <v>PHILLIPS 66</v>
          </cell>
        </row>
        <row r="727">
          <cell r="A727">
            <v>3047</v>
          </cell>
          <cell r="B727" t="str">
            <v>VEM0974</v>
          </cell>
          <cell r="D727" t="str">
            <v>CONHAGEN</v>
          </cell>
          <cell r="F727" t="str">
            <v>Westinghouse</v>
          </cell>
          <cell r="G727" t="str">
            <v>TBFC</v>
          </cell>
          <cell r="H727" t="str">
            <v>6709</v>
          </cell>
          <cell r="I727" t="str">
            <v>284TP</v>
          </cell>
          <cell r="K727" t="str">
            <v>25</v>
          </cell>
          <cell r="L727" t="str">
            <v>3540</v>
          </cell>
          <cell r="O727" t="str">
            <v>None</v>
          </cell>
          <cell r="P727" t="str">
            <v>TEFC</v>
          </cell>
          <cell r="R727" t="str">
            <v>Continuous</v>
          </cell>
          <cell r="S727" t="str">
            <v>LIFTING EYES</v>
          </cell>
          <cell r="T727" t="str">
            <v>NONE NO KEY</v>
          </cell>
          <cell r="U727" t="str">
            <v>40</v>
          </cell>
          <cell r="V727" t="str">
            <v>3</v>
          </cell>
          <cell r="W727" t="str">
            <v>60</v>
          </cell>
          <cell r="X727" t="str">
            <v>460</v>
          </cell>
          <cell r="Y727" t="str">
            <v>29.8</v>
          </cell>
          <cell r="Z727" t="str">
            <v>Yes</v>
          </cell>
          <cell r="AA727" t="str">
            <v>Vertical</v>
          </cell>
          <cell r="AD727" t="str">
            <v>-1</v>
          </cell>
          <cell r="AG727" t="str">
            <v>HP</v>
          </cell>
          <cell r="AP727" t="str">
            <v>G</v>
          </cell>
          <cell r="AQ727" t="str">
            <v>B</v>
          </cell>
          <cell r="AS727" t="str">
            <v>1.0</v>
          </cell>
          <cell r="AV727" t="b">
            <v>0</v>
          </cell>
          <cell r="HD727" t="str">
            <v>Repair Shop</v>
          </cell>
          <cell r="HT727" t="b">
            <v>0</v>
          </cell>
          <cell r="HU727" t="str">
            <v>ALFRED CONHAGEN CO. OF CA</v>
          </cell>
        </row>
        <row r="728">
          <cell r="A728">
            <v>3046</v>
          </cell>
          <cell r="B728" t="str">
            <v>VEM0973</v>
          </cell>
          <cell r="D728" t="str">
            <v>VALERO</v>
          </cell>
          <cell r="F728" t="str">
            <v>Siemens</v>
          </cell>
          <cell r="G728" t="str">
            <v>137</v>
          </cell>
          <cell r="H728" t="str">
            <v>7-5141-61942-1-2</v>
          </cell>
          <cell r="I728" t="str">
            <v>445HP</v>
          </cell>
          <cell r="K728" t="str">
            <v>125</v>
          </cell>
          <cell r="L728" t="str">
            <v>3570</v>
          </cell>
          <cell r="M728" t="str">
            <v>RGZVE</v>
          </cell>
          <cell r="O728" t="str">
            <v>Full no Cord</v>
          </cell>
          <cell r="P728" t="str">
            <v>TEFC</v>
          </cell>
          <cell r="R728" t="str">
            <v>Continuous</v>
          </cell>
          <cell r="T728" t="str">
            <v>YES</v>
          </cell>
          <cell r="U728" t="str">
            <v>40</v>
          </cell>
          <cell r="V728" t="str">
            <v>3</v>
          </cell>
          <cell r="W728" t="str">
            <v>60</v>
          </cell>
          <cell r="Y728" t="str">
            <v>142</v>
          </cell>
          <cell r="AA728" t="str">
            <v>Vertical</v>
          </cell>
          <cell r="AG728" t="str">
            <v>HP</v>
          </cell>
          <cell r="AO728" t="str">
            <v>B</v>
          </cell>
          <cell r="AP728" t="str">
            <v>G</v>
          </cell>
          <cell r="AQ728" t="str">
            <v>F</v>
          </cell>
          <cell r="AS728" t="str">
            <v>1.15</v>
          </cell>
          <cell r="AT728" t="str">
            <v>94.5</v>
          </cell>
          <cell r="AV728" t="b">
            <v>0</v>
          </cell>
          <cell r="HD728" t="str">
            <v>Repair Shop</v>
          </cell>
          <cell r="HT728" t="b">
            <v>0</v>
          </cell>
          <cell r="HU728" t="str">
            <v>VALERO REFINING CO. BENICIA</v>
          </cell>
        </row>
        <row r="729">
          <cell r="A729">
            <v>3045</v>
          </cell>
          <cell r="B729" t="str">
            <v>VEM0972</v>
          </cell>
          <cell r="D729" t="str">
            <v>CONHAGEN</v>
          </cell>
          <cell r="F729" t="str">
            <v>Siemens</v>
          </cell>
          <cell r="H729" t="str">
            <v>B09T0004BP-2</v>
          </cell>
          <cell r="I729" t="str">
            <v>365LP</v>
          </cell>
          <cell r="K729" t="str">
            <v>75</v>
          </cell>
          <cell r="L729" t="str">
            <v>3565</v>
          </cell>
          <cell r="M729" t="str">
            <v>RGZVILESD</v>
          </cell>
          <cell r="O729" t="str">
            <v>None</v>
          </cell>
          <cell r="P729" t="str">
            <v>TEFC</v>
          </cell>
          <cell r="R729" t="str">
            <v>Continuous</v>
          </cell>
          <cell r="T729" t="str">
            <v>NONE NO KEY</v>
          </cell>
          <cell r="U729" t="str">
            <v>40</v>
          </cell>
          <cell r="V729" t="str">
            <v>3</v>
          </cell>
          <cell r="W729" t="str">
            <v>60</v>
          </cell>
          <cell r="X729" t="str">
            <v>460</v>
          </cell>
          <cell r="Y729" t="str">
            <v>85.0</v>
          </cell>
          <cell r="AA729" t="str">
            <v>Vertical</v>
          </cell>
          <cell r="AD729" t="str">
            <v>0</v>
          </cell>
          <cell r="AG729" t="str">
            <v>HP</v>
          </cell>
          <cell r="AO729" t="str">
            <v>B</v>
          </cell>
          <cell r="AP729" t="str">
            <v>G</v>
          </cell>
          <cell r="AQ729" t="str">
            <v>F</v>
          </cell>
          <cell r="AS729" t="str">
            <v>1.15</v>
          </cell>
          <cell r="AV729" t="b">
            <v>0</v>
          </cell>
          <cell r="HD729" t="str">
            <v>Repair Shop</v>
          </cell>
          <cell r="HT729" t="b">
            <v>0</v>
          </cell>
          <cell r="HU729" t="str">
            <v>ALFRED CONHAGEN CO. OF CA</v>
          </cell>
        </row>
        <row r="730">
          <cell r="A730">
            <v>3044</v>
          </cell>
          <cell r="B730" t="str">
            <v>VEM0971</v>
          </cell>
          <cell r="D730" t="str">
            <v>CONHAGEN</v>
          </cell>
          <cell r="AV730" t="b">
            <v>0</v>
          </cell>
          <cell r="HD730" t="str">
            <v>Repair Shop</v>
          </cell>
          <cell r="HT730" t="b">
            <v>0</v>
          </cell>
          <cell r="HU730" t="str">
            <v>ALFRED CONHAGEN CO. OF CA</v>
          </cell>
        </row>
        <row r="731">
          <cell r="A731">
            <v>3043</v>
          </cell>
          <cell r="B731" t="str">
            <v>VEM0970</v>
          </cell>
          <cell r="D731" t="str">
            <v>DELTADIABLO</v>
          </cell>
          <cell r="F731" t="str">
            <v>US Motors</v>
          </cell>
          <cell r="G731" t="str">
            <v>H20812</v>
          </cell>
          <cell r="I731" t="str">
            <v>445VP</v>
          </cell>
          <cell r="K731" t="str">
            <v>100</v>
          </cell>
          <cell r="L731" t="str">
            <v>890</v>
          </cell>
          <cell r="M731" t="str">
            <v>RV14</v>
          </cell>
          <cell r="O731" t="str">
            <v>None</v>
          </cell>
          <cell r="P731" t="str">
            <v>DP</v>
          </cell>
          <cell r="R731" t="str">
            <v>Continuous</v>
          </cell>
          <cell r="T731" t="str">
            <v>none no key</v>
          </cell>
          <cell r="V731" t="str">
            <v>3</v>
          </cell>
          <cell r="W731" t="str">
            <v>60</v>
          </cell>
          <cell r="X731" t="str">
            <v>460</v>
          </cell>
          <cell r="Y731" t="str">
            <v>126</v>
          </cell>
          <cell r="AA731" t="str">
            <v>Vertical</v>
          </cell>
          <cell r="AD731" t="str">
            <v>0</v>
          </cell>
          <cell r="AG731" t="str">
            <v>HP</v>
          </cell>
          <cell r="AI731" t="str">
            <v>6213</v>
          </cell>
          <cell r="AJ731" t="str">
            <v>7322</v>
          </cell>
          <cell r="AO731" t="str">
            <v>B</v>
          </cell>
          <cell r="AP731" t="str">
            <v>F</v>
          </cell>
          <cell r="AS731" t="str">
            <v>1.15</v>
          </cell>
          <cell r="AT731" t="str">
            <v>93.6</v>
          </cell>
          <cell r="AV731" t="b">
            <v>0</v>
          </cell>
          <cell r="HD731" t="str">
            <v>Repair Shop</v>
          </cell>
          <cell r="HT731" t="b">
            <v>0</v>
          </cell>
          <cell r="HU731" t="str">
            <v>DELTA DIABLO WASTE WATER</v>
          </cell>
        </row>
        <row r="732">
          <cell r="A732">
            <v>3042</v>
          </cell>
          <cell r="B732" t="str">
            <v>VEM0969</v>
          </cell>
          <cell r="D732" t="str">
            <v>VALERO</v>
          </cell>
          <cell r="F732" t="str">
            <v>Reliance</v>
          </cell>
          <cell r="I732" t="str">
            <v>286T</v>
          </cell>
          <cell r="K732" t="str">
            <v>30</v>
          </cell>
          <cell r="L732" t="str">
            <v>1770</v>
          </cell>
          <cell r="M732" t="str">
            <v>P</v>
          </cell>
          <cell r="O732" t="str">
            <v>Full no Cord</v>
          </cell>
          <cell r="P732" t="str">
            <v>TEFC</v>
          </cell>
          <cell r="Q732" t="str">
            <v>Yes</v>
          </cell>
          <cell r="R732" t="str">
            <v>Continuous</v>
          </cell>
          <cell r="S732" t="str">
            <v>Yes</v>
          </cell>
          <cell r="U732" t="str">
            <v>40</v>
          </cell>
          <cell r="V732" t="str">
            <v>3</v>
          </cell>
          <cell r="W732" t="str">
            <v>60</v>
          </cell>
          <cell r="X732" t="str">
            <v>460</v>
          </cell>
          <cell r="Y732" t="str">
            <v>35.6</v>
          </cell>
          <cell r="Z732" t="str">
            <v>No</v>
          </cell>
          <cell r="AA732" t="str">
            <v>F1</v>
          </cell>
          <cell r="AD732" t="str">
            <v>0</v>
          </cell>
          <cell r="AG732" t="str">
            <v>HP</v>
          </cell>
          <cell r="AO732" t="str">
            <v>B</v>
          </cell>
          <cell r="AP732" t="str">
            <v>G</v>
          </cell>
          <cell r="AQ732" t="str">
            <v>F</v>
          </cell>
          <cell r="AR732" t="str">
            <v>84.5</v>
          </cell>
          <cell r="AS732" t="str">
            <v>1.15</v>
          </cell>
          <cell r="AV732" t="b">
            <v>0</v>
          </cell>
          <cell r="EX732" t="str">
            <v>P28G3314F-CO1-VK</v>
          </cell>
          <cell r="HD732" t="str">
            <v>Repair Shop</v>
          </cell>
          <cell r="HT732" t="b">
            <v>0</v>
          </cell>
          <cell r="HU732" t="str">
            <v>VALERO REFINING CO. BENICIA</v>
          </cell>
        </row>
        <row r="733">
          <cell r="A733">
            <v>3041</v>
          </cell>
          <cell r="B733" t="str">
            <v>VEM0968</v>
          </cell>
          <cell r="D733" t="str">
            <v>VALERO</v>
          </cell>
          <cell r="F733" t="str">
            <v>BALDOR-RELIANCE</v>
          </cell>
          <cell r="I733" t="str">
            <v>286T</v>
          </cell>
          <cell r="K733" t="str">
            <v>30</v>
          </cell>
          <cell r="L733" t="str">
            <v>1765</v>
          </cell>
          <cell r="M733" t="str">
            <v>P</v>
          </cell>
          <cell r="N733" t="str">
            <v>429</v>
          </cell>
          <cell r="O733" t="str">
            <v>Full no Cord</v>
          </cell>
          <cell r="P733" t="str">
            <v>TEFC</v>
          </cell>
          <cell r="R733" t="str">
            <v>Continuous</v>
          </cell>
          <cell r="S733" t="str">
            <v>Yes</v>
          </cell>
          <cell r="T733" t="str">
            <v>NONE NO KEY</v>
          </cell>
          <cell r="U733" t="str">
            <v>40</v>
          </cell>
          <cell r="V733" t="str">
            <v>3</v>
          </cell>
          <cell r="W733" t="str">
            <v>60</v>
          </cell>
          <cell r="X733" t="str">
            <v>460</v>
          </cell>
          <cell r="Y733" t="str">
            <v>36.1</v>
          </cell>
          <cell r="AA733" t="str">
            <v>F1</v>
          </cell>
          <cell r="AD733" t="str">
            <v>0</v>
          </cell>
          <cell r="AG733" t="str">
            <v>HP</v>
          </cell>
          <cell r="AI733" t="str">
            <v>6310</v>
          </cell>
          <cell r="AJ733" t="str">
            <v>6310</v>
          </cell>
          <cell r="AO733" t="str">
            <v>B</v>
          </cell>
          <cell r="AP733" t="str">
            <v>G</v>
          </cell>
          <cell r="AQ733" t="str">
            <v>F</v>
          </cell>
          <cell r="AR733" t="str">
            <v>83.1</v>
          </cell>
          <cell r="AS733" t="str">
            <v>1.15</v>
          </cell>
          <cell r="AT733" t="str">
            <v>93.6</v>
          </cell>
          <cell r="AU733" t="str">
            <v>P28G3314R</v>
          </cell>
          <cell r="AV733" t="b">
            <v>0</v>
          </cell>
          <cell r="EW733" t="str">
            <v>ECP4104T-4</v>
          </cell>
          <cell r="HD733" t="str">
            <v>Repair Shop</v>
          </cell>
          <cell r="HT733" t="b">
            <v>0</v>
          </cell>
          <cell r="HU733" t="str">
            <v>VALERO REFINING CO. BENICIA</v>
          </cell>
        </row>
        <row r="734">
          <cell r="A734">
            <v>3040</v>
          </cell>
          <cell r="B734" t="str">
            <v>VEM0967</v>
          </cell>
          <cell r="D734" t="str">
            <v>VALERO</v>
          </cell>
          <cell r="F734" t="str">
            <v>BALDOR-RELIANCE</v>
          </cell>
          <cell r="H734" t="str">
            <v>C1604061012</v>
          </cell>
          <cell r="I734" t="str">
            <v>286T</v>
          </cell>
          <cell r="K734" t="str">
            <v>30</v>
          </cell>
          <cell r="L734" t="str">
            <v>1770</v>
          </cell>
          <cell r="N734" t="str">
            <v>475</v>
          </cell>
          <cell r="O734" t="str">
            <v>Full no Cord</v>
          </cell>
          <cell r="P734" t="str">
            <v>TEFC</v>
          </cell>
          <cell r="R734" t="str">
            <v>Continuous</v>
          </cell>
          <cell r="S734" t="str">
            <v>Yes</v>
          </cell>
          <cell r="T734" t="str">
            <v>NONE NO KEY</v>
          </cell>
          <cell r="U734" t="str">
            <v>40</v>
          </cell>
          <cell r="V734" t="str">
            <v>3</v>
          </cell>
          <cell r="W734" t="str">
            <v>60</v>
          </cell>
          <cell r="X734" t="str">
            <v>230/460</v>
          </cell>
          <cell r="Y734" t="str">
            <v>72/36</v>
          </cell>
          <cell r="AA734" t="str">
            <v>F1</v>
          </cell>
          <cell r="AG734" t="str">
            <v>HP</v>
          </cell>
          <cell r="AI734" t="str">
            <v>6311</v>
          </cell>
          <cell r="AJ734" t="str">
            <v>6311</v>
          </cell>
          <cell r="AO734" t="str">
            <v>A</v>
          </cell>
          <cell r="AP734" t="str">
            <v>H</v>
          </cell>
          <cell r="AQ734" t="str">
            <v>F</v>
          </cell>
          <cell r="AR734" t="str">
            <v>83</v>
          </cell>
          <cell r="AS734" t="str">
            <v>1.15</v>
          </cell>
          <cell r="AT734" t="str">
            <v>93.0</v>
          </cell>
          <cell r="AU734" t="str">
            <v>10H292X207</v>
          </cell>
          <cell r="AV734" t="b">
            <v>0</v>
          </cell>
          <cell r="EW734" t="str">
            <v>ECP4104T</v>
          </cell>
          <cell r="HD734" t="str">
            <v>Repair Shop</v>
          </cell>
          <cell r="HT734" t="b">
            <v>0</v>
          </cell>
          <cell r="HU734" t="str">
            <v>VALERO REFINING CO. BENICIA</v>
          </cell>
        </row>
        <row r="735">
          <cell r="A735">
            <v>3039</v>
          </cell>
          <cell r="B735" t="str">
            <v>VEM0966</v>
          </cell>
          <cell r="D735" t="str">
            <v>VALERO</v>
          </cell>
          <cell r="F735" t="str">
            <v>Reliance</v>
          </cell>
          <cell r="I735" t="str">
            <v>286T</v>
          </cell>
          <cell r="K735" t="str">
            <v>30</v>
          </cell>
          <cell r="L735" t="str">
            <v>1770</v>
          </cell>
          <cell r="M735" t="str">
            <v>P</v>
          </cell>
          <cell r="O735" t="str">
            <v>None</v>
          </cell>
          <cell r="P735" t="str">
            <v>TEFC</v>
          </cell>
          <cell r="Q735" t="str">
            <v>Yes</v>
          </cell>
          <cell r="R735" t="str">
            <v>Continuous</v>
          </cell>
          <cell r="S735" t="str">
            <v>No</v>
          </cell>
          <cell r="U735" t="str">
            <v>40</v>
          </cell>
          <cell r="V735" t="str">
            <v>3</v>
          </cell>
          <cell r="W735" t="str">
            <v>60</v>
          </cell>
          <cell r="X735" t="str">
            <v>460</v>
          </cell>
          <cell r="Y735" t="str">
            <v>35.6</v>
          </cell>
          <cell r="Z735" t="str">
            <v>No</v>
          </cell>
          <cell r="AA735" t="str">
            <v>F1</v>
          </cell>
          <cell r="AD735" t="str">
            <v>0</v>
          </cell>
          <cell r="AG735" t="str">
            <v>HP</v>
          </cell>
          <cell r="AO735" t="str">
            <v>B</v>
          </cell>
          <cell r="AQ735" t="str">
            <v>F</v>
          </cell>
          <cell r="AR735" t="str">
            <v>84.5</v>
          </cell>
          <cell r="AS735" t="str">
            <v>1.15</v>
          </cell>
          <cell r="AT735" t="str">
            <v>93.0</v>
          </cell>
          <cell r="AV735" t="b">
            <v>0</v>
          </cell>
          <cell r="EX735" t="str">
            <v>P28G3314F-G25-WK</v>
          </cell>
          <cell r="HD735" t="str">
            <v>Repair Shop</v>
          </cell>
          <cell r="HT735" t="b">
            <v>0</v>
          </cell>
          <cell r="HU735" t="str">
            <v>VALERO REFINING CO. BENICIA</v>
          </cell>
        </row>
        <row r="736">
          <cell r="A736">
            <v>3038</v>
          </cell>
          <cell r="B736" t="str">
            <v>VEM0965</v>
          </cell>
          <cell r="D736" t="str">
            <v>VALERO</v>
          </cell>
          <cell r="F736" t="str">
            <v>Reliance</v>
          </cell>
          <cell r="G736" t="str">
            <v>P28G3314P</v>
          </cell>
          <cell r="I736" t="str">
            <v>286T</v>
          </cell>
          <cell r="K736" t="str">
            <v>30</v>
          </cell>
          <cell r="L736" t="str">
            <v>1765</v>
          </cell>
          <cell r="M736" t="str">
            <v>P</v>
          </cell>
          <cell r="N736" t="str">
            <v>435</v>
          </cell>
          <cell r="O736" t="str">
            <v>Full no Cord</v>
          </cell>
          <cell r="P736" t="str">
            <v>TEFC</v>
          </cell>
          <cell r="R736" t="str">
            <v>Continuous</v>
          </cell>
          <cell r="S736" t="str">
            <v>Yes</v>
          </cell>
          <cell r="T736" t="str">
            <v>NONE NO KEY</v>
          </cell>
          <cell r="U736" t="str">
            <v>40</v>
          </cell>
          <cell r="V736" t="str">
            <v>3</v>
          </cell>
          <cell r="W736" t="str">
            <v>60</v>
          </cell>
          <cell r="X736" t="str">
            <v>460</v>
          </cell>
          <cell r="Y736" t="str">
            <v>36.1</v>
          </cell>
          <cell r="Z736" t="str">
            <v>No</v>
          </cell>
          <cell r="AA736" t="str">
            <v>F1</v>
          </cell>
          <cell r="AG736" t="str">
            <v>HP</v>
          </cell>
          <cell r="AI736" t="str">
            <v>6310</v>
          </cell>
          <cell r="AJ736" t="str">
            <v>6310</v>
          </cell>
          <cell r="AP736" t="str">
            <v>G</v>
          </cell>
          <cell r="AQ736" t="str">
            <v>F</v>
          </cell>
          <cell r="AR736" t="str">
            <v>83.1</v>
          </cell>
          <cell r="AS736" t="str">
            <v>1.15</v>
          </cell>
          <cell r="AT736" t="str">
            <v>93.6</v>
          </cell>
          <cell r="AV736" t="b">
            <v>0</v>
          </cell>
          <cell r="EX736" t="str">
            <v>P28G3314-10 L BKQEK</v>
          </cell>
          <cell r="HD736" t="str">
            <v>Repair Shop</v>
          </cell>
          <cell r="HT736" t="b">
            <v>0</v>
          </cell>
          <cell r="HU736" t="str">
            <v>VALERO REFINING CO. BENICIA</v>
          </cell>
        </row>
        <row r="737">
          <cell r="A737">
            <v>3037</v>
          </cell>
          <cell r="B737" t="str">
            <v>VEM0964</v>
          </cell>
          <cell r="D737" t="str">
            <v>VALERO</v>
          </cell>
          <cell r="F737" t="str">
            <v>BALDOR-RELIANCE</v>
          </cell>
          <cell r="H737" t="str">
            <v>C1305291377</v>
          </cell>
          <cell r="I737" t="str">
            <v>286T</v>
          </cell>
          <cell r="K737" t="str">
            <v>30</v>
          </cell>
          <cell r="L737" t="str">
            <v>1770</v>
          </cell>
          <cell r="O737" t="str">
            <v>None</v>
          </cell>
          <cell r="P737" t="str">
            <v>TEFC</v>
          </cell>
          <cell r="Q737" t="str">
            <v>Yes</v>
          </cell>
          <cell r="R737" t="str">
            <v>Continuous</v>
          </cell>
          <cell r="S737" t="str">
            <v>Yes</v>
          </cell>
          <cell r="U737" t="str">
            <v>40</v>
          </cell>
          <cell r="V737" t="str">
            <v>3</v>
          </cell>
          <cell r="W737" t="str">
            <v>60</v>
          </cell>
          <cell r="X737" t="str">
            <v>230/460</v>
          </cell>
          <cell r="Y737" t="str">
            <v>72/36</v>
          </cell>
          <cell r="Z737" t="str">
            <v>No</v>
          </cell>
          <cell r="AA737" t="str">
            <v>F1</v>
          </cell>
          <cell r="AG737" t="str">
            <v>HP</v>
          </cell>
          <cell r="AI737" t="str">
            <v>6311</v>
          </cell>
          <cell r="AJ737" t="str">
            <v>6311</v>
          </cell>
          <cell r="AO737" t="str">
            <v>B</v>
          </cell>
          <cell r="AP737" t="str">
            <v>H</v>
          </cell>
          <cell r="AQ737" t="str">
            <v>F</v>
          </cell>
          <cell r="AS737" t="str">
            <v>1.15</v>
          </cell>
          <cell r="AU737" t="str">
            <v>10H292X207</v>
          </cell>
          <cell r="AV737" t="b">
            <v>0</v>
          </cell>
          <cell r="EW737" t="str">
            <v>ECP4104T</v>
          </cell>
          <cell r="HD737" t="str">
            <v>Repair Shop</v>
          </cell>
          <cell r="HT737" t="b">
            <v>0</v>
          </cell>
          <cell r="HU737" t="str">
            <v>VALERO REFINING CO. BENICIA</v>
          </cell>
        </row>
        <row r="738">
          <cell r="A738">
            <v>3036</v>
          </cell>
          <cell r="B738" t="str">
            <v>VEM0963</v>
          </cell>
          <cell r="D738" t="str">
            <v>VALERO</v>
          </cell>
          <cell r="F738" t="str">
            <v>GE</v>
          </cell>
          <cell r="G738" t="str">
            <v>5KS284XAA208D3</v>
          </cell>
          <cell r="I738" t="str">
            <v>284T</v>
          </cell>
          <cell r="K738" t="str">
            <v>25</v>
          </cell>
          <cell r="L738" t="str">
            <v>1780</v>
          </cell>
          <cell r="M738" t="str">
            <v>KS</v>
          </cell>
          <cell r="N738" t="str">
            <v>460</v>
          </cell>
          <cell r="O738" t="str">
            <v>Full no Cord</v>
          </cell>
          <cell r="P738" t="str">
            <v>TEFC</v>
          </cell>
          <cell r="R738" t="str">
            <v>Continuous</v>
          </cell>
          <cell r="S738" t="str">
            <v>No</v>
          </cell>
          <cell r="T738" t="str">
            <v>NONE  NO KEY</v>
          </cell>
          <cell r="U738" t="str">
            <v>40</v>
          </cell>
          <cell r="V738" t="str">
            <v>3</v>
          </cell>
          <cell r="W738" t="str">
            <v>60</v>
          </cell>
          <cell r="X738" t="str">
            <v>460</v>
          </cell>
          <cell r="Y738" t="str">
            <v>29.1</v>
          </cell>
          <cell r="Z738" t="str">
            <v>No</v>
          </cell>
          <cell r="AA738" t="str">
            <v>F1</v>
          </cell>
          <cell r="AD738" t="str">
            <v>-1</v>
          </cell>
          <cell r="AG738" t="str">
            <v>HP</v>
          </cell>
          <cell r="AO738" t="str">
            <v>B</v>
          </cell>
          <cell r="AP738" t="str">
            <v>G</v>
          </cell>
          <cell r="AQ738" t="str">
            <v>F</v>
          </cell>
          <cell r="AR738" t="str">
            <v>86.0</v>
          </cell>
          <cell r="AS738" t="str">
            <v>1.15</v>
          </cell>
          <cell r="AT738" t="str">
            <v>93.6</v>
          </cell>
          <cell r="AV738" t="b">
            <v>0</v>
          </cell>
          <cell r="EW738" t="str">
            <v>M9443</v>
          </cell>
          <cell r="HD738" t="str">
            <v>Repair Shop</v>
          </cell>
          <cell r="HT738" t="b">
            <v>0</v>
          </cell>
          <cell r="HU738" t="str">
            <v>VALERO REFINING CO. BENICIA</v>
          </cell>
        </row>
        <row r="739">
          <cell r="A739">
            <v>3035</v>
          </cell>
          <cell r="B739" t="str">
            <v>VEM0962</v>
          </cell>
          <cell r="D739" t="str">
            <v>DELTADIABLO</v>
          </cell>
          <cell r="F739" t="str">
            <v>US Motors</v>
          </cell>
          <cell r="I739" t="str">
            <v>447VP</v>
          </cell>
          <cell r="K739" t="str">
            <v>200</v>
          </cell>
          <cell r="L739" t="str">
            <v>1785</v>
          </cell>
          <cell r="M739" t="str">
            <v>TV14</v>
          </cell>
          <cell r="N739" t="str">
            <v>2200</v>
          </cell>
          <cell r="O739" t="str">
            <v>None</v>
          </cell>
          <cell r="P739" t="str">
            <v>TEFC</v>
          </cell>
          <cell r="R739" t="str">
            <v>Continuous</v>
          </cell>
          <cell r="T739" t="str">
            <v>YES</v>
          </cell>
          <cell r="U739" t="str">
            <v>40</v>
          </cell>
          <cell r="V739" t="str">
            <v>3</v>
          </cell>
          <cell r="W739" t="str">
            <v>60</v>
          </cell>
          <cell r="X739" t="str">
            <v>460</v>
          </cell>
          <cell r="Y739" t="str">
            <v>223</v>
          </cell>
          <cell r="AA739" t="str">
            <v>Vertical</v>
          </cell>
          <cell r="AD739" t="str">
            <v>0</v>
          </cell>
          <cell r="AG739" t="str">
            <v>HP</v>
          </cell>
          <cell r="AI739" t="str">
            <v>6218</v>
          </cell>
          <cell r="AJ739" t="str">
            <v>7320 BEM</v>
          </cell>
          <cell r="AO739" t="str">
            <v>B</v>
          </cell>
          <cell r="AP739" t="str">
            <v>G</v>
          </cell>
          <cell r="AQ739" t="str">
            <v>F</v>
          </cell>
          <cell r="AR739" t="str">
            <v>87.7</v>
          </cell>
          <cell r="AS739" t="str">
            <v>1.15</v>
          </cell>
          <cell r="AT739" t="str">
            <v>95.8</v>
          </cell>
          <cell r="AV739" t="b">
            <v>0</v>
          </cell>
          <cell r="EX739" t="str">
            <v>D10  99083530-001R-  03</v>
          </cell>
          <cell r="HD739" t="str">
            <v>Repair Shop</v>
          </cell>
          <cell r="HT739" t="b">
            <v>0</v>
          </cell>
          <cell r="HU739" t="str">
            <v>DELTA DIABLO WASTE WATER</v>
          </cell>
        </row>
        <row r="740">
          <cell r="A740">
            <v>3034</v>
          </cell>
          <cell r="B740" t="str">
            <v>VEM0961</v>
          </cell>
          <cell r="D740" t="str">
            <v>SUPERSTORES</v>
          </cell>
          <cell r="F740" t="str">
            <v>Baldor</v>
          </cell>
          <cell r="I740" t="str">
            <v>184TC</v>
          </cell>
          <cell r="K740" t="str">
            <v>5</v>
          </cell>
          <cell r="L740" t="str">
            <v>1750</v>
          </cell>
          <cell r="O740" t="str">
            <v>Full no Cord</v>
          </cell>
          <cell r="P740" t="str">
            <v>TEFC</v>
          </cell>
          <cell r="R740" t="str">
            <v>Continuous</v>
          </cell>
          <cell r="S740" t="str">
            <v>Yes</v>
          </cell>
          <cell r="T740" t="str">
            <v>NONE NO KEY</v>
          </cell>
          <cell r="U740" t="str">
            <v>40</v>
          </cell>
          <cell r="V740" t="str">
            <v>3</v>
          </cell>
          <cell r="W740" t="str">
            <v>60</v>
          </cell>
          <cell r="X740" t="str">
            <v>208-230/460</v>
          </cell>
          <cell r="Y740" t="str">
            <v>13.9/13.4/6.7</v>
          </cell>
          <cell r="AA740" t="str">
            <v>F1</v>
          </cell>
          <cell r="AD740" t="str">
            <v>0</v>
          </cell>
          <cell r="AG740" t="str">
            <v>HP</v>
          </cell>
          <cell r="AO740" t="str">
            <v>B</v>
          </cell>
          <cell r="AR740" t="str">
            <v>78</v>
          </cell>
          <cell r="AS740" t="str">
            <v>1.15</v>
          </cell>
          <cell r="AT740" t="str">
            <v>89.5</v>
          </cell>
          <cell r="AU740" t="str">
            <v>36K190S268G1</v>
          </cell>
          <cell r="AV740" t="b">
            <v>0</v>
          </cell>
          <cell r="EW740" t="str">
            <v>CEWDM3615T</v>
          </cell>
          <cell r="HD740" t="str">
            <v>Repair Shop</v>
          </cell>
          <cell r="HT740" t="b">
            <v>0</v>
          </cell>
          <cell r="HU740" t="str">
            <v>Producers Dairy Foods</v>
          </cell>
        </row>
        <row r="741">
          <cell r="A741">
            <v>3033</v>
          </cell>
          <cell r="B741" t="str">
            <v>VEM0960</v>
          </cell>
          <cell r="D741" t="str">
            <v>SUPERSTORES</v>
          </cell>
          <cell r="F741" t="str">
            <v>Baldor</v>
          </cell>
          <cell r="H741" t="str">
            <v>F1203221089</v>
          </cell>
          <cell r="I741" t="str">
            <v>184TC</v>
          </cell>
          <cell r="K741" t="str">
            <v>7.5</v>
          </cell>
          <cell r="L741" t="str">
            <v>3450</v>
          </cell>
          <cell r="O741" t="str">
            <v>Full no Cord</v>
          </cell>
          <cell r="P741" t="str">
            <v>ODTF</v>
          </cell>
          <cell r="R741" t="str">
            <v>Continuous</v>
          </cell>
          <cell r="S741" t="str">
            <v>No</v>
          </cell>
          <cell r="T741" t="str">
            <v>NONE NO KEY</v>
          </cell>
          <cell r="U741" t="str">
            <v>40</v>
          </cell>
          <cell r="V741" t="str">
            <v>3</v>
          </cell>
          <cell r="W741" t="str">
            <v>60</v>
          </cell>
          <cell r="X741" t="str">
            <v>208-230/460</v>
          </cell>
          <cell r="Y741" t="str">
            <v>18.8-17.4/8.7</v>
          </cell>
          <cell r="Z741" t="str">
            <v>No</v>
          </cell>
          <cell r="AA741" t="str">
            <v>Vertical</v>
          </cell>
          <cell r="AD741" t="str">
            <v>0</v>
          </cell>
          <cell r="AG741" t="str">
            <v>HP</v>
          </cell>
          <cell r="AI741" t="str">
            <v>6206</v>
          </cell>
          <cell r="AJ741" t="str">
            <v>6205</v>
          </cell>
          <cell r="AO741" t="str">
            <v>B</v>
          </cell>
          <cell r="AP741" t="str">
            <v>J</v>
          </cell>
          <cell r="AQ741" t="str">
            <v>F</v>
          </cell>
          <cell r="AR741" t="str">
            <v>92</v>
          </cell>
          <cell r="AS741" t="str">
            <v>1.15</v>
          </cell>
          <cell r="AU741" t="str">
            <v>36B005T849H1</v>
          </cell>
          <cell r="AV741" t="b">
            <v>0</v>
          </cell>
          <cell r="EW741" t="str">
            <v>VM3219T</v>
          </cell>
          <cell r="HD741" t="str">
            <v>Repair Shop</v>
          </cell>
          <cell r="HT741" t="b">
            <v>0</v>
          </cell>
          <cell r="HU741" t="str">
            <v>Producers Dairy Foods</v>
          </cell>
        </row>
        <row r="742">
          <cell r="A742">
            <v>3032</v>
          </cell>
          <cell r="B742" t="str">
            <v>VEM0959</v>
          </cell>
          <cell r="D742" t="str">
            <v>DELTADIABLO</v>
          </cell>
          <cell r="F742" t="str">
            <v>TECO</v>
          </cell>
          <cell r="H742" t="str">
            <v>DED44231-1</v>
          </cell>
          <cell r="I742" t="str">
            <v>5009C</v>
          </cell>
          <cell r="K742" t="str">
            <v>250</v>
          </cell>
          <cell r="L742" t="str">
            <v>882</v>
          </cell>
          <cell r="M742" t="str">
            <v>AEVA-TL001</v>
          </cell>
          <cell r="N742" t="str">
            <v>1800KG</v>
          </cell>
          <cell r="O742" t="str">
            <v>None</v>
          </cell>
          <cell r="P742" t="str">
            <v>TEFC</v>
          </cell>
          <cell r="R742" t="str">
            <v>Continuous</v>
          </cell>
          <cell r="T742" t="str">
            <v>YES</v>
          </cell>
          <cell r="U742" t="str">
            <v>40</v>
          </cell>
          <cell r="V742" t="str">
            <v>3</v>
          </cell>
          <cell r="W742" t="str">
            <v>60</v>
          </cell>
          <cell r="X742" t="str">
            <v>480</v>
          </cell>
          <cell r="Y742" t="str">
            <v>288</v>
          </cell>
          <cell r="AA742" t="str">
            <v>Vertical</v>
          </cell>
          <cell r="AD742" t="str">
            <v>0</v>
          </cell>
          <cell r="AG742" t="str">
            <v>HP</v>
          </cell>
          <cell r="AI742" t="str">
            <v>7320</v>
          </cell>
          <cell r="AJ742" t="str">
            <v>6220</v>
          </cell>
          <cell r="AO742" t="str">
            <v>B</v>
          </cell>
          <cell r="AP742" t="str">
            <v>G</v>
          </cell>
          <cell r="AQ742" t="str">
            <v>F</v>
          </cell>
          <cell r="AV742" t="b">
            <v>0</v>
          </cell>
          <cell r="HD742" t="str">
            <v>Repair Shop</v>
          </cell>
          <cell r="HT742" t="b">
            <v>0</v>
          </cell>
          <cell r="HU742" t="str">
            <v>DELTA DIABLO WASTE WATER</v>
          </cell>
        </row>
        <row r="743">
          <cell r="A743">
            <v>3031</v>
          </cell>
          <cell r="B743" t="str">
            <v>VEM0958</v>
          </cell>
          <cell r="D743" t="str">
            <v>DELTADIABLO</v>
          </cell>
          <cell r="F743" t="str">
            <v>US Motors</v>
          </cell>
          <cell r="G743" t="str">
            <v>H20812</v>
          </cell>
          <cell r="I743" t="str">
            <v>445VP</v>
          </cell>
          <cell r="K743" t="str">
            <v>100</v>
          </cell>
          <cell r="L743" t="str">
            <v>900</v>
          </cell>
          <cell r="P743" t="str">
            <v>ODP</v>
          </cell>
          <cell r="V743" t="str">
            <v>3</v>
          </cell>
          <cell r="W743" t="str">
            <v>60</v>
          </cell>
          <cell r="X743" t="str">
            <v>460</v>
          </cell>
          <cell r="AA743" t="str">
            <v>Vertical</v>
          </cell>
          <cell r="AG743" t="str">
            <v>HP</v>
          </cell>
          <cell r="AV743" t="b">
            <v>0</v>
          </cell>
          <cell r="AW743" t="str">
            <v>126</v>
          </cell>
          <cell r="EX743" t="str">
            <v>A10A2310625R-1</v>
          </cell>
          <cell r="HD743" t="str">
            <v>Repair Shop</v>
          </cell>
          <cell r="HT743" t="b">
            <v>0</v>
          </cell>
          <cell r="HU743" t="str">
            <v>DELTA DIABLO WASTE WATER</v>
          </cell>
        </row>
        <row r="744">
          <cell r="A744">
            <v>3030</v>
          </cell>
          <cell r="B744" t="str">
            <v>VEM0957</v>
          </cell>
          <cell r="D744" t="str">
            <v>CONHAGEN</v>
          </cell>
          <cell r="AG744" t="str">
            <v>HP</v>
          </cell>
          <cell r="AV744" t="b">
            <v>0</v>
          </cell>
          <cell r="HD744" t="str">
            <v>Repair Shop</v>
          </cell>
          <cell r="HT744" t="b">
            <v>0</v>
          </cell>
          <cell r="HU744" t="str">
            <v>ALFRED CONHAGEN CO. OF CA</v>
          </cell>
        </row>
        <row r="745">
          <cell r="A745">
            <v>3029</v>
          </cell>
          <cell r="B745" t="str">
            <v>VEM0956</v>
          </cell>
          <cell r="D745" t="str">
            <v>VALERO</v>
          </cell>
          <cell r="F745" t="str">
            <v>US Motors</v>
          </cell>
          <cell r="G745" t="str">
            <v>DE94</v>
          </cell>
          <cell r="I745" t="str">
            <v>215T</v>
          </cell>
          <cell r="K745" t="str">
            <v>10</v>
          </cell>
          <cell r="L745" t="str">
            <v>1760</v>
          </cell>
          <cell r="M745" t="str">
            <v>CTE</v>
          </cell>
          <cell r="N745" t="str">
            <v>175</v>
          </cell>
          <cell r="O745" t="str">
            <v>None</v>
          </cell>
          <cell r="P745" t="str">
            <v>TEFC</v>
          </cell>
          <cell r="R745" t="str">
            <v>Continuous</v>
          </cell>
          <cell r="S745" t="str">
            <v>No</v>
          </cell>
          <cell r="T745" t="str">
            <v>NONE NO KEY</v>
          </cell>
          <cell r="U745" t="str">
            <v>40</v>
          </cell>
          <cell r="V745" t="str">
            <v>3</v>
          </cell>
          <cell r="W745" t="str">
            <v>60</v>
          </cell>
          <cell r="X745" t="str">
            <v>230/460</v>
          </cell>
          <cell r="Y745" t="str">
            <v>23.9/12.0</v>
          </cell>
          <cell r="AA745" t="str">
            <v>F1</v>
          </cell>
          <cell r="AD745" t="str">
            <v>0</v>
          </cell>
          <cell r="AG745" t="str">
            <v>HP</v>
          </cell>
          <cell r="AI745" t="str">
            <v>6208</v>
          </cell>
          <cell r="AJ745" t="str">
            <v>6208</v>
          </cell>
          <cell r="AO745" t="str">
            <v>B</v>
          </cell>
          <cell r="AP745" t="str">
            <v>H</v>
          </cell>
          <cell r="AQ745" t="str">
            <v>F</v>
          </cell>
          <cell r="AS745" t="str">
            <v>1.15</v>
          </cell>
          <cell r="AT745" t="str">
            <v>85.3</v>
          </cell>
          <cell r="AV745" t="b">
            <v>0</v>
          </cell>
          <cell r="EW745" t="str">
            <v>H10P2D</v>
          </cell>
          <cell r="EX745" t="str">
            <v>X 03 7642751-0031M 0011</v>
          </cell>
          <cell r="HD745" t="str">
            <v>Repair Shop</v>
          </cell>
          <cell r="HT745" t="b">
            <v>0</v>
          </cell>
          <cell r="HU745" t="str">
            <v>VALERO REFINING CO. BENICIA</v>
          </cell>
        </row>
        <row r="746">
          <cell r="A746">
            <v>3028</v>
          </cell>
          <cell r="B746" t="str">
            <v>VEM0955</v>
          </cell>
          <cell r="D746" t="str">
            <v>VALERO</v>
          </cell>
          <cell r="F746" t="str">
            <v>Siemens</v>
          </cell>
          <cell r="I746" t="str">
            <v>215T</v>
          </cell>
          <cell r="K746" t="str">
            <v>10</v>
          </cell>
          <cell r="L746" t="str">
            <v>1740</v>
          </cell>
          <cell r="M746" t="str">
            <v>RGZESD</v>
          </cell>
          <cell r="O746" t="str">
            <v>None</v>
          </cell>
          <cell r="P746" t="str">
            <v>TEFC</v>
          </cell>
          <cell r="R746" t="str">
            <v>Continuous</v>
          </cell>
          <cell r="S746" t="str">
            <v>No</v>
          </cell>
          <cell r="T746" t="str">
            <v>no</v>
          </cell>
          <cell r="U746" t="str">
            <v>40</v>
          </cell>
          <cell r="V746" t="str">
            <v>3</v>
          </cell>
          <cell r="W746" t="str">
            <v>60</v>
          </cell>
          <cell r="Y746" t="str">
            <v>24.6/12.3</v>
          </cell>
          <cell r="AA746" t="str">
            <v>F1</v>
          </cell>
          <cell r="AD746" t="str">
            <v>0</v>
          </cell>
          <cell r="AO746" t="str">
            <v>B</v>
          </cell>
          <cell r="AP746" t="str">
            <v>H</v>
          </cell>
          <cell r="AS746" t="str">
            <v>1.15</v>
          </cell>
          <cell r="AT746" t="str">
            <v>89.5</v>
          </cell>
          <cell r="AV746" t="b">
            <v>0</v>
          </cell>
          <cell r="HD746" t="str">
            <v>Repair Shop</v>
          </cell>
          <cell r="HT746" t="b">
            <v>0</v>
          </cell>
          <cell r="HU746" t="str">
            <v>VALERO REFINING CO. BENICIA</v>
          </cell>
        </row>
        <row r="747">
          <cell r="A747">
            <v>3027</v>
          </cell>
          <cell r="B747" t="str">
            <v>VEM0954</v>
          </cell>
          <cell r="D747" t="str">
            <v>CONHAGEN</v>
          </cell>
          <cell r="AG747" t="str">
            <v>HP</v>
          </cell>
          <cell r="AV747" t="b">
            <v>0</v>
          </cell>
          <cell r="HD747" t="str">
            <v>Repair Shop</v>
          </cell>
          <cell r="HT747" t="b">
            <v>0</v>
          </cell>
          <cell r="HU747" t="str">
            <v>ALFRED CONHAGEN CO. OF CA</v>
          </cell>
        </row>
        <row r="748">
          <cell r="A748">
            <v>3026</v>
          </cell>
          <cell r="B748" t="str">
            <v>VEM0953</v>
          </cell>
          <cell r="D748" t="str">
            <v>DELTADIABLO</v>
          </cell>
          <cell r="AG748" t="str">
            <v>HP</v>
          </cell>
          <cell r="AV748" t="b">
            <v>0</v>
          </cell>
          <cell r="HD748" t="str">
            <v>Repair Shop</v>
          </cell>
          <cell r="HT748" t="b">
            <v>0</v>
          </cell>
          <cell r="HU748" t="str">
            <v>DELTA DIABLO WASTE WATER</v>
          </cell>
        </row>
        <row r="749">
          <cell r="A749">
            <v>3025</v>
          </cell>
          <cell r="B749" t="str">
            <v>VEM0952</v>
          </cell>
          <cell r="D749" t="str">
            <v>DUBSAN</v>
          </cell>
          <cell r="F749" t="str">
            <v>AUMA</v>
          </cell>
          <cell r="G749" t="str">
            <v>Z006.460</v>
          </cell>
          <cell r="H749" t="str">
            <v>4615MM79055</v>
          </cell>
          <cell r="K749" t="str">
            <v>1</v>
          </cell>
          <cell r="L749" t="str">
            <v>3600</v>
          </cell>
          <cell r="P749" t="str">
            <v>NEMA 4</v>
          </cell>
          <cell r="X749" t="str">
            <v>460</v>
          </cell>
          <cell r="AG749" t="str">
            <v>HP</v>
          </cell>
          <cell r="AV749" t="b">
            <v>0</v>
          </cell>
          <cell r="AW749" t="str">
            <v>1.9</v>
          </cell>
          <cell r="AX749" t="str">
            <v>2</v>
          </cell>
          <cell r="GK749" t="str">
            <v>INSUL F</v>
          </cell>
          <cell r="GL749" t="str">
            <v>THERM PROTECTED:TH</v>
          </cell>
          <cell r="HD749" t="str">
            <v>Repair Shop</v>
          </cell>
          <cell r="HT749" t="b">
            <v>0</v>
          </cell>
          <cell r="HU749" t="str">
            <v>DUBLIN SAN RAMON SERVICES DISTRICT</v>
          </cell>
        </row>
        <row r="750">
          <cell r="A750">
            <v>3024</v>
          </cell>
          <cell r="B750" t="str">
            <v>VEM0951</v>
          </cell>
          <cell r="D750" t="str">
            <v>DUBSAN</v>
          </cell>
          <cell r="F750" t="str">
            <v>US Motors</v>
          </cell>
          <cell r="I750" t="str">
            <v>5809P</v>
          </cell>
          <cell r="K750" t="str">
            <v>450</v>
          </cell>
          <cell r="L750" t="str">
            <v>1790</v>
          </cell>
          <cell r="M750" t="str">
            <v>JVCI4</v>
          </cell>
          <cell r="N750" t="str">
            <v>6500</v>
          </cell>
          <cell r="P750" t="str">
            <v>TEFC</v>
          </cell>
          <cell r="R750" t="str">
            <v>Continuous</v>
          </cell>
          <cell r="V750" t="str">
            <v>3</v>
          </cell>
          <cell r="W750" t="str">
            <v>60</v>
          </cell>
          <cell r="X750" t="str">
            <v>460</v>
          </cell>
          <cell r="AA750" t="str">
            <v>Vertical</v>
          </cell>
          <cell r="AG750" t="str">
            <v>HP</v>
          </cell>
          <cell r="AI750" t="str">
            <v>UNKNOWN</v>
          </cell>
          <cell r="AJ750" t="str">
            <v>UNKNOWN</v>
          </cell>
          <cell r="AS750" t="str">
            <v>1.15</v>
          </cell>
          <cell r="AT750" t="str">
            <v>95.4</v>
          </cell>
          <cell r="AV750" t="b">
            <v>0</v>
          </cell>
          <cell r="AW750" t="str">
            <v>493</v>
          </cell>
          <cell r="AX750" t="str">
            <v>4</v>
          </cell>
          <cell r="EX750" t="str">
            <v>H1003024288-100R-01</v>
          </cell>
          <cell r="HD750" t="str">
            <v>Repair Shop</v>
          </cell>
          <cell r="HT750" t="b">
            <v>0</v>
          </cell>
          <cell r="HU750" t="str">
            <v>DUBLIN SAN RAMON SERVICES DISTRICT</v>
          </cell>
        </row>
        <row r="751">
          <cell r="A751">
            <v>3023</v>
          </cell>
          <cell r="B751" t="str">
            <v>VEM0950</v>
          </cell>
          <cell r="D751" t="str">
            <v>P66</v>
          </cell>
          <cell r="F751" t="str">
            <v>US Motors</v>
          </cell>
          <cell r="G751" t="str">
            <v>7969B</v>
          </cell>
          <cell r="I751" t="str">
            <v>256T</v>
          </cell>
          <cell r="K751" t="str">
            <v>20</v>
          </cell>
          <cell r="L751" t="str">
            <v>1770</v>
          </cell>
          <cell r="M751" t="str">
            <v>TCE</v>
          </cell>
          <cell r="O751" t="str">
            <v>Full no Cord</v>
          </cell>
          <cell r="P751" t="str">
            <v>TEFC</v>
          </cell>
          <cell r="R751" t="str">
            <v>Continuous</v>
          </cell>
          <cell r="S751" t="str">
            <v>No</v>
          </cell>
          <cell r="T751" t="str">
            <v>key only</v>
          </cell>
          <cell r="U751" t="str">
            <v>40</v>
          </cell>
          <cell r="V751" t="str">
            <v>3</v>
          </cell>
          <cell r="W751" t="str">
            <v>60</v>
          </cell>
          <cell r="X751" t="str">
            <v>230/460</v>
          </cell>
          <cell r="Y751" t="str">
            <v>49/24.5</v>
          </cell>
          <cell r="AA751" t="str">
            <v>F1</v>
          </cell>
          <cell r="AD751" t="str">
            <v>0</v>
          </cell>
          <cell r="AG751" t="str">
            <v>HP</v>
          </cell>
          <cell r="AI751" t="str">
            <v>63099</v>
          </cell>
          <cell r="AJ751" t="str">
            <v>6207</v>
          </cell>
          <cell r="AO751" t="str">
            <v>B</v>
          </cell>
          <cell r="AP751" t="str">
            <v>G</v>
          </cell>
          <cell r="AQ751" t="str">
            <v>F</v>
          </cell>
          <cell r="AR751" t="str">
            <v>84.5</v>
          </cell>
          <cell r="AS751" t="str">
            <v>1.15</v>
          </cell>
          <cell r="AT751" t="str">
            <v>93.0</v>
          </cell>
          <cell r="AV751" t="b">
            <v>0</v>
          </cell>
          <cell r="EX751" t="str">
            <v>X08X122R10M</v>
          </cell>
          <cell r="HD751" t="str">
            <v>Repair Shop</v>
          </cell>
          <cell r="HT751" t="b">
            <v>0</v>
          </cell>
          <cell r="HU751" t="str">
            <v>PHILLIPS 66</v>
          </cell>
        </row>
        <row r="752">
          <cell r="A752">
            <v>3022</v>
          </cell>
          <cell r="B752" t="str">
            <v>VEM0949</v>
          </cell>
          <cell r="D752" t="str">
            <v>P66</v>
          </cell>
          <cell r="F752" t="str">
            <v>Louis Allis</v>
          </cell>
          <cell r="G752" t="str">
            <v>2256AM-2  E170</v>
          </cell>
          <cell r="I752" t="str">
            <v>286TS</v>
          </cell>
          <cell r="K752" t="str">
            <v>30</v>
          </cell>
          <cell r="L752" t="str">
            <v>3540</v>
          </cell>
          <cell r="M752" t="str">
            <v>CJ4B</v>
          </cell>
          <cell r="O752" t="str">
            <v>Full no Cord</v>
          </cell>
          <cell r="P752" t="str">
            <v>TEFC</v>
          </cell>
          <cell r="R752" t="str">
            <v>Continuous</v>
          </cell>
          <cell r="S752" t="str">
            <v>Yes</v>
          </cell>
          <cell r="T752" t="str">
            <v>key only</v>
          </cell>
          <cell r="U752" t="str">
            <v>40</v>
          </cell>
          <cell r="V752" t="str">
            <v>3</v>
          </cell>
          <cell r="W752" t="str">
            <v>60</v>
          </cell>
          <cell r="X752" t="str">
            <v>230/460</v>
          </cell>
          <cell r="Y752" t="str">
            <v>76/38</v>
          </cell>
          <cell r="Z752" t="str">
            <v>No</v>
          </cell>
          <cell r="AA752" t="str">
            <v>F1</v>
          </cell>
          <cell r="AG752" t="str">
            <v>HP</v>
          </cell>
          <cell r="AO752" t="str">
            <v>B</v>
          </cell>
          <cell r="AP752" t="str">
            <v>F</v>
          </cell>
          <cell r="AS752" t="str">
            <v>1.0</v>
          </cell>
          <cell r="AV752" t="b">
            <v>0</v>
          </cell>
          <cell r="EZ752" t="str">
            <v>40</v>
          </cell>
          <cell r="HD752" t="str">
            <v>Repair Shop</v>
          </cell>
          <cell r="HT752" t="b">
            <v>0</v>
          </cell>
          <cell r="HU752" t="str">
            <v>PHILLIPS 66</v>
          </cell>
        </row>
        <row r="753">
          <cell r="A753">
            <v>3021</v>
          </cell>
          <cell r="B753" t="str">
            <v>VEM0948</v>
          </cell>
          <cell r="D753" t="str">
            <v>TURBO</v>
          </cell>
          <cell r="F753" t="str">
            <v>GE</v>
          </cell>
          <cell r="G753" t="str">
            <v>5KS405D17017</v>
          </cell>
          <cell r="I753" t="str">
            <v>L405TP16</v>
          </cell>
          <cell r="K753" t="str">
            <v>75</v>
          </cell>
          <cell r="L753" t="str">
            <v>1190</v>
          </cell>
          <cell r="M753" t="str">
            <v>KS</v>
          </cell>
          <cell r="O753" t="str">
            <v>None</v>
          </cell>
          <cell r="R753" t="str">
            <v>Continuous</v>
          </cell>
          <cell r="U753" t="str">
            <v>40</v>
          </cell>
          <cell r="V753" t="str">
            <v>3</v>
          </cell>
          <cell r="W753" t="str">
            <v>60</v>
          </cell>
          <cell r="X753" t="str">
            <v>460</v>
          </cell>
          <cell r="Y753" t="str">
            <v>85.9</v>
          </cell>
          <cell r="AA753" t="str">
            <v>Vertical</v>
          </cell>
          <cell r="AD753" t="str">
            <v>0</v>
          </cell>
          <cell r="AI753" t="str">
            <v>215</v>
          </cell>
          <cell r="AJ753" t="str">
            <v>7226</v>
          </cell>
          <cell r="AO753" t="str">
            <v>B</v>
          </cell>
          <cell r="AP753" t="str">
            <v>G</v>
          </cell>
          <cell r="AR753" t="str">
            <v>86</v>
          </cell>
          <cell r="AS753" t="str">
            <v>1.15</v>
          </cell>
          <cell r="AT753" t="str">
            <v>95.0</v>
          </cell>
          <cell r="AV753" t="b">
            <v>0</v>
          </cell>
          <cell r="HD753" t="str">
            <v>Repair Shop</v>
          </cell>
          <cell r="HT753" t="b">
            <v>0</v>
          </cell>
          <cell r="HU753" t="str">
            <v>TURBO MACHINE</v>
          </cell>
        </row>
        <row r="754">
          <cell r="A754">
            <v>3020</v>
          </cell>
          <cell r="B754" t="str">
            <v>VEM0947</v>
          </cell>
          <cell r="D754" t="str">
            <v>CONHAGEN</v>
          </cell>
          <cell r="F754" t="str">
            <v>Reliance</v>
          </cell>
          <cell r="G754" t="str">
            <v>P21G135ID</v>
          </cell>
          <cell r="I754" t="str">
            <v>210LP</v>
          </cell>
          <cell r="K754" t="str">
            <v>10</v>
          </cell>
          <cell r="L754" t="str">
            <v>3510</v>
          </cell>
          <cell r="N754" t="str">
            <v>247</v>
          </cell>
          <cell r="O754" t="str">
            <v>None</v>
          </cell>
          <cell r="P754" t="str">
            <v>TEFC</v>
          </cell>
          <cell r="R754" t="str">
            <v>Continuous</v>
          </cell>
          <cell r="U754" t="str">
            <v>40</v>
          </cell>
          <cell r="V754" t="str">
            <v>3</v>
          </cell>
          <cell r="W754" t="str">
            <v>60</v>
          </cell>
          <cell r="X754" t="str">
            <v>230/460</v>
          </cell>
          <cell r="Y754" t="str">
            <v>22.2/11.1</v>
          </cell>
          <cell r="AA754" t="str">
            <v>Vertical</v>
          </cell>
          <cell r="AD754" t="str">
            <v>0</v>
          </cell>
          <cell r="AG754" t="str">
            <v>HP</v>
          </cell>
          <cell r="AI754" t="str">
            <v>6211</v>
          </cell>
          <cell r="AJ754" t="str">
            <v>7306</v>
          </cell>
          <cell r="AO754" t="str">
            <v>B</v>
          </cell>
          <cell r="AP754" t="str">
            <v>H</v>
          </cell>
          <cell r="AQ754" t="str">
            <v>F</v>
          </cell>
          <cell r="AS754" t="str">
            <v>1.15</v>
          </cell>
          <cell r="AT754" t="str">
            <v>89.5</v>
          </cell>
          <cell r="AV754" t="b">
            <v>0</v>
          </cell>
          <cell r="EX754" t="str">
            <v>21MN211351G001ED</v>
          </cell>
          <cell r="HD754" t="str">
            <v>Repair Shop</v>
          </cell>
          <cell r="HT754" t="b">
            <v>0</v>
          </cell>
          <cell r="HU754" t="str">
            <v>ALFRED CONHAGEN CO. OF CA</v>
          </cell>
        </row>
        <row r="755">
          <cell r="A755">
            <v>3019</v>
          </cell>
          <cell r="B755" t="str">
            <v>VEM0946</v>
          </cell>
          <cell r="D755" t="str">
            <v>EAST BAY MACHIN</v>
          </cell>
          <cell r="F755" t="str">
            <v>Siemens</v>
          </cell>
          <cell r="H755" t="str">
            <v>1LA9189-2XA96-ZN00</v>
          </cell>
          <cell r="K755" t="str">
            <v>40</v>
          </cell>
          <cell r="L755" t="str">
            <v>3570</v>
          </cell>
          <cell r="N755" t="str">
            <v>165KG</v>
          </cell>
          <cell r="O755" t="str">
            <v>Full no Cord</v>
          </cell>
          <cell r="P755" t="str">
            <v>TEFC</v>
          </cell>
          <cell r="R755" t="str">
            <v>Continuous</v>
          </cell>
          <cell r="S755" t="str">
            <v>No</v>
          </cell>
          <cell r="T755" t="str">
            <v>YES</v>
          </cell>
          <cell r="U755" t="str">
            <v>45</v>
          </cell>
          <cell r="V755" t="str">
            <v>3</v>
          </cell>
          <cell r="W755" t="str">
            <v>60</v>
          </cell>
          <cell r="X755" t="str">
            <v>230/460</v>
          </cell>
          <cell r="Y755" t="str">
            <v>94/47</v>
          </cell>
          <cell r="AA755" t="str">
            <v>F1</v>
          </cell>
          <cell r="AD755" t="str">
            <v>-1</v>
          </cell>
          <cell r="AG755" t="str">
            <v>HP</v>
          </cell>
          <cell r="AO755" t="str">
            <v>A</v>
          </cell>
          <cell r="AP755" t="str">
            <v>N</v>
          </cell>
          <cell r="AR755" t="str">
            <v>87</v>
          </cell>
          <cell r="AS755" t="str">
            <v>1.15</v>
          </cell>
          <cell r="AT755" t="str">
            <v>92.4</v>
          </cell>
          <cell r="AV755" t="b">
            <v>0</v>
          </cell>
          <cell r="HD755" t="str">
            <v>Repair Shop</v>
          </cell>
          <cell r="HT755" t="b">
            <v>0</v>
          </cell>
          <cell r="HU755" t="str">
            <v>EAST BAY MACHINE</v>
          </cell>
        </row>
        <row r="756">
          <cell r="A756">
            <v>3018</v>
          </cell>
          <cell r="B756" t="str">
            <v>FE1031</v>
          </cell>
          <cell r="D756" t="str">
            <v>RODEO</v>
          </cell>
          <cell r="AG756" t="str">
            <v>HP</v>
          </cell>
          <cell r="AV756" t="b">
            <v>0</v>
          </cell>
          <cell r="HD756" t="str">
            <v>Field Service</v>
          </cell>
          <cell r="HT756" t="b">
            <v>0</v>
          </cell>
          <cell r="HU756" t="str">
            <v>RODEO SANITARY DISTRICT</v>
          </cell>
        </row>
        <row r="757">
          <cell r="A757">
            <v>3017</v>
          </cell>
          <cell r="B757" t="str">
            <v>VEM0945</v>
          </cell>
          <cell r="D757" t="str">
            <v>P66</v>
          </cell>
          <cell r="F757" t="str">
            <v>Reliance</v>
          </cell>
          <cell r="I757" t="str">
            <v>365TS</v>
          </cell>
          <cell r="K757" t="str">
            <v>75</v>
          </cell>
          <cell r="L757" t="str">
            <v>3555</v>
          </cell>
          <cell r="M757" t="str">
            <v>P</v>
          </cell>
          <cell r="N757" t="str">
            <v>925</v>
          </cell>
          <cell r="O757" t="str">
            <v>Full no Cord</v>
          </cell>
          <cell r="P757" t="str">
            <v>TEFC</v>
          </cell>
          <cell r="R757" t="str">
            <v>Continuous</v>
          </cell>
          <cell r="S757" t="str">
            <v>Yes</v>
          </cell>
          <cell r="T757" t="str">
            <v>YES</v>
          </cell>
          <cell r="U757" t="str">
            <v>40</v>
          </cell>
          <cell r="V757" t="str">
            <v>3</v>
          </cell>
          <cell r="W757" t="str">
            <v>60</v>
          </cell>
          <cell r="X757" t="str">
            <v>460</v>
          </cell>
          <cell r="Y757" t="str">
            <v>80.7</v>
          </cell>
          <cell r="Z757" t="str">
            <v>Yes</v>
          </cell>
          <cell r="AA757" t="str">
            <v>F1</v>
          </cell>
          <cell r="AD757" t="str">
            <v>0</v>
          </cell>
          <cell r="AG757" t="str">
            <v>HP</v>
          </cell>
          <cell r="AO757" t="str">
            <v>B</v>
          </cell>
          <cell r="AP757" t="str">
            <v>F</v>
          </cell>
          <cell r="AQ757" t="str">
            <v>F</v>
          </cell>
          <cell r="AR757" t="str">
            <v>91.5</v>
          </cell>
          <cell r="AS757" t="str">
            <v>1.15</v>
          </cell>
          <cell r="AT757" t="str">
            <v>95.0</v>
          </cell>
          <cell r="AV757" t="b">
            <v>0</v>
          </cell>
          <cell r="EX757" t="str">
            <v>B365530-010  L001 BL</v>
          </cell>
          <cell r="HD757" t="str">
            <v>Repair Shop</v>
          </cell>
          <cell r="HT757" t="b">
            <v>0</v>
          </cell>
          <cell r="HU757" t="str">
            <v>PHILLIPS 66</v>
          </cell>
        </row>
        <row r="758">
          <cell r="A758">
            <v>3016</v>
          </cell>
          <cell r="B758" t="str">
            <v>VEM0944</v>
          </cell>
          <cell r="D758" t="str">
            <v>CONHAGEN</v>
          </cell>
          <cell r="F758" t="str">
            <v>Reliance</v>
          </cell>
          <cell r="I758" t="str">
            <v>X365LP</v>
          </cell>
          <cell r="K758" t="str">
            <v>75</v>
          </cell>
          <cell r="L758" t="str">
            <v>1780</v>
          </cell>
          <cell r="N758" t="str">
            <v>1067</v>
          </cell>
          <cell r="O758" t="str">
            <v>Full no Cord</v>
          </cell>
          <cell r="P758" t="str">
            <v>EXP</v>
          </cell>
          <cell r="R758" t="str">
            <v>Continuous</v>
          </cell>
          <cell r="T758" t="str">
            <v>YES</v>
          </cell>
          <cell r="U758" t="str">
            <v>40</v>
          </cell>
          <cell r="V758" t="str">
            <v>3</v>
          </cell>
          <cell r="W758" t="str">
            <v>60</v>
          </cell>
          <cell r="X758" t="str">
            <v>460</v>
          </cell>
          <cell r="Y758" t="str">
            <v>87.0</v>
          </cell>
          <cell r="AA758" t="str">
            <v>Vertical</v>
          </cell>
          <cell r="AD758" t="str">
            <v>0</v>
          </cell>
          <cell r="AG758" t="str">
            <v>HP</v>
          </cell>
          <cell r="AI758" t="str">
            <v>6312</v>
          </cell>
          <cell r="AJ758" t="str">
            <v>7310</v>
          </cell>
          <cell r="AP758" t="str">
            <v>G</v>
          </cell>
          <cell r="AQ758" t="str">
            <v>F</v>
          </cell>
          <cell r="AS758" t="str">
            <v>1.15</v>
          </cell>
          <cell r="AT758" t="str">
            <v>94.1</v>
          </cell>
          <cell r="AV758" t="b">
            <v>0</v>
          </cell>
          <cell r="EX758" t="str">
            <v>6359170  G005 DF</v>
          </cell>
          <cell r="GZ758" t="str">
            <v>D</v>
          </cell>
          <cell r="HA758" t="str">
            <v>1</v>
          </cell>
          <cell r="HD758" t="str">
            <v>Repair Shop</v>
          </cell>
          <cell r="HT758" t="b">
            <v>0</v>
          </cell>
          <cell r="HU758" t="str">
            <v>ALFRED CONHAGEN CO. OF CA</v>
          </cell>
        </row>
        <row r="759">
          <cell r="A759">
            <v>3015</v>
          </cell>
          <cell r="B759" t="str">
            <v>FE1030</v>
          </cell>
          <cell r="D759" t="str">
            <v>NAPARECYCLING</v>
          </cell>
          <cell r="AD759" t="str">
            <v>0</v>
          </cell>
          <cell r="AG759" t="str">
            <v>HP</v>
          </cell>
          <cell r="AV759" t="b">
            <v>0</v>
          </cell>
          <cell r="HD759" t="str">
            <v>Field Service</v>
          </cell>
          <cell r="HT759" t="b">
            <v>0</v>
          </cell>
          <cell r="HU759" t="str">
            <v>NAPA RECYCLING &amp; WASTE</v>
          </cell>
        </row>
        <row r="760">
          <cell r="A760">
            <v>3014</v>
          </cell>
          <cell r="B760" t="str">
            <v>VEM0943</v>
          </cell>
          <cell r="D760" t="str">
            <v>P66</v>
          </cell>
          <cell r="F760" t="str">
            <v>GE</v>
          </cell>
          <cell r="G760" t="str">
            <v>5K6228XJ293A</v>
          </cell>
          <cell r="H760" t="str">
            <v>EFJ506429</v>
          </cell>
          <cell r="I760" t="str">
            <v>B254TP10</v>
          </cell>
          <cell r="K760" t="str">
            <v>15</v>
          </cell>
          <cell r="L760" t="str">
            <v>3510</v>
          </cell>
          <cell r="M760" t="str">
            <v>K</v>
          </cell>
          <cell r="O760" t="str">
            <v>None</v>
          </cell>
          <cell r="P760" t="str">
            <v>TEFC</v>
          </cell>
          <cell r="R760" t="str">
            <v>Continuous</v>
          </cell>
          <cell r="T760" t="str">
            <v>YES</v>
          </cell>
          <cell r="U760" t="str">
            <v>40</v>
          </cell>
          <cell r="V760" t="str">
            <v>3</v>
          </cell>
          <cell r="W760" t="str">
            <v>60</v>
          </cell>
          <cell r="X760" t="str">
            <v>230/460</v>
          </cell>
          <cell r="Y760" t="str">
            <v>36.6/18.3</v>
          </cell>
          <cell r="AA760" t="str">
            <v>Vertical</v>
          </cell>
          <cell r="AD760" t="str">
            <v>0</v>
          </cell>
          <cell r="AG760" t="str">
            <v>HP</v>
          </cell>
          <cell r="AO760" t="str">
            <v>B</v>
          </cell>
          <cell r="AP760" t="str">
            <v>G</v>
          </cell>
          <cell r="AS760" t="str">
            <v>1.0</v>
          </cell>
          <cell r="AV760" t="b">
            <v>0</v>
          </cell>
          <cell r="HD760" t="str">
            <v>Repair Shop</v>
          </cell>
          <cell r="HT760" t="b">
            <v>0</v>
          </cell>
          <cell r="HU760" t="str">
            <v>PHILLIPS 66</v>
          </cell>
        </row>
        <row r="761">
          <cell r="A761">
            <v>3013</v>
          </cell>
          <cell r="B761" t="str">
            <v>VEM0942</v>
          </cell>
          <cell r="D761" t="str">
            <v>VALERO</v>
          </cell>
          <cell r="AD761" t="str">
            <v>0</v>
          </cell>
          <cell r="AG761" t="str">
            <v>HP</v>
          </cell>
          <cell r="AV761" t="b">
            <v>0</v>
          </cell>
          <cell r="HD761" t="str">
            <v>Repair Shop</v>
          </cell>
          <cell r="HT761" t="b">
            <v>0</v>
          </cell>
          <cell r="HU761" t="str">
            <v>VALERO REFINING CO. BENICIA</v>
          </cell>
        </row>
        <row r="762">
          <cell r="A762">
            <v>3012</v>
          </cell>
          <cell r="B762" t="str">
            <v>VEM0941</v>
          </cell>
          <cell r="D762" t="str">
            <v>VALERO</v>
          </cell>
          <cell r="F762" t="str">
            <v>Reliance</v>
          </cell>
          <cell r="I762" t="str">
            <v>17BG5008Z</v>
          </cell>
          <cell r="K762" t="str">
            <v>300</v>
          </cell>
          <cell r="L762" t="str">
            <v>1791</v>
          </cell>
          <cell r="N762" t="str">
            <v>4000</v>
          </cell>
          <cell r="O762" t="str">
            <v>Full no Cord</v>
          </cell>
          <cell r="R762" t="str">
            <v>Continuous</v>
          </cell>
          <cell r="T762" t="str">
            <v>YES</v>
          </cell>
          <cell r="U762" t="str">
            <v>40</v>
          </cell>
          <cell r="V762" t="str">
            <v>3</v>
          </cell>
          <cell r="W762" t="str">
            <v>60</v>
          </cell>
          <cell r="X762" t="str">
            <v>2300/4000</v>
          </cell>
          <cell r="Y762" t="str">
            <v>71/41</v>
          </cell>
          <cell r="AA762" t="str">
            <v>F1</v>
          </cell>
          <cell r="AD762" t="str">
            <v>0</v>
          </cell>
          <cell r="AG762" t="str">
            <v>HP</v>
          </cell>
          <cell r="AI762" t="str">
            <v>6222</v>
          </cell>
          <cell r="AJ762" t="str">
            <v>6222</v>
          </cell>
          <cell r="AP762" t="str">
            <v>H</v>
          </cell>
          <cell r="AQ762" t="str">
            <v>F</v>
          </cell>
          <cell r="AS762" t="str">
            <v>1.15</v>
          </cell>
          <cell r="AV762" t="b">
            <v>0</v>
          </cell>
          <cell r="EX762" t="str">
            <v>QS33404AN-BBC</v>
          </cell>
          <cell r="GZ762" t="str">
            <v>C  D</v>
          </cell>
          <cell r="HA762" t="str">
            <v>1</v>
          </cell>
          <cell r="HD762" t="str">
            <v>Repair Shop</v>
          </cell>
          <cell r="HT762" t="b">
            <v>0</v>
          </cell>
          <cell r="HU762" t="str">
            <v>VALERO REFINING CO. BENICIA</v>
          </cell>
        </row>
        <row r="763">
          <cell r="A763">
            <v>3011</v>
          </cell>
          <cell r="B763" t="str">
            <v>VEM0940</v>
          </cell>
          <cell r="D763" t="str">
            <v>CONHAGEN</v>
          </cell>
          <cell r="F763" t="str">
            <v>Reliance</v>
          </cell>
          <cell r="I763" t="str">
            <v>X405LP</v>
          </cell>
          <cell r="K763" t="str">
            <v>100</v>
          </cell>
          <cell r="L763" t="str">
            <v>1785</v>
          </cell>
          <cell r="M763" t="str">
            <v>P</v>
          </cell>
          <cell r="N763" t="str">
            <v>1425</v>
          </cell>
          <cell r="O763" t="str">
            <v>Full no Cord</v>
          </cell>
          <cell r="P763" t="str">
            <v>EXP</v>
          </cell>
          <cell r="Q763" t="str">
            <v>NONE</v>
          </cell>
          <cell r="R763" t="str">
            <v>Continuous</v>
          </cell>
          <cell r="S763" t="str">
            <v>NONE</v>
          </cell>
          <cell r="T763" t="str">
            <v>NONE</v>
          </cell>
          <cell r="U763" t="str">
            <v>40C</v>
          </cell>
          <cell r="V763" t="str">
            <v>3</v>
          </cell>
          <cell r="W763" t="str">
            <v>60</v>
          </cell>
          <cell r="X763" t="str">
            <v>460</v>
          </cell>
          <cell r="Z763" t="str">
            <v>V-RING</v>
          </cell>
          <cell r="AA763" t="str">
            <v>Vertical</v>
          </cell>
          <cell r="AD763" t="str">
            <v>0</v>
          </cell>
          <cell r="AF763" t="str">
            <v>BW782567</v>
          </cell>
          <cell r="AG763" t="str">
            <v>HP</v>
          </cell>
          <cell r="AI763" t="str">
            <v>7314</v>
          </cell>
          <cell r="AJ763" t="str">
            <v>6313</v>
          </cell>
          <cell r="AO763" t="str">
            <v>B</v>
          </cell>
          <cell r="AP763" t="str">
            <v>G</v>
          </cell>
          <cell r="AQ763" t="str">
            <v>F</v>
          </cell>
          <cell r="AR763" t="str">
            <v>87.4</v>
          </cell>
          <cell r="AS763" t="str">
            <v>1.15</v>
          </cell>
          <cell r="AT763" t="str">
            <v>95.4</v>
          </cell>
          <cell r="AV763" t="b">
            <v>0</v>
          </cell>
          <cell r="AW763" t="str">
            <v>112</v>
          </cell>
          <cell r="EX763" t="str">
            <v>7431043-001 L003KK</v>
          </cell>
          <cell r="GZ763" t="str">
            <v>C/D</v>
          </cell>
          <cell r="HA763" t="str">
            <v>I</v>
          </cell>
          <cell r="HD763" t="str">
            <v>Repair Shop</v>
          </cell>
          <cell r="HT763" t="b">
            <v>0</v>
          </cell>
          <cell r="HU763" t="str">
            <v>ALFRED CONHAGEN CO. OF CA</v>
          </cell>
        </row>
        <row r="764">
          <cell r="A764">
            <v>3010</v>
          </cell>
          <cell r="B764" t="str">
            <v>VEM0939</v>
          </cell>
          <cell r="D764" t="str">
            <v>CROCKETTCOGEN</v>
          </cell>
          <cell r="F764" t="str">
            <v>Siemens</v>
          </cell>
          <cell r="H764" t="str">
            <v>C08T1068NP 1</v>
          </cell>
          <cell r="I764" t="str">
            <v>444TS</v>
          </cell>
          <cell r="K764" t="str">
            <v>125</v>
          </cell>
          <cell r="L764" t="str">
            <v>1785</v>
          </cell>
          <cell r="M764" t="str">
            <v>RGZEESD</v>
          </cell>
          <cell r="N764" t="str">
            <v>1499</v>
          </cell>
          <cell r="O764" t="str">
            <v>None</v>
          </cell>
          <cell r="P764" t="str">
            <v>TEFC</v>
          </cell>
          <cell r="R764" t="str">
            <v>Continuous</v>
          </cell>
          <cell r="S764" t="str">
            <v>Yes</v>
          </cell>
          <cell r="T764" t="str">
            <v>YES</v>
          </cell>
          <cell r="U764" t="str">
            <v>40C</v>
          </cell>
          <cell r="V764" t="str">
            <v>3</v>
          </cell>
          <cell r="W764" t="str">
            <v>60</v>
          </cell>
          <cell r="X764" t="str">
            <v>460</v>
          </cell>
          <cell r="Z764" t="str">
            <v>No</v>
          </cell>
          <cell r="AA764" t="str">
            <v>F1</v>
          </cell>
          <cell r="AD764" t="str">
            <v>-1</v>
          </cell>
          <cell r="AG764" t="str">
            <v>HP</v>
          </cell>
          <cell r="AI764" t="str">
            <v>6316</v>
          </cell>
          <cell r="AJ764" t="str">
            <v>6316</v>
          </cell>
          <cell r="AO764" t="str">
            <v>B</v>
          </cell>
          <cell r="AP764" t="str">
            <v>G</v>
          </cell>
          <cell r="AQ764" t="str">
            <v>B</v>
          </cell>
          <cell r="AS764" t="str">
            <v>1.15</v>
          </cell>
          <cell r="AT764" t="str">
            <v>95.4</v>
          </cell>
          <cell r="AV764" t="b">
            <v>0</v>
          </cell>
          <cell r="AW764" t="str">
            <v>143</v>
          </cell>
          <cell r="GK764" t="str">
            <v>PART#1LA04444ES42</v>
          </cell>
          <cell r="HD764" t="str">
            <v>Repair Shop</v>
          </cell>
          <cell r="HT764" t="b">
            <v>0</v>
          </cell>
          <cell r="HU764" t="str">
            <v>CROCKETT COGEN</v>
          </cell>
        </row>
        <row r="765">
          <cell r="A765">
            <v>3009</v>
          </cell>
          <cell r="B765" t="str">
            <v>VEM0938</v>
          </cell>
          <cell r="D765" t="str">
            <v>COUNTYQUAR</v>
          </cell>
          <cell r="F765" t="str">
            <v>Toshiba</v>
          </cell>
          <cell r="G765" t="str">
            <v>B25O6VLF4B0</v>
          </cell>
          <cell r="H765" t="str">
            <v>31534995</v>
          </cell>
          <cell r="I765" t="str">
            <v>505UZ</v>
          </cell>
          <cell r="K765" t="str">
            <v>250</v>
          </cell>
          <cell r="L765" t="str">
            <v>1180</v>
          </cell>
          <cell r="O765" t="str">
            <v>None</v>
          </cell>
          <cell r="P765" t="str">
            <v>ODP</v>
          </cell>
          <cell r="Q765" t="str">
            <v>Yes</v>
          </cell>
          <cell r="R765" t="str">
            <v>Continuous</v>
          </cell>
          <cell r="S765" t="str">
            <v>Yes</v>
          </cell>
          <cell r="U765" t="str">
            <v>40</v>
          </cell>
          <cell r="V765" t="str">
            <v>3</v>
          </cell>
          <cell r="W765" t="str">
            <v>60</v>
          </cell>
          <cell r="X765" t="str">
            <v>460</v>
          </cell>
          <cell r="Y765" t="str">
            <v>295</v>
          </cell>
          <cell r="AA765" t="str">
            <v>F1</v>
          </cell>
          <cell r="AD765" t="str">
            <v>0</v>
          </cell>
          <cell r="AG765" t="str">
            <v>HP</v>
          </cell>
          <cell r="AO765" t="str">
            <v>B</v>
          </cell>
          <cell r="AS765" t="str">
            <v>1.15</v>
          </cell>
          <cell r="AV765" t="b">
            <v>0</v>
          </cell>
          <cell r="HD765" t="str">
            <v>Repair Shop</v>
          </cell>
          <cell r="HT765" t="b">
            <v>0</v>
          </cell>
          <cell r="HU765" t="str">
            <v>COUNTY QUARRY</v>
          </cell>
        </row>
        <row r="766">
          <cell r="A766">
            <v>3008</v>
          </cell>
          <cell r="B766" t="str">
            <v>VEM0937</v>
          </cell>
          <cell r="D766" t="str">
            <v>P66</v>
          </cell>
          <cell r="F766" t="str">
            <v>Reliance</v>
          </cell>
          <cell r="I766" t="str">
            <v>324HP</v>
          </cell>
          <cell r="K766" t="str">
            <v>40</v>
          </cell>
          <cell r="L766" t="str">
            <v>3560</v>
          </cell>
          <cell r="M766" t="str">
            <v>P</v>
          </cell>
          <cell r="N766" t="str">
            <v>672</v>
          </cell>
          <cell r="O766" t="str">
            <v>None</v>
          </cell>
          <cell r="P766" t="str">
            <v>TEFC</v>
          </cell>
          <cell r="R766" t="str">
            <v>Continuous</v>
          </cell>
          <cell r="S766" t="str">
            <v>No</v>
          </cell>
          <cell r="T766" t="str">
            <v>YES</v>
          </cell>
          <cell r="U766" t="str">
            <v>40C</v>
          </cell>
          <cell r="V766" t="str">
            <v>3</v>
          </cell>
          <cell r="W766" t="str">
            <v>60</v>
          </cell>
          <cell r="X766" t="str">
            <v>460</v>
          </cell>
          <cell r="Z766" t="str">
            <v>ENPRO</v>
          </cell>
          <cell r="AA766" t="str">
            <v>Vertical</v>
          </cell>
          <cell r="AD766" t="str">
            <v>0</v>
          </cell>
          <cell r="AG766" t="str">
            <v>HP</v>
          </cell>
          <cell r="AI766" t="str">
            <v>6311</v>
          </cell>
          <cell r="AJ766" t="str">
            <v>6311</v>
          </cell>
          <cell r="AO766" t="str">
            <v>B</v>
          </cell>
          <cell r="AP766" t="str">
            <v>F</v>
          </cell>
          <cell r="AQ766" t="str">
            <v>F</v>
          </cell>
          <cell r="AR766" t="str">
            <v>89.7</v>
          </cell>
          <cell r="AS766" t="str">
            <v>1.15</v>
          </cell>
          <cell r="AT766" t="str">
            <v>94.1</v>
          </cell>
          <cell r="AV766" t="b">
            <v>0</v>
          </cell>
          <cell r="AW766" t="str">
            <v>44.3</v>
          </cell>
          <cell r="EX766" t="str">
            <v>7428313-001</v>
          </cell>
          <cell r="HD766" t="str">
            <v>Repair Shop</v>
          </cell>
          <cell r="HT766" t="b">
            <v>0</v>
          </cell>
          <cell r="HU766" t="str">
            <v>PHILLIPS 66</v>
          </cell>
        </row>
        <row r="767">
          <cell r="A767">
            <v>3007</v>
          </cell>
          <cell r="B767" t="str">
            <v>VEM0936</v>
          </cell>
          <cell r="D767" t="str">
            <v>CONHAGEN</v>
          </cell>
          <cell r="F767" t="str">
            <v>GE</v>
          </cell>
          <cell r="G767" t="str">
            <v>5KS286XAE5722D</v>
          </cell>
          <cell r="H767" t="str">
            <v>MFLT339S011</v>
          </cell>
          <cell r="I767" t="str">
            <v>L286LP10Z</v>
          </cell>
          <cell r="K767" t="str">
            <v>30</v>
          </cell>
          <cell r="L767" t="str">
            <v>3520</v>
          </cell>
          <cell r="M767" t="str">
            <v>KS</v>
          </cell>
          <cell r="N767" t="str">
            <v>510</v>
          </cell>
          <cell r="O767" t="str">
            <v>None</v>
          </cell>
          <cell r="P767" t="str">
            <v>TEFC</v>
          </cell>
          <cell r="R767" t="str">
            <v>Continuous</v>
          </cell>
          <cell r="S767" t="str">
            <v>No</v>
          </cell>
          <cell r="T767" t="str">
            <v>Other</v>
          </cell>
          <cell r="U767" t="str">
            <v>40</v>
          </cell>
          <cell r="V767" t="str">
            <v>3</v>
          </cell>
          <cell r="W767" t="str">
            <v>60</v>
          </cell>
          <cell r="X767" t="str">
            <v>460</v>
          </cell>
          <cell r="Y767" t="str">
            <v>32.7</v>
          </cell>
          <cell r="Z767" t="str">
            <v>Yes</v>
          </cell>
          <cell r="AA767" t="str">
            <v>Vertical</v>
          </cell>
          <cell r="AD767" t="str">
            <v>-1</v>
          </cell>
          <cell r="AG767" t="str">
            <v>HP</v>
          </cell>
          <cell r="AI767" t="str">
            <v>3212</v>
          </cell>
          <cell r="AJ767" t="str">
            <v>6310</v>
          </cell>
          <cell r="AO767" t="str">
            <v>B</v>
          </cell>
          <cell r="AP767" t="str">
            <v>G</v>
          </cell>
          <cell r="AQ767" t="str">
            <v>H</v>
          </cell>
          <cell r="AR767" t="str">
            <v>93.0</v>
          </cell>
          <cell r="AS767" t="str">
            <v>1.15</v>
          </cell>
          <cell r="AT767" t="str">
            <v>91.0</v>
          </cell>
          <cell r="AV767" t="b">
            <v>0</v>
          </cell>
          <cell r="EW767" t="str">
            <v>V775</v>
          </cell>
          <cell r="HD767" t="str">
            <v>Repair Shop</v>
          </cell>
          <cell r="HT767" t="b">
            <v>0</v>
          </cell>
          <cell r="HU767" t="str">
            <v>ALFRED CONHAGEN CO. OF CA</v>
          </cell>
        </row>
        <row r="768">
          <cell r="A768">
            <v>3006</v>
          </cell>
          <cell r="B768" t="str">
            <v>VEM0935</v>
          </cell>
          <cell r="D768" t="str">
            <v>P66</v>
          </cell>
          <cell r="F768" t="str">
            <v>Siemens</v>
          </cell>
          <cell r="I768" t="str">
            <v>286T</v>
          </cell>
          <cell r="K768" t="str">
            <v>30</v>
          </cell>
          <cell r="L768" t="str">
            <v>1765</v>
          </cell>
          <cell r="M768" t="str">
            <v>RGZESD</v>
          </cell>
          <cell r="O768" t="str">
            <v>Full no Cord</v>
          </cell>
          <cell r="P768" t="str">
            <v>TEFC</v>
          </cell>
          <cell r="R768" t="str">
            <v>Continuous</v>
          </cell>
          <cell r="S768" t="str">
            <v>Yes</v>
          </cell>
          <cell r="T768" t="str">
            <v>YES</v>
          </cell>
          <cell r="U768" t="str">
            <v>40</v>
          </cell>
          <cell r="V768" t="str">
            <v>3</v>
          </cell>
          <cell r="W768" t="str">
            <v>60</v>
          </cell>
          <cell r="X768" t="str">
            <v>460</v>
          </cell>
          <cell r="AA768" t="str">
            <v>F1</v>
          </cell>
          <cell r="AD768" t="str">
            <v>0</v>
          </cell>
          <cell r="AG768" t="str">
            <v>HP</v>
          </cell>
          <cell r="AO768" t="str">
            <v>B</v>
          </cell>
          <cell r="AP768" t="str">
            <v>G</v>
          </cell>
          <cell r="AQ768" t="str">
            <v>F</v>
          </cell>
          <cell r="AS768" t="str">
            <v>1.15</v>
          </cell>
          <cell r="AT768" t="str">
            <v>93.0</v>
          </cell>
          <cell r="AV768" t="b">
            <v>0</v>
          </cell>
          <cell r="HD768" t="str">
            <v>Repair Shop</v>
          </cell>
          <cell r="HT768" t="b">
            <v>0</v>
          </cell>
          <cell r="HU768" t="str">
            <v>PHILLIPS 66</v>
          </cell>
        </row>
        <row r="769">
          <cell r="A769">
            <v>3005</v>
          </cell>
          <cell r="B769" t="str">
            <v>VEM0934</v>
          </cell>
          <cell r="D769" t="str">
            <v>P66</v>
          </cell>
          <cell r="F769" t="str">
            <v>Reliance</v>
          </cell>
          <cell r="I769" t="str">
            <v>284TS</v>
          </cell>
          <cell r="K769" t="str">
            <v>25</v>
          </cell>
          <cell r="L769" t="str">
            <v>3545</v>
          </cell>
          <cell r="M769" t="str">
            <v>P</v>
          </cell>
          <cell r="N769" t="str">
            <v>359</v>
          </cell>
          <cell r="O769" t="str">
            <v>Full no Cord</v>
          </cell>
          <cell r="P769" t="str">
            <v>TEFC</v>
          </cell>
          <cell r="R769" t="str">
            <v>Continuous</v>
          </cell>
          <cell r="S769" t="str">
            <v>Yes</v>
          </cell>
          <cell r="T769" t="str">
            <v>KEY ONLY</v>
          </cell>
          <cell r="U769" t="str">
            <v>40</v>
          </cell>
          <cell r="V769" t="str">
            <v>3</v>
          </cell>
          <cell r="W769" t="str">
            <v>60</v>
          </cell>
          <cell r="X769" t="str">
            <v>460</v>
          </cell>
          <cell r="Y769" t="str">
            <v>29.7</v>
          </cell>
          <cell r="Z769" t="str">
            <v>No</v>
          </cell>
          <cell r="AA769" t="str">
            <v>F1</v>
          </cell>
          <cell r="AG769" t="str">
            <v>HP</v>
          </cell>
          <cell r="AO769" t="str">
            <v>B</v>
          </cell>
          <cell r="AP769" t="str">
            <v>G</v>
          </cell>
          <cell r="AQ769" t="str">
            <v>F</v>
          </cell>
          <cell r="AS769" t="str">
            <v>1.00</v>
          </cell>
          <cell r="AT769" t="str">
            <v>91.0</v>
          </cell>
          <cell r="AV769" t="b">
            <v>0</v>
          </cell>
          <cell r="EX769" t="str">
            <v>B369160-010</v>
          </cell>
          <cell r="HD769" t="str">
            <v>Repair Shop</v>
          </cell>
          <cell r="HT769" t="b">
            <v>0</v>
          </cell>
          <cell r="HU769" t="str">
            <v>PHILLIPS 66</v>
          </cell>
        </row>
        <row r="770">
          <cell r="A770">
            <v>3004</v>
          </cell>
          <cell r="B770" t="str">
            <v>VEM0933</v>
          </cell>
          <cell r="D770" t="str">
            <v>P66</v>
          </cell>
          <cell r="F770" t="str">
            <v>Baldor</v>
          </cell>
          <cell r="I770" t="str">
            <v>256T</v>
          </cell>
          <cell r="K770" t="str">
            <v>20</v>
          </cell>
          <cell r="L770" t="str">
            <v>1760</v>
          </cell>
          <cell r="O770" t="str">
            <v>Full no Cord</v>
          </cell>
          <cell r="P770" t="str">
            <v>TEFC</v>
          </cell>
          <cell r="R770" t="str">
            <v>Continuous</v>
          </cell>
          <cell r="S770" t="str">
            <v>Yes</v>
          </cell>
          <cell r="T770" t="str">
            <v>YES</v>
          </cell>
          <cell r="U770" t="str">
            <v>40</v>
          </cell>
          <cell r="V770" t="str">
            <v>3</v>
          </cell>
          <cell r="W770" t="str">
            <v>60</v>
          </cell>
          <cell r="X770" t="str">
            <v>460</v>
          </cell>
          <cell r="Y770" t="str">
            <v>23.1</v>
          </cell>
          <cell r="Z770" t="str">
            <v>Yes</v>
          </cell>
          <cell r="AA770" t="str">
            <v>F1</v>
          </cell>
          <cell r="AG770" t="str">
            <v>HP</v>
          </cell>
          <cell r="AI770" t="str">
            <v>6309</v>
          </cell>
          <cell r="AJ770" t="str">
            <v>6309</v>
          </cell>
          <cell r="AQ770" t="str">
            <v>F</v>
          </cell>
          <cell r="AS770" t="str">
            <v>1.15</v>
          </cell>
          <cell r="AV770" t="b">
            <v>0</v>
          </cell>
          <cell r="EW770" t="str">
            <v>ECP82334T-4</v>
          </cell>
          <cell r="HD770" t="str">
            <v>Repair Shop</v>
          </cell>
          <cell r="HT770" t="b">
            <v>0</v>
          </cell>
          <cell r="HU770" t="str">
            <v>PHILLIPS 66</v>
          </cell>
        </row>
        <row r="771">
          <cell r="A771">
            <v>3003</v>
          </cell>
          <cell r="B771" t="str">
            <v>VEM0932</v>
          </cell>
          <cell r="D771" t="str">
            <v>P66</v>
          </cell>
          <cell r="F771" t="str">
            <v>GE</v>
          </cell>
          <cell r="H771" t="str">
            <v>EHFT1413043</v>
          </cell>
          <cell r="I771" t="str">
            <v>184T</v>
          </cell>
          <cell r="K771" t="str">
            <v>5</v>
          </cell>
          <cell r="L771" t="str">
            <v>1755</v>
          </cell>
          <cell r="M771" t="str">
            <v>KS</v>
          </cell>
          <cell r="O771" t="str">
            <v>Full no Cord</v>
          </cell>
          <cell r="P771" t="str">
            <v>TEFC</v>
          </cell>
          <cell r="R771" t="str">
            <v>Continuous</v>
          </cell>
          <cell r="U771" t="str">
            <v>40</v>
          </cell>
          <cell r="V771" t="str">
            <v>3</v>
          </cell>
          <cell r="W771" t="str">
            <v>60</v>
          </cell>
          <cell r="X771" t="str">
            <v>460</v>
          </cell>
          <cell r="Y771" t="str">
            <v>6.6</v>
          </cell>
          <cell r="Z771" t="str">
            <v>No</v>
          </cell>
          <cell r="AA771" t="str">
            <v>F1</v>
          </cell>
          <cell r="AD771" t="str">
            <v>0</v>
          </cell>
          <cell r="AG771" t="str">
            <v>HP</v>
          </cell>
          <cell r="AI771" t="str">
            <v>6206</v>
          </cell>
          <cell r="AJ771" t="str">
            <v>6206</v>
          </cell>
          <cell r="AO771" t="str">
            <v>B</v>
          </cell>
          <cell r="AP771" t="str">
            <v>J</v>
          </cell>
          <cell r="AQ771" t="str">
            <v>H</v>
          </cell>
          <cell r="AR771" t="str">
            <v>79.5</v>
          </cell>
          <cell r="AS771" t="str">
            <v>1.15</v>
          </cell>
          <cell r="AV771" t="b">
            <v>0</v>
          </cell>
          <cell r="EW771" t="str">
            <v>M9423</v>
          </cell>
          <cell r="HD771" t="str">
            <v>Repair Shop</v>
          </cell>
          <cell r="HT771" t="b">
            <v>0</v>
          </cell>
          <cell r="HU771" t="str">
            <v>PHILLIPS 66</v>
          </cell>
        </row>
        <row r="772">
          <cell r="A772">
            <v>3002</v>
          </cell>
          <cell r="B772" t="str">
            <v>VEM0931</v>
          </cell>
          <cell r="D772" t="str">
            <v>P66</v>
          </cell>
          <cell r="AV772" t="b">
            <v>0</v>
          </cell>
          <cell r="HD772" t="str">
            <v>Repair Shop</v>
          </cell>
          <cell r="HT772" t="b">
            <v>0</v>
          </cell>
          <cell r="HU772" t="str">
            <v>PHILLIPS 66</v>
          </cell>
        </row>
        <row r="773">
          <cell r="A773">
            <v>3001</v>
          </cell>
          <cell r="B773" t="str">
            <v>VEM0930</v>
          </cell>
          <cell r="D773" t="str">
            <v>P66</v>
          </cell>
          <cell r="F773" t="str">
            <v>Reliance</v>
          </cell>
          <cell r="I773" t="str">
            <v>365TS</v>
          </cell>
          <cell r="K773" t="str">
            <v>75</v>
          </cell>
          <cell r="L773" t="str">
            <v>3555</v>
          </cell>
          <cell r="O773" t="str">
            <v>Full no Cord</v>
          </cell>
          <cell r="P773" t="str">
            <v>TEFC</v>
          </cell>
          <cell r="R773" t="str">
            <v>Continuous</v>
          </cell>
          <cell r="S773" t="str">
            <v>Yes</v>
          </cell>
          <cell r="T773" t="str">
            <v>none no key</v>
          </cell>
          <cell r="U773" t="str">
            <v>40</v>
          </cell>
          <cell r="V773" t="str">
            <v>3</v>
          </cell>
          <cell r="W773" t="str">
            <v>60</v>
          </cell>
          <cell r="X773" t="str">
            <v>460</v>
          </cell>
          <cell r="Y773" t="str">
            <v>81.6</v>
          </cell>
          <cell r="Z773" t="str">
            <v>Yes</v>
          </cell>
          <cell r="AA773" t="str">
            <v>F1</v>
          </cell>
          <cell r="AD773" t="str">
            <v>0</v>
          </cell>
          <cell r="AG773" t="str">
            <v>HP</v>
          </cell>
          <cell r="AO773" t="str">
            <v>B</v>
          </cell>
          <cell r="AP773" t="str">
            <v>F</v>
          </cell>
          <cell r="AQ773" t="str">
            <v>F</v>
          </cell>
          <cell r="AR773" t="str">
            <v>91.5</v>
          </cell>
          <cell r="AS773" t="str">
            <v>1.15</v>
          </cell>
          <cell r="AT773" t="str">
            <v>94.1</v>
          </cell>
          <cell r="AV773" t="b">
            <v>0</v>
          </cell>
          <cell r="EX773" t="str">
            <v>1MAF23892-G1-SM</v>
          </cell>
          <cell r="HD773" t="str">
            <v>Repair Shop</v>
          </cell>
          <cell r="HT773" t="b">
            <v>0</v>
          </cell>
          <cell r="HU773" t="str">
            <v>PHILLIPS 66</v>
          </cell>
        </row>
        <row r="774">
          <cell r="A774">
            <v>3000</v>
          </cell>
          <cell r="B774" t="str">
            <v>VEM0929</v>
          </cell>
          <cell r="D774" t="str">
            <v>SUPERSTORES</v>
          </cell>
          <cell r="F774" t="str">
            <v>Baldor</v>
          </cell>
          <cell r="H774" t="str">
            <v>F1407036095</v>
          </cell>
          <cell r="I774" t="str">
            <v>215TC</v>
          </cell>
          <cell r="K774" t="str">
            <v>15</v>
          </cell>
          <cell r="L774" t="str">
            <v>3500</v>
          </cell>
          <cell r="O774" t="str">
            <v>Full no Cord</v>
          </cell>
          <cell r="P774" t="str">
            <v>TEFC</v>
          </cell>
          <cell r="R774" t="str">
            <v>Continuous</v>
          </cell>
          <cell r="S774" t="str">
            <v>Yes</v>
          </cell>
          <cell r="T774" t="str">
            <v>NONE NO KEY</v>
          </cell>
          <cell r="U774" t="str">
            <v>40</v>
          </cell>
          <cell r="V774" t="str">
            <v>3</v>
          </cell>
          <cell r="W774" t="str">
            <v>60</v>
          </cell>
          <cell r="X774" t="str">
            <v>208-230/460</v>
          </cell>
          <cell r="Y774" t="str">
            <v>36.8-34/17</v>
          </cell>
          <cell r="AA774" t="str">
            <v>F1</v>
          </cell>
          <cell r="AD774" t="str">
            <v>0</v>
          </cell>
          <cell r="AG774" t="str">
            <v>HP</v>
          </cell>
          <cell r="AI774" t="str">
            <v>6307</v>
          </cell>
          <cell r="AJ774" t="str">
            <v>6206</v>
          </cell>
          <cell r="AO774" t="str">
            <v>A</v>
          </cell>
          <cell r="AP774" t="str">
            <v>J</v>
          </cell>
          <cell r="AQ774" t="str">
            <v>F</v>
          </cell>
          <cell r="AR774" t="str">
            <v>89</v>
          </cell>
          <cell r="AS774" t="str">
            <v>1.15</v>
          </cell>
          <cell r="AT774" t="str">
            <v>91</v>
          </cell>
          <cell r="AU774" t="str">
            <v>37H886R228G1</v>
          </cell>
          <cell r="AV774" t="b">
            <v>0</v>
          </cell>
          <cell r="EW774" t="str">
            <v>CEWDM3713T</v>
          </cell>
          <cell r="HD774" t="str">
            <v>Repair Shop</v>
          </cell>
          <cell r="HT774" t="b">
            <v>0</v>
          </cell>
          <cell r="HU774" t="str">
            <v>Producers Dairy Foods</v>
          </cell>
        </row>
        <row r="775">
          <cell r="A775">
            <v>2999</v>
          </cell>
          <cell r="B775" t="str">
            <v>VEM0928</v>
          </cell>
          <cell r="D775" t="str">
            <v>CULINARY</v>
          </cell>
          <cell r="F775" t="str">
            <v>TECO</v>
          </cell>
          <cell r="H775" t="str">
            <v>P6099057009</v>
          </cell>
          <cell r="I775" t="str">
            <v>256T</v>
          </cell>
          <cell r="K775" t="str">
            <v>10</v>
          </cell>
          <cell r="L775" t="str">
            <v>1170</v>
          </cell>
          <cell r="M775" t="str">
            <v>AEEANE</v>
          </cell>
          <cell r="N775" t="str">
            <v>242</v>
          </cell>
          <cell r="O775" t="str">
            <v>Full no Cord</v>
          </cell>
          <cell r="R775" t="str">
            <v>Continuous</v>
          </cell>
          <cell r="S775" t="str">
            <v>Yes</v>
          </cell>
          <cell r="T775" t="str">
            <v>NONE</v>
          </cell>
          <cell r="U775" t="str">
            <v>40</v>
          </cell>
          <cell r="V775" t="str">
            <v>3</v>
          </cell>
          <cell r="W775" t="str">
            <v>60</v>
          </cell>
          <cell r="X775" t="str">
            <v>230/460</v>
          </cell>
          <cell r="Y775" t="str">
            <v>25.4/12.7</v>
          </cell>
          <cell r="AA775" t="str">
            <v>F1</v>
          </cell>
          <cell r="AD775" t="str">
            <v>0</v>
          </cell>
          <cell r="AG775" t="str">
            <v>HP</v>
          </cell>
          <cell r="AI775" t="str">
            <v>6309</v>
          </cell>
          <cell r="AJ775" t="str">
            <v>6307</v>
          </cell>
          <cell r="AO775" t="str">
            <v>B</v>
          </cell>
          <cell r="AP775" t="str">
            <v>H</v>
          </cell>
          <cell r="AQ775" t="str">
            <v>F</v>
          </cell>
          <cell r="AS775" t="str">
            <v>1.15</v>
          </cell>
          <cell r="AT775" t="str">
            <v>89.5</v>
          </cell>
          <cell r="AV775" t="b">
            <v>0</v>
          </cell>
          <cell r="EW775" t="str">
            <v>N0106</v>
          </cell>
          <cell r="HD775" t="str">
            <v>Repair Shop</v>
          </cell>
          <cell r="HT775" t="b">
            <v>0</v>
          </cell>
          <cell r="HU775" t="str">
            <v>CULINARY FARMS</v>
          </cell>
        </row>
        <row r="776">
          <cell r="A776">
            <v>2998</v>
          </cell>
          <cell r="B776" t="str">
            <v>VEM0927</v>
          </cell>
          <cell r="D776" t="str">
            <v>CONHAGEN</v>
          </cell>
          <cell r="F776" t="str">
            <v>GE</v>
          </cell>
          <cell r="G776" t="str">
            <v>5KS145STE229A</v>
          </cell>
          <cell r="H776" t="str">
            <v>175014057</v>
          </cell>
          <cell r="I776" t="str">
            <v>145TC</v>
          </cell>
          <cell r="K776" t="str">
            <v>2</v>
          </cell>
          <cell r="L776" t="str">
            <v>1730</v>
          </cell>
          <cell r="M776" t="str">
            <v>KS</v>
          </cell>
          <cell r="N776" t="str">
            <v>88</v>
          </cell>
          <cell r="O776" t="str">
            <v>None</v>
          </cell>
          <cell r="P776" t="str">
            <v>TEFC</v>
          </cell>
          <cell r="R776" t="str">
            <v>Continuous</v>
          </cell>
          <cell r="S776" t="str">
            <v>No</v>
          </cell>
          <cell r="T776" t="str">
            <v>NONE NO KEY</v>
          </cell>
          <cell r="U776" t="str">
            <v>40</v>
          </cell>
          <cell r="V776" t="str">
            <v>3</v>
          </cell>
          <cell r="W776" t="str">
            <v>60</v>
          </cell>
          <cell r="X776" t="str">
            <v>230/460</v>
          </cell>
          <cell r="Y776" t="str">
            <v>5.4/2.7</v>
          </cell>
          <cell r="Z776" t="str">
            <v>No</v>
          </cell>
          <cell r="AA776" t="str">
            <v>F1</v>
          </cell>
          <cell r="AD776" t="str">
            <v>-1</v>
          </cell>
          <cell r="AG776" t="str">
            <v>HP</v>
          </cell>
          <cell r="AO776" t="str">
            <v>B</v>
          </cell>
          <cell r="AQ776" t="str">
            <v>F</v>
          </cell>
          <cell r="AR776" t="str">
            <v>79.5</v>
          </cell>
          <cell r="AS776" t="str">
            <v>1.15</v>
          </cell>
          <cell r="AT776" t="str">
            <v>86.5</v>
          </cell>
          <cell r="AV776" t="b">
            <v>0</v>
          </cell>
          <cell r="EW776" t="str">
            <v>M7740</v>
          </cell>
          <cell r="HD776" t="str">
            <v>Repair Shop</v>
          </cell>
          <cell r="HT776" t="b">
            <v>0</v>
          </cell>
          <cell r="HU776" t="str">
            <v>ALFRED CONHAGEN CO. OF CA</v>
          </cell>
        </row>
        <row r="777">
          <cell r="A777">
            <v>2997</v>
          </cell>
          <cell r="B777" t="str">
            <v>VEM0926</v>
          </cell>
          <cell r="D777" t="str">
            <v>CLEANHARBORS</v>
          </cell>
          <cell r="F777" t="str">
            <v>Baldor</v>
          </cell>
          <cell r="O777" t="str">
            <v>Full no Cord</v>
          </cell>
          <cell r="P777" t="str">
            <v>EXP</v>
          </cell>
          <cell r="R777" t="str">
            <v>Continuous</v>
          </cell>
          <cell r="V777" t="str">
            <v>3</v>
          </cell>
          <cell r="W777" t="str">
            <v>60</v>
          </cell>
          <cell r="AA777" t="str">
            <v>Vertical</v>
          </cell>
          <cell r="AD777" t="str">
            <v>0</v>
          </cell>
          <cell r="AV777" t="b">
            <v>0</v>
          </cell>
          <cell r="HD777" t="str">
            <v>Repair Shop</v>
          </cell>
          <cell r="HT777" t="b">
            <v>0</v>
          </cell>
          <cell r="HU777" t="str">
            <v>CLEAN HARBORS</v>
          </cell>
        </row>
        <row r="778">
          <cell r="A778">
            <v>2996</v>
          </cell>
          <cell r="B778" t="str">
            <v>VEM0925</v>
          </cell>
          <cell r="D778" t="str">
            <v>CLEANHARBORS</v>
          </cell>
          <cell r="AD778" t="str">
            <v>-1</v>
          </cell>
          <cell r="AG778" t="str">
            <v>HP</v>
          </cell>
          <cell r="AV778" t="b">
            <v>0</v>
          </cell>
          <cell r="HD778" t="str">
            <v>Repair Shop</v>
          </cell>
          <cell r="HT778" t="b">
            <v>0</v>
          </cell>
          <cell r="HU778" t="str">
            <v>CLEAN HARBORS</v>
          </cell>
        </row>
        <row r="779">
          <cell r="A779">
            <v>2995</v>
          </cell>
          <cell r="B779" t="str">
            <v>VEM0924</v>
          </cell>
          <cell r="D779" t="str">
            <v>CLEANHARBORS</v>
          </cell>
          <cell r="AG779" t="str">
            <v>HP</v>
          </cell>
          <cell r="AV779" t="b">
            <v>0</v>
          </cell>
          <cell r="HD779" t="str">
            <v>Repair Shop</v>
          </cell>
          <cell r="HT779" t="b">
            <v>0</v>
          </cell>
          <cell r="HU779" t="str">
            <v>CLEAN HARBORS</v>
          </cell>
        </row>
        <row r="780">
          <cell r="A780">
            <v>2994</v>
          </cell>
          <cell r="B780" t="str">
            <v>VEM0923</v>
          </cell>
          <cell r="D780" t="str">
            <v>VALLEJOWATER</v>
          </cell>
          <cell r="AG780" t="str">
            <v>HP</v>
          </cell>
          <cell r="AV780" t="b">
            <v>0</v>
          </cell>
          <cell r="HD780" t="str">
            <v>Repair Shop</v>
          </cell>
          <cell r="HT780" t="b">
            <v>0</v>
          </cell>
          <cell r="HU780" t="str">
            <v>CITY OF VALLEJO WATER TREATMENT</v>
          </cell>
        </row>
        <row r="781">
          <cell r="A781">
            <v>2993</v>
          </cell>
          <cell r="B781" t="str">
            <v>VEM0922</v>
          </cell>
          <cell r="D781" t="str">
            <v>VALERO</v>
          </cell>
          <cell r="F781" t="str">
            <v>Siemens</v>
          </cell>
          <cell r="I781" t="str">
            <v>286T</v>
          </cell>
          <cell r="K781" t="str">
            <v>30</v>
          </cell>
          <cell r="L781" t="str">
            <v>1765</v>
          </cell>
          <cell r="M781" t="str">
            <v>RGZESD</v>
          </cell>
          <cell r="O781" t="str">
            <v>None</v>
          </cell>
          <cell r="R781" t="str">
            <v>Continuous</v>
          </cell>
          <cell r="S781" t="str">
            <v>No</v>
          </cell>
          <cell r="T781" t="str">
            <v>none no key</v>
          </cell>
          <cell r="U781" t="str">
            <v>40</v>
          </cell>
          <cell r="V781" t="str">
            <v>3</v>
          </cell>
          <cell r="W781" t="str">
            <v>60</v>
          </cell>
          <cell r="X781" t="str">
            <v>460</v>
          </cell>
          <cell r="Y781" t="str">
            <v>34.9</v>
          </cell>
          <cell r="Z781" t="str">
            <v>No</v>
          </cell>
          <cell r="AA781" t="str">
            <v>F1</v>
          </cell>
          <cell r="AG781" t="str">
            <v>HP</v>
          </cell>
          <cell r="AO781" t="str">
            <v>B</v>
          </cell>
          <cell r="AP781" t="str">
            <v>G</v>
          </cell>
          <cell r="AQ781" t="str">
            <v>F</v>
          </cell>
          <cell r="AS781" t="str">
            <v>1.15</v>
          </cell>
          <cell r="AT781" t="str">
            <v>93.6</v>
          </cell>
          <cell r="AV781" t="b">
            <v>0</v>
          </cell>
          <cell r="GK781" t="str">
            <v>with drip cover</v>
          </cell>
          <cell r="HD781" t="str">
            <v>Repair Shop</v>
          </cell>
          <cell r="HT781" t="b">
            <v>0</v>
          </cell>
          <cell r="HU781" t="str">
            <v>VALERO REFINING CO. BENICIA</v>
          </cell>
        </row>
        <row r="782">
          <cell r="A782">
            <v>2992</v>
          </cell>
          <cell r="B782" t="str">
            <v>VEM0921</v>
          </cell>
          <cell r="D782" t="str">
            <v>VALERO</v>
          </cell>
          <cell r="F782" t="str">
            <v>Siemens</v>
          </cell>
          <cell r="I782" t="str">
            <v>284T</v>
          </cell>
          <cell r="K782" t="str">
            <v>25</v>
          </cell>
          <cell r="L782" t="str">
            <v>1765</v>
          </cell>
          <cell r="M782" t="str">
            <v>RGZESD</v>
          </cell>
          <cell r="O782" t="str">
            <v>None</v>
          </cell>
          <cell r="P782" t="str">
            <v>TEFC</v>
          </cell>
          <cell r="R782" t="str">
            <v>Continuous</v>
          </cell>
          <cell r="S782" t="str">
            <v>Yes</v>
          </cell>
          <cell r="T782" t="str">
            <v>key only</v>
          </cell>
          <cell r="U782" t="str">
            <v>40</v>
          </cell>
          <cell r="V782" t="str">
            <v>3</v>
          </cell>
          <cell r="W782" t="str">
            <v>60</v>
          </cell>
          <cell r="X782" t="str">
            <v>460</v>
          </cell>
          <cell r="Y782" t="str">
            <v>29.3</v>
          </cell>
          <cell r="Z782" t="str">
            <v>No</v>
          </cell>
          <cell r="AA782" t="str">
            <v>F1</v>
          </cell>
          <cell r="AD782" t="str">
            <v>0</v>
          </cell>
          <cell r="AG782" t="str">
            <v>HP</v>
          </cell>
          <cell r="AH782" t="str">
            <v>with drip cover</v>
          </cell>
          <cell r="AO782" t="str">
            <v>B</v>
          </cell>
          <cell r="AQ782" t="str">
            <v>F</v>
          </cell>
          <cell r="AS782" t="str">
            <v>1.15</v>
          </cell>
          <cell r="AT782" t="str">
            <v>93.0</v>
          </cell>
          <cell r="AV782" t="b">
            <v>0</v>
          </cell>
          <cell r="HD782" t="str">
            <v>Repair Shop</v>
          </cell>
          <cell r="HT782" t="b">
            <v>0</v>
          </cell>
          <cell r="HU782" t="str">
            <v>VALERO REFINING CO. BENICIA</v>
          </cell>
        </row>
        <row r="783">
          <cell r="A783">
            <v>2991</v>
          </cell>
          <cell r="B783" t="str">
            <v>VEM0920</v>
          </cell>
          <cell r="D783" t="str">
            <v>CITYOFAMCAN</v>
          </cell>
          <cell r="AG783" t="str">
            <v>HP</v>
          </cell>
          <cell r="AV783" t="b">
            <v>0</v>
          </cell>
          <cell r="HD783" t="str">
            <v>Repair Shop</v>
          </cell>
          <cell r="HT783" t="b">
            <v>0</v>
          </cell>
          <cell r="HU783" t="str">
            <v>CITY OF AMERICAN CANYON</v>
          </cell>
        </row>
        <row r="784">
          <cell r="A784">
            <v>2990</v>
          </cell>
          <cell r="B784" t="str">
            <v>VEM0919</v>
          </cell>
          <cell r="D784" t="str">
            <v>CONHAGEN</v>
          </cell>
          <cell r="F784" t="str">
            <v>Reliance</v>
          </cell>
          <cell r="I784" t="str">
            <v>365LP</v>
          </cell>
          <cell r="K784" t="str">
            <v>75</v>
          </cell>
          <cell r="L784" t="str">
            <v>1780</v>
          </cell>
          <cell r="M784" t="str">
            <v>P</v>
          </cell>
          <cell r="N784" t="str">
            <v>1065</v>
          </cell>
          <cell r="O784" t="str">
            <v>Full no Cord</v>
          </cell>
          <cell r="P784" t="str">
            <v>EXP</v>
          </cell>
          <cell r="T784" t="str">
            <v>none no key</v>
          </cell>
          <cell r="U784" t="str">
            <v>40</v>
          </cell>
          <cell r="V784" t="str">
            <v>3</v>
          </cell>
          <cell r="W784" t="str">
            <v>60</v>
          </cell>
          <cell r="X784" t="str">
            <v>460</v>
          </cell>
          <cell r="Y784" t="str">
            <v>87.0</v>
          </cell>
          <cell r="Z784" t="str">
            <v>No</v>
          </cell>
          <cell r="AA784" t="str">
            <v>Vertical</v>
          </cell>
          <cell r="AD784" t="str">
            <v>0</v>
          </cell>
          <cell r="AG784" t="str">
            <v>HP</v>
          </cell>
          <cell r="AO784" t="str">
            <v>B</v>
          </cell>
          <cell r="AQ784" t="str">
            <v>F</v>
          </cell>
          <cell r="AR784" t="str">
            <v>85.5</v>
          </cell>
          <cell r="AS784" t="str">
            <v>1.15</v>
          </cell>
          <cell r="AT784" t="str">
            <v>94.1</v>
          </cell>
          <cell r="AV784" t="b">
            <v>0</v>
          </cell>
          <cell r="EX784" t="str">
            <v>6359170  G006DF</v>
          </cell>
          <cell r="HD784" t="str">
            <v>Repair Shop</v>
          </cell>
          <cell r="HT784" t="b">
            <v>0</v>
          </cell>
          <cell r="HU784" t="str">
            <v>ALFRED CONHAGEN CO. OF CA</v>
          </cell>
        </row>
        <row r="785">
          <cell r="A785">
            <v>2989</v>
          </cell>
          <cell r="B785" t="str">
            <v>VEM0918</v>
          </cell>
          <cell r="D785" t="str">
            <v>CULINARY</v>
          </cell>
          <cell r="F785" t="str">
            <v>TECO</v>
          </cell>
          <cell r="H785" t="str">
            <v>DFH152112001</v>
          </cell>
          <cell r="I785" t="str">
            <v>213T</v>
          </cell>
          <cell r="K785" t="str">
            <v>7.5</v>
          </cell>
          <cell r="L785" t="str">
            <v>1755</v>
          </cell>
          <cell r="M785" t="str">
            <v>AEHEXX</v>
          </cell>
          <cell r="O785" t="str">
            <v>Full no Cord</v>
          </cell>
          <cell r="P785" t="str">
            <v>TEFC</v>
          </cell>
          <cell r="R785" t="str">
            <v>Continuous</v>
          </cell>
          <cell r="S785" t="str">
            <v>Yes</v>
          </cell>
          <cell r="T785" t="str">
            <v>YES</v>
          </cell>
          <cell r="U785" t="str">
            <v>40</v>
          </cell>
          <cell r="V785" t="str">
            <v>3</v>
          </cell>
          <cell r="W785" t="str">
            <v>60</v>
          </cell>
          <cell r="X785" t="str">
            <v>230/460</v>
          </cell>
          <cell r="Y785" t="str">
            <v>18.9/9.45</v>
          </cell>
          <cell r="AA785" t="str">
            <v>F1</v>
          </cell>
          <cell r="AD785" t="str">
            <v>0</v>
          </cell>
          <cell r="AG785" t="str">
            <v>HP</v>
          </cell>
          <cell r="AI785" t="str">
            <v>6308</v>
          </cell>
          <cell r="AJ785" t="str">
            <v>6306</v>
          </cell>
          <cell r="AP785" t="str">
            <v>H</v>
          </cell>
          <cell r="AQ785" t="str">
            <v>F</v>
          </cell>
          <cell r="AS785" t="str">
            <v>1.15</v>
          </cell>
          <cell r="AT785" t="str">
            <v>91.7</v>
          </cell>
          <cell r="AV785" t="b">
            <v>0</v>
          </cell>
          <cell r="BC785" t="str">
            <v>80FT</v>
          </cell>
          <cell r="BD785" t="str">
            <v>2.5X3X9</v>
          </cell>
          <cell r="BE785" t="str">
            <v>150</v>
          </cell>
          <cell r="BN785" t="str">
            <v>344A  BF</v>
          </cell>
          <cell r="HD785" t="str">
            <v>Repair Shop</v>
          </cell>
          <cell r="HT785" t="b">
            <v>0</v>
          </cell>
          <cell r="HU785" t="str">
            <v>CULINARY FARMS</v>
          </cell>
        </row>
        <row r="786">
          <cell r="A786">
            <v>2988</v>
          </cell>
          <cell r="B786" t="str">
            <v>VEM0917</v>
          </cell>
          <cell r="D786" t="str">
            <v>C&amp;H</v>
          </cell>
          <cell r="F786" t="str">
            <v>Westinghouse</v>
          </cell>
          <cell r="K786" t="str">
            <v>3</v>
          </cell>
          <cell r="O786" t="str">
            <v>Full no Cord</v>
          </cell>
          <cell r="AD786" t="str">
            <v>0</v>
          </cell>
          <cell r="AV786" t="b">
            <v>0</v>
          </cell>
          <cell r="HD786" t="str">
            <v>Repair Shop</v>
          </cell>
          <cell r="HT786" t="b">
            <v>0</v>
          </cell>
          <cell r="HU786" t="str">
            <v>C &amp; H SUGAR CO.</v>
          </cell>
        </row>
        <row r="787">
          <cell r="A787">
            <v>2987</v>
          </cell>
          <cell r="B787" t="str">
            <v>VEM0916</v>
          </cell>
          <cell r="D787" t="str">
            <v>C&amp;H</v>
          </cell>
          <cell r="F787" t="str">
            <v>Westinghouse</v>
          </cell>
          <cell r="G787" t="str">
            <v>SBAM</v>
          </cell>
          <cell r="H787" t="str">
            <v>8107</v>
          </cell>
          <cell r="I787" t="str">
            <v>182T</v>
          </cell>
          <cell r="K787" t="str">
            <v>3</v>
          </cell>
          <cell r="L787" t="str">
            <v>1730</v>
          </cell>
          <cell r="O787" t="str">
            <v>Half no Cord</v>
          </cell>
          <cell r="R787" t="str">
            <v>Continuous</v>
          </cell>
          <cell r="V787" t="str">
            <v>3</v>
          </cell>
          <cell r="W787" t="str">
            <v>60</v>
          </cell>
          <cell r="X787" t="str">
            <v>230/460</v>
          </cell>
          <cell r="Y787" t="str">
            <v>9.3/4.65</v>
          </cell>
          <cell r="AD787" t="str">
            <v>0</v>
          </cell>
          <cell r="AG787" t="str">
            <v>HP</v>
          </cell>
          <cell r="AP787" t="str">
            <v>K</v>
          </cell>
          <cell r="AQ787" t="str">
            <v>B</v>
          </cell>
          <cell r="AV787" t="b">
            <v>0</v>
          </cell>
          <cell r="EY787" t="str">
            <v>773B638G41</v>
          </cell>
          <cell r="HD787" t="str">
            <v>Repair Shop</v>
          </cell>
          <cell r="HT787" t="b">
            <v>0</v>
          </cell>
          <cell r="HU787" t="str">
            <v>C &amp; H SUGAR CO.</v>
          </cell>
        </row>
        <row r="788">
          <cell r="A788">
            <v>2986</v>
          </cell>
          <cell r="B788" t="str">
            <v>VEM0915</v>
          </cell>
          <cell r="D788" t="str">
            <v>C&amp;H</v>
          </cell>
          <cell r="F788" t="str">
            <v>Dayton</v>
          </cell>
          <cell r="G788" t="str">
            <v>3N042BA</v>
          </cell>
          <cell r="I788" t="str">
            <v>56</v>
          </cell>
          <cell r="K788" t="str">
            <v>.750</v>
          </cell>
          <cell r="L788" t="str">
            <v>1725</v>
          </cell>
          <cell r="P788" t="str">
            <v>ODP</v>
          </cell>
          <cell r="R788" t="str">
            <v>Continuous</v>
          </cell>
          <cell r="T788" t="str">
            <v>1.4</v>
          </cell>
          <cell r="U788" t="str">
            <v>40</v>
          </cell>
          <cell r="V788" t="str">
            <v>3</v>
          </cell>
          <cell r="W788" t="str">
            <v>60</v>
          </cell>
          <cell r="X788" t="str">
            <v>208-230/460</v>
          </cell>
          <cell r="Y788" t="str">
            <v>2.8-2.8/1.4</v>
          </cell>
          <cell r="AA788" t="str">
            <v>Other</v>
          </cell>
          <cell r="AD788" t="str">
            <v>0</v>
          </cell>
          <cell r="AG788" t="str">
            <v>HP</v>
          </cell>
          <cell r="AO788" t="str">
            <v>B</v>
          </cell>
          <cell r="AP788" t="str">
            <v>L</v>
          </cell>
          <cell r="AQ788" t="str">
            <v>B</v>
          </cell>
          <cell r="AR788" t="str">
            <v>70.3</v>
          </cell>
          <cell r="AS788" t="str">
            <v>1.25</v>
          </cell>
          <cell r="AT788" t="str">
            <v>76.3</v>
          </cell>
          <cell r="AV788" t="b">
            <v>0</v>
          </cell>
          <cell r="HD788" t="str">
            <v>Repair Shop</v>
          </cell>
          <cell r="HT788" t="b">
            <v>0</v>
          </cell>
          <cell r="HU788" t="str">
            <v>C &amp; H SUGAR CO.</v>
          </cell>
        </row>
        <row r="789">
          <cell r="A789">
            <v>2985</v>
          </cell>
          <cell r="B789" t="str">
            <v>VEM0914</v>
          </cell>
          <cell r="D789" t="str">
            <v>CONHAGEN</v>
          </cell>
          <cell r="AG789" t="str">
            <v>HP</v>
          </cell>
          <cell r="AV789" t="b">
            <v>0</v>
          </cell>
          <cell r="HD789" t="str">
            <v>Repair Shop</v>
          </cell>
          <cell r="HT789" t="b">
            <v>0</v>
          </cell>
          <cell r="HU789" t="str">
            <v>ALFRED CONHAGEN CO. OF CA</v>
          </cell>
        </row>
        <row r="790">
          <cell r="A790">
            <v>2984</v>
          </cell>
          <cell r="B790" t="str">
            <v>VEM0913</v>
          </cell>
          <cell r="D790" t="str">
            <v>LINDMARINE</v>
          </cell>
          <cell r="F790" t="str">
            <v>FeStone</v>
          </cell>
          <cell r="I790" t="str">
            <v>FC56</v>
          </cell>
          <cell r="K790" t="str">
            <v>1</v>
          </cell>
          <cell r="L790" t="str">
            <v>3450</v>
          </cell>
          <cell r="M790" t="str">
            <v>CS</v>
          </cell>
          <cell r="O790" t="str">
            <v>Full w/ Cord</v>
          </cell>
          <cell r="P790" t="str">
            <v>TE</v>
          </cell>
          <cell r="R790" t="str">
            <v>Intermittant</v>
          </cell>
          <cell r="U790" t="str">
            <v>40</v>
          </cell>
          <cell r="V790" t="str">
            <v>1</v>
          </cell>
          <cell r="W790" t="str">
            <v>60</v>
          </cell>
          <cell r="X790" t="str">
            <v>115/230</v>
          </cell>
          <cell r="Y790" t="str">
            <v>15.0</v>
          </cell>
          <cell r="AA790" t="str">
            <v>Vertical</v>
          </cell>
          <cell r="AD790" t="str">
            <v>0</v>
          </cell>
          <cell r="AG790" t="str">
            <v>HP</v>
          </cell>
          <cell r="AQ790" t="str">
            <v>B</v>
          </cell>
          <cell r="AS790" t="str">
            <v>1.0</v>
          </cell>
          <cell r="AV790" t="b">
            <v>0</v>
          </cell>
          <cell r="HD790" t="str">
            <v>Repair Shop</v>
          </cell>
          <cell r="HT790" t="b">
            <v>0</v>
          </cell>
          <cell r="HU790" t="str">
            <v>LIND MARINE</v>
          </cell>
        </row>
        <row r="791">
          <cell r="A791">
            <v>2983</v>
          </cell>
          <cell r="B791" t="str">
            <v>VEM0912</v>
          </cell>
          <cell r="D791" t="str">
            <v>LINDMARINE</v>
          </cell>
          <cell r="F791" t="str">
            <v>Advanced DC Motors Inc</v>
          </cell>
          <cell r="H791" t="str">
            <v>103423</v>
          </cell>
          <cell r="R791" t="str">
            <v>Intermittant</v>
          </cell>
          <cell r="X791" t="str">
            <v>36</v>
          </cell>
          <cell r="AQ791" t="str">
            <v>H</v>
          </cell>
          <cell r="AV791" t="b">
            <v>0</v>
          </cell>
          <cell r="HD791" t="str">
            <v>Repair Shop</v>
          </cell>
          <cell r="HT791" t="b">
            <v>0</v>
          </cell>
          <cell r="HU791" t="str">
            <v>LIND MARINE</v>
          </cell>
        </row>
        <row r="792">
          <cell r="A792">
            <v>2982</v>
          </cell>
          <cell r="B792" t="str">
            <v>VEM0911</v>
          </cell>
          <cell r="D792" t="str">
            <v>P66</v>
          </cell>
          <cell r="F792" t="str">
            <v>US Motors</v>
          </cell>
          <cell r="I792" t="str">
            <v>256T</v>
          </cell>
          <cell r="K792" t="str">
            <v>20</v>
          </cell>
          <cell r="L792" t="str">
            <v>1750</v>
          </cell>
          <cell r="M792" t="str">
            <v>CT</v>
          </cell>
          <cell r="O792" t="str">
            <v>Full no Cord</v>
          </cell>
          <cell r="P792" t="str">
            <v>TEFC</v>
          </cell>
          <cell r="R792" t="str">
            <v>Continuous</v>
          </cell>
          <cell r="S792" t="str">
            <v>Yes</v>
          </cell>
          <cell r="T792" t="str">
            <v>none no key</v>
          </cell>
          <cell r="U792" t="str">
            <v>40</v>
          </cell>
          <cell r="V792" t="str">
            <v>3</v>
          </cell>
          <cell r="W792" t="str">
            <v>60</v>
          </cell>
          <cell r="X792" t="str">
            <v>230/460</v>
          </cell>
          <cell r="Y792" t="str">
            <v>49.4/24.7</v>
          </cell>
          <cell r="AA792" t="str">
            <v>F1</v>
          </cell>
          <cell r="AD792" t="str">
            <v>0</v>
          </cell>
          <cell r="AI792" t="str">
            <v>6309</v>
          </cell>
          <cell r="AJ792" t="str">
            <v>6207</v>
          </cell>
          <cell r="AO792" t="str">
            <v>B</v>
          </cell>
          <cell r="AP792" t="str">
            <v>G</v>
          </cell>
          <cell r="AQ792" t="str">
            <v>F</v>
          </cell>
          <cell r="AS792" t="str">
            <v>1.15</v>
          </cell>
          <cell r="AT792" t="str">
            <v>90.2</v>
          </cell>
          <cell r="AV792" t="b">
            <v>0</v>
          </cell>
          <cell r="EX792" t="str">
            <v>E409-Z11Z2780553M</v>
          </cell>
          <cell r="HD792" t="str">
            <v>Repair Shop</v>
          </cell>
          <cell r="HT792" t="b">
            <v>0</v>
          </cell>
          <cell r="HU792" t="str">
            <v>PHILLIPS 66</v>
          </cell>
        </row>
        <row r="793">
          <cell r="A793">
            <v>2981</v>
          </cell>
          <cell r="B793" t="str">
            <v>VEM0910</v>
          </cell>
          <cell r="D793" t="str">
            <v>P66</v>
          </cell>
          <cell r="F793" t="str">
            <v>Reliance</v>
          </cell>
          <cell r="I793" t="str">
            <v>256T</v>
          </cell>
          <cell r="K793" t="str">
            <v>20</v>
          </cell>
          <cell r="L793" t="str">
            <v>1765</v>
          </cell>
          <cell r="M793" t="str">
            <v>P</v>
          </cell>
          <cell r="O793" t="str">
            <v>None</v>
          </cell>
          <cell r="P793" t="str">
            <v>TEFC</v>
          </cell>
          <cell r="R793" t="str">
            <v>Continuous</v>
          </cell>
          <cell r="S793" t="str">
            <v>Yes</v>
          </cell>
          <cell r="T793" t="str">
            <v>none no key</v>
          </cell>
          <cell r="U793" t="str">
            <v>40</v>
          </cell>
          <cell r="V793" t="str">
            <v>3</v>
          </cell>
          <cell r="W793" t="str">
            <v>60</v>
          </cell>
          <cell r="X793" t="str">
            <v>460</v>
          </cell>
          <cell r="Y793" t="str">
            <v>24.0</v>
          </cell>
          <cell r="Z793" t="str">
            <v>Yes</v>
          </cell>
          <cell r="AA793" t="str">
            <v>F1</v>
          </cell>
          <cell r="AG793" t="str">
            <v>HP</v>
          </cell>
          <cell r="AI793" t="str">
            <v>6309</v>
          </cell>
          <cell r="AJ793" t="str">
            <v>6309</v>
          </cell>
          <cell r="AO793" t="str">
            <v>B</v>
          </cell>
          <cell r="AR793" t="str">
            <v>83.8</v>
          </cell>
          <cell r="AS793" t="str">
            <v>1.15</v>
          </cell>
          <cell r="AT793" t="str">
            <v>93.0</v>
          </cell>
          <cell r="AV793" t="b">
            <v>0</v>
          </cell>
          <cell r="EX793" t="str">
            <v>HM421008-MJ</v>
          </cell>
          <cell r="HD793" t="str">
            <v>Repair Shop</v>
          </cell>
          <cell r="HT793" t="b">
            <v>0</v>
          </cell>
          <cell r="HU793" t="str">
            <v>PHILLIPS 66</v>
          </cell>
        </row>
        <row r="794">
          <cell r="A794">
            <v>2980</v>
          </cell>
          <cell r="B794" t="str">
            <v>VEM0909</v>
          </cell>
          <cell r="D794" t="str">
            <v>VALERO</v>
          </cell>
          <cell r="F794" t="str">
            <v>GE</v>
          </cell>
          <cell r="G794" t="str">
            <v>5KS286SS208A</v>
          </cell>
          <cell r="H794" t="str">
            <v>ZC</v>
          </cell>
          <cell r="I794" t="str">
            <v>286T</v>
          </cell>
          <cell r="K794" t="str">
            <v>30</v>
          </cell>
          <cell r="L794" t="str">
            <v>1775</v>
          </cell>
          <cell r="M794" t="str">
            <v>KS</v>
          </cell>
          <cell r="O794" t="str">
            <v>None</v>
          </cell>
          <cell r="P794" t="str">
            <v>TEFC</v>
          </cell>
          <cell r="R794" t="str">
            <v>Continuous</v>
          </cell>
          <cell r="S794" t="str">
            <v>No</v>
          </cell>
          <cell r="T794" t="str">
            <v>KEY ONLY</v>
          </cell>
          <cell r="U794" t="str">
            <v>40</v>
          </cell>
          <cell r="V794" t="str">
            <v>3</v>
          </cell>
          <cell r="W794" t="str">
            <v>60</v>
          </cell>
          <cell r="X794" t="str">
            <v>460</v>
          </cell>
          <cell r="Y794" t="str">
            <v>34.5</v>
          </cell>
          <cell r="AA794" t="str">
            <v>F1</v>
          </cell>
          <cell r="AG794" t="str">
            <v>HP</v>
          </cell>
          <cell r="AO794" t="str">
            <v>B</v>
          </cell>
          <cell r="AQ794" t="str">
            <v>F</v>
          </cell>
          <cell r="AS794" t="str">
            <v>1.15</v>
          </cell>
          <cell r="AT794" t="str">
            <v>93.0</v>
          </cell>
          <cell r="AV794" t="b">
            <v>0</v>
          </cell>
          <cell r="HD794" t="str">
            <v>Repair Shop</v>
          </cell>
          <cell r="HT794" t="b">
            <v>0</v>
          </cell>
          <cell r="HU794" t="str">
            <v>VALERO REFINING CO. BENICIA</v>
          </cell>
        </row>
        <row r="795">
          <cell r="A795">
            <v>2979</v>
          </cell>
          <cell r="B795" t="str">
            <v>VEM0908</v>
          </cell>
          <cell r="D795" t="str">
            <v>VALERO</v>
          </cell>
          <cell r="F795" t="str">
            <v>Toshiba</v>
          </cell>
          <cell r="I795" t="str">
            <v>286T</v>
          </cell>
          <cell r="K795" t="str">
            <v>30</v>
          </cell>
          <cell r="L795" t="str">
            <v>1770</v>
          </cell>
          <cell r="M795" t="str">
            <v>TKKM</v>
          </cell>
          <cell r="O795" t="str">
            <v>Full no Cord</v>
          </cell>
          <cell r="P795" t="str">
            <v>TEFC</v>
          </cell>
          <cell r="R795" t="str">
            <v>Continuous</v>
          </cell>
          <cell r="S795" t="str">
            <v>Yes</v>
          </cell>
          <cell r="T795" t="str">
            <v>key only</v>
          </cell>
          <cell r="U795" t="str">
            <v>40</v>
          </cell>
          <cell r="V795" t="str">
            <v>3</v>
          </cell>
          <cell r="W795" t="str">
            <v>60</v>
          </cell>
          <cell r="X795" t="str">
            <v>460</v>
          </cell>
          <cell r="Y795" t="str">
            <v>36</v>
          </cell>
          <cell r="AA795" t="str">
            <v>F1</v>
          </cell>
          <cell r="AD795" t="str">
            <v>0</v>
          </cell>
          <cell r="AG795" t="str">
            <v>HP</v>
          </cell>
          <cell r="AO795" t="str">
            <v>B</v>
          </cell>
          <cell r="AQ795" t="str">
            <v>F</v>
          </cell>
          <cell r="AS795" t="str">
            <v>1.15</v>
          </cell>
          <cell r="AV795" t="b">
            <v>0</v>
          </cell>
          <cell r="HD795" t="str">
            <v>Repair Shop</v>
          </cell>
          <cell r="HT795" t="b">
            <v>0</v>
          </cell>
          <cell r="HU795" t="str">
            <v>VALERO REFINING CO. BENICIA</v>
          </cell>
        </row>
        <row r="796">
          <cell r="A796">
            <v>2978</v>
          </cell>
          <cell r="B796" t="str">
            <v>VEM0907</v>
          </cell>
          <cell r="D796" t="str">
            <v>VALERO</v>
          </cell>
          <cell r="F796" t="str">
            <v>Baldor</v>
          </cell>
          <cell r="H796" t="str">
            <v>C1311131212</v>
          </cell>
          <cell r="I796" t="str">
            <v>286T</v>
          </cell>
          <cell r="K796" t="str">
            <v>30</v>
          </cell>
          <cell r="L796" t="str">
            <v>1770</v>
          </cell>
          <cell r="O796" t="str">
            <v>Full no Cord</v>
          </cell>
          <cell r="P796" t="str">
            <v>TEFC</v>
          </cell>
          <cell r="R796" t="str">
            <v>Continuous</v>
          </cell>
          <cell r="S796" t="str">
            <v>No</v>
          </cell>
          <cell r="T796" t="str">
            <v>NONE</v>
          </cell>
          <cell r="U796" t="str">
            <v>40</v>
          </cell>
          <cell r="V796" t="str">
            <v>3</v>
          </cell>
          <cell r="X796" t="str">
            <v>230/460</v>
          </cell>
          <cell r="Y796" t="str">
            <v>72/36</v>
          </cell>
          <cell r="Z796" t="str">
            <v>No</v>
          </cell>
          <cell r="AA796" t="str">
            <v>F1</v>
          </cell>
          <cell r="AD796" t="str">
            <v>0</v>
          </cell>
          <cell r="AG796" t="str">
            <v>HP</v>
          </cell>
          <cell r="AI796" t="str">
            <v>6311</v>
          </cell>
          <cell r="AJ796" t="str">
            <v>6311</v>
          </cell>
          <cell r="AO796" t="str">
            <v>B</v>
          </cell>
          <cell r="AP796" t="str">
            <v>H</v>
          </cell>
          <cell r="AQ796" t="str">
            <v>F</v>
          </cell>
          <cell r="AR796" t="str">
            <v>83</v>
          </cell>
          <cell r="AS796" t="str">
            <v>1.15</v>
          </cell>
          <cell r="AT796" t="str">
            <v>94.1</v>
          </cell>
          <cell r="AU796" t="str">
            <v>10H292X207</v>
          </cell>
          <cell r="AV796" t="b">
            <v>0</v>
          </cell>
          <cell r="EW796" t="str">
            <v>ECP4104T</v>
          </cell>
          <cell r="HD796" t="str">
            <v>Repair Shop</v>
          </cell>
          <cell r="HT796" t="b">
            <v>0</v>
          </cell>
          <cell r="HU796" t="str">
            <v>VALERO REFINING CO. BENICIA</v>
          </cell>
        </row>
        <row r="797">
          <cell r="A797">
            <v>2977</v>
          </cell>
          <cell r="B797" t="str">
            <v>VEM0906</v>
          </cell>
          <cell r="D797" t="str">
            <v>VALERO</v>
          </cell>
          <cell r="F797" t="str">
            <v>Siemens</v>
          </cell>
          <cell r="I797" t="str">
            <v>284T</v>
          </cell>
          <cell r="K797" t="str">
            <v>25</v>
          </cell>
          <cell r="L797" t="str">
            <v>1765</v>
          </cell>
          <cell r="M797" t="str">
            <v>RGZESD</v>
          </cell>
          <cell r="O797" t="str">
            <v>Full no Cord</v>
          </cell>
          <cell r="P797" t="str">
            <v>TEFC</v>
          </cell>
          <cell r="R797" t="str">
            <v>Continuous</v>
          </cell>
          <cell r="S797" t="str">
            <v>No</v>
          </cell>
          <cell r="T797" t="str">
            <v>yes</v>
          </cell>
          <cell r="U797" t="str">
            <v>40</v>
          </cell>
          <cell r="V797" t="str">
            <v>3</v>
          </cell>
          <cell r="W797" t="str">
            <v>60</v>
          </cell>
          <cell r="X797" t="str">
            <v>460</v>
          </cell>
          <cell r="Y797" t="str">
            <v>29.3</v>
          </cell>
          <cell r="Z797" t="str">
            <v>No</v>
          </cell>
          <cell r="AA797" t="str">
            <v>F1</v>
          </cell>
          <cell r="AD797" t="str">
            <v>0</v>
          </cell>
          <cell r="AG797" t="str">
            <v>HP</v>
          </cell>
          <cell r="AO797" t="str">
            <v>B</v>
          </cell>
          <cell r="AP797" t="str">
            <v>G</v>
          </cell>
          <cell r="AQ797" t="str">
            <v>F</v>
          </cell>
          <cell r="AS797" t="str">
            <v>1.15</v>
          </cell>
          <cell r="AT797" t="str">
            <v>93.0</v>
          </cell>
          <cell r="AV797" t="b">
            <v>0</v>
          </cell>
          <cell r="HD797" t="str">
            <v>Repair Shop</v>
          </cell>
          <cell r="HT797" t="b">
            <v>0</v>
          </cell>
          <cell r="HU797" t="str">
            <v>VALERO REFINING CO. BENICIA</v>
          </cell>
        </row>
        <row r="798">
          <cell r="A798">
            <v>2976</v>
          </cell>
          <cell r="B798" t="str">
            <v>VEM0905</v>
          </cell>
          <cell r="D798" t="str">
            <v>COCACOLA</v>
          </cell>
          <cell r="F798" t="str">
            <v>SEW</v>
          </cell>
          <cell r="K798" t="str">
            <v>1.0</v>
          </cell>
          <cell r="L798" t="str">
            <v>1751</v>
          </cell>
          <cell r="O798" t="str">
            <v>Half no Cord</v>
          </cell>
          <cell r="P798" t="str">
            <v>TEFC</v>
          </cell>
          <cell r="R798" t="str">
            <v>Continuous</v>
          </cell>
          <cell r="T798" t="str">
            <v>Other</v>
          </cell>
          <cell r="U798" t="str">
            <v>20..40</v>
          </cell>
          <cell r="V798" t="str">
            <v>3</v>
          </cell>
          <cell r="W798" t="str">
            <v>60</v>
          </cell>
          <cell r="X798" t="str">
            <v>230/460</v>
          </cell>
          <cell r="Y798" t="str">
            <v>3.10/1.56</v>
          </cell>
          <cell r="Z798" t="str">
            <v>No</v>
          </cell>
          <cell r="AA798" t="str">
            <v>Vertical</v>
          </cell>
          <cell r="AG798" t="str">
            <v>HP</v>
          </cell>
          <cell r="AO798" t="str">
            <v>C</v>
          </cell>
          <cell r="AR798" t="str">
            <v>0.70</v>
          </cell>
          <cell r="AS798" t="str">
            <v>1.15</v>
          </cell>
          <cell r="AT798" t="str">
            <v>85.5</v>
          </cell>
          <cell r="AV798" t="b">
            <v>0</v>
          </cell>
          <cell r="HD798" t="str">
            <v>Repair Shop</v>
          </cell>
          <cell r="HT798" t="b">
            <v>0</v>
          </cell>
          <cell r="HU798" t="str">
            <v>COCA COLA</v>
          </cell>
        </row>
        <row r="799">
          <cell r="A799">
            <v>1976</v>
          </cell>
          <cell r="B799" t="str">
            <v>VEM0904</v>
          </cell>
          <cell r="D799" t="str">
            <v>VEOLIA</v>
          </cell>
          <cell r="AG799" t="str">
            <v>HP</v>
          </cell>
          <cell r="AV799" t="b">
            <v>0</v>
          </cell>
          <cell r="HD799" t="str">
            <v>Repair Shop</v>
          </cell>
          <cell r="HT799" t="b">
            <v>0</v>
          </cell>
          <cell r="HU799" t="str">
            <v>VEOLIA WATER</v>
          </cell>
        </row>
        <row r="800">
          <cell r="A800">
            <v>1975</v>
          </cell>
          <cell r="B800" t="str">
            <v>FE1029</v>
          </cell>
          <cell r="D800" t="str">
            <v>VEOLIA</v>
          </cell>
          <cell r="AG800" t="str">
            <v>HP</v>
          </cell>
          <cell r="AV800" t="b">
            <v>0</v>
          </cell>
          <cell r="HD800" t="str">
            <v>Field Service</v>
          </cell>
          <cell r="HT800" t="b">
            <v>0</v>
          </cell>
          <cell r="HU800" t="str">
            <v>VEOLIA WATER</v>
          </cell>
        </row>
        <row r="801">
          <cell r="A801">
            <v>1974</v>
          </cell>
          <cell r="B801" t="str">
            <v>VEM0903</v>
          </cell>
          <cell r="D801" t="str">
            <v>CULINARY</v>
          </cell>
          <cell r="F801" t="str">
            <v>Toshiba</v>
          </cell>
          <cell r="G801" t="str">
            <v>WWWT10-18-215T</v>
          </cell>
          <cell r="I801" t="str">
            <v>215TC</v>
          </cell>
          <cell r="K801" t="str">
            <v>10</v>
          </cell>
          <cell r="L801" t="str">
            <v>1760</v>
          </cell>
          <cell r="M801" t="str">
            <v>BTP</v>
          </cell>
          <cell r="O801" t="str">
            <v>Full no Cord</v>
          </cell>
          <cell r="P801" t="str">
            <v>TEFC</v>
          </cell>
          <cell r="R801" t="str">
            <v>Continuous</v>
          </cell>
          <cell r="S801" t="str">
            <v>Yes</v>
          </cell>
          <cell r="V801" t="str">
            <v>3</v>
          </cell>
          <cell r="W801" t="str">
            <v>60</v>
          </cell>
          <cell r="X801" t="str">
            <v>230/460</v>
          </cell>
          <cell r="Y801" t="str">
            <v>26.8/13.4</v>
          </cell>
          <cell r="AA801" t="str">
            <v>F2</v>
          </cell>
          <cell r="AD801" t="str">
            <v>-1</v>
          </cell>
          <cell r="AG801" t="str">
            <v>HP</v>
          </cell>
          <cell r="AI801" t="str">
            <v>6308</v>
          </cell>
          <cell r="AJ801" t="str">
            <v>6306</v>
          </cell>
          <cell r="AO801" t="str">
            <v>C</v>
          </cell>
          <cell r="AQ801" t="str">
            <v>F</v>
          </cell>
          <cell r="AT801" t="str">
            <v>89.5</v>
          </cell>
          <cell r="AV801" t="b">
            <v>0</v>
          </cell>
          <cell r="HD801" t="str">
            <v>Repair Shop</v>
          </cell>
          <cell r="HT801" t="b">
            <v>0</v>
          </cell>
          <cell r="HU801" t="str">
            <v>CULINARY FARMS</v>
          </cell>
        </row>
        <row r="802">
          <cell r="A802">
            <v>1973</v>
          </cell>
          <cell r="B802" t="str">
            <v>VEM0902</v>
          </cell>
          <cell r="D802" t="str">
            <v>VALERO</v>
          </cell>
          <cell r="F802" t="str">
            <v>US Motors</v>
          </cell>
          <cell r="G802" t="str">
            <v>R924A</v>
          </cell>
          <cell r="I802" t="str">
            <v>405T</v>
          </cell>
          <cell r="K802" t="str">
            <v>100</v>
          </cell>
          <cell r="L802" t="str">
            <v>1780</v>
          </cell>
          <cell r="M802" t="str">
            <v>FCT</v>
          </cell>
          <cell r="O802" t="str">
            <v>None</v>
          </cell>
          <cell r="P802" t="str">
            <v>TEFC</v>
          </cell>
          <cell r="R802" t="str">
            <v>Continuous</v>
          </cell>
          <cell r="S802" t="str">
            <v>Yes</v>
          </cell>
          <cell r="T802" t="str">
            <v>FLUSH</v>
          </cell>
          <cell r="U802" t="str">
            <v>40</v>
          </cell>
          <cell r="V802" t="str">
            <v>3</v>
          </cell>
          <cell r="W802" t="str">
            <v>60</v>
          </cell>
          <cell r="X802" t="str">
            <v>230/460</v>
          </cell>
          <cell r="Y802" t="str">
            <v>228/114</v>
          </cell>
          <cell r="AA802" t="str">
            <v>F1</v>
          </cell>
          <cell r="AD802" t="str">
            <v>0</v>
          </cell>
          <cell r="AG802" t="str">
            <v>HP</v>
          </cell>
          <cell r="AI802" t="str">
            <v>6217</v>
          </cell>
          <cell r="AJ802" t="str">
            <v>6214</v>
          </cell>
          <cell r="AO802" t="str">
            <v>B</v>
          </cell>
          <cell r="AP802" t="str">
            <v>F</v>
          </cell>
          <cell r="AQ802" t="str">
            <v>F</v>
          </cell>
          <cell r="AS802" t="str">
            <v>1.15</v>
          </cell>
          <cell r="AT802" t="str">
            <v>94.5</v>
          </cell>
          <cell r="AV802" t="b">
            <v>0</v>
          </cell>
          <cell r="EW802" t="str">
            <v>H100E2E</v>
          </cell>
          <cell r="EX802" t="str">
            <v>E08-R924AM</v>
          </cell>
          <cell r="HD802" t="str">
            <v>Repair Shop</v>
          </cell>
          <cell r="HT802" t="b">
            <v>0</v>
          </cell>
          <cell r="HU802" t="str">
            <v>VALERO REFINING CO. BENICIA</v>
          </cell>
        </row>
        <row r="803">
          <cell r="A803">
            <v>1972</v>
          </cell>
          <cell r="B803" t="str">
            <v>VEM0901</v>
          </cell>
          <cell r="D803" t="str">
            <v>CONHAGEN</v>
          </cell>
          <cell r="AG803" t="str">
            <v>HP</v>
          </cell>
          <cell r="AV803" t="b">
            <v>0</v>
          </cell>
          <cell r="HD803" t="str">
            <v>Repair Shop</v>
          </cell>
          <cell r="HT803" t="b">
            <v>0</v>
          </cell>
          <cell r="HU803" t="str">
            <v>ALFRED CONHAGEN CO. OF CA</v>
          </cell>
        </row>
        <row r="804">
          <cell r="A804">
            <v>1971</v>
          </cell>
          <cell r="B804" t="str">
            <v>VEM0900</v>
          </cell>
          <cell r="D804" t="str">
            <v>CONHAGEN</v>
          </cell>
          <cell r="AG804" t="str">
            <v>HP</v>
          </cell>
          <cell r="AV804" t="b">
            <v>0</v>
          </cell>
          <cell r="HD804" t="str">
            <v>Repair Shop</v>
          </cell>
          <cell r="HT804" t="b">
            <v>0</v>
          </cell>
          <cell r="HU804" t="str">
            <v>ALFRED CONHAGEN CO. OF CA</v>
          </cell>
        </row>
        <row r="805">
          <cell r="A805">
            <v>1970</v>
          </cell>
          <cell r="B805" t="str">
            <v>VEM0899</v>
          </cell>
          <cell r="D805" t="str">
            <v>EARTHQUAKE</v>
          </cell>
          <cell r="F805" t="str">
            <v>Fanuc</v>
          </cell>
          <cell r="G805" t="str">
            <v>100/5000HV</v>
          </cell>
          <cell r="H805" t="str">
            <v>C179S00AA</v>
          </cell>
          <cell r="I805" t="str">
            <v>SPINDLE</v>
          </cell>
          <cell r="K805" t="str">
            <v>100</v>
          </cell>
          <cell r="L805" t="str">
            <v>1000-5000</v>
          </cell>
          <cell r="M805" t="str">
            <v>A06B-1518-B853</v>
          </cell>
          <cell r="N805" t="str">
            <v>820 kg.</v>
          </cell>
          <cell r="O805" t="str">
            <v>Full no Cord</v>
          </cell>
          <cell r="P805" t="str">
            <v>TE</v>
          </cell>
          <cell r="R805" t="str">
            <v>Continuous</v>
          </cell>
          <cell r="S805" t="str">
            <v>Yes</v>
          </cell>
          <cell r="T805" t="str">
            <v>key only</v>
          </cell>
          <cell r="U805" t="str">
            <v>40</v>
          </cell>
          <cell r="V805" t="str">
            <v>3</v>
          </cell>
          <cell r="X805" t="str">
            <v>384-460</v>
          </cell>
          <cell r="AA805" t="str">
            <v>Top</v>
          </cell>
          <cell r="AD805" t="str">
            <v>0</v>
          </cell>
          <cell r="AG805" t="str">
            <v>KW</v>
          </cell>
          <cell r="AQ805" t="str">
            <v>H</v>
          </cell>
          <cell r="AR805" t="str">
            <v>86</v>
          </cell>
          <cell r="AV805" t="b">
            <v>0</v>
          </cell>
          <cell r="HD805" t="str">
            <v>Repair Shop</v>
          </cell>
          <cell r="HT805" t="b">
            <v>0</v>
          </cell>
          <cell r="HU805" t="str">
            <v>EARTHQUAKE PROTECTION</v>
          </cell>
        </row>
        <row r="806">
          <cell r="A806">
            <v>1969</v>
          </cell>
          <cell r="B806" t="str">
            <v>VEM0898</v>
          </cell>
          <cell r="D806" t="str">
            <v>CONHAGEN</v>
          </cell>
          <cell r="F806" t="str">
            <v>Siemens</v>
          </cell>
          <cell r="I806" t="str">
            <v>284T</v>
          </cell>
          <cell r="K806" t="str">
            <v>25</v>
          </cell>
          <cell r="L806" t="str">
            <v>1755</v>
          </cell>
          <cell r="M806" t="str">
            <v>RGZ</v>
          </cell>
          <cell r="O806" t="str">
            <v>Full no Cord</v>
          </cell>
          <cell r="P806" t="str">
            <v>TEFC</v>
          </cell>
          <cell r="R806" t="str">
            <v>Continuous</v>
          </cell>
          <cell r="S806" t="str">
            <v>No</v>
          </cell>
          <cell r="T806" t="str">
            <v>none no key</v>
          </cell>
          <cell r="U806" t="str">
            <v>40</v>
          </cell>
          <cell r="V806" t="str">
            <v>3</v>
          </cell>
          <cell r="W806" t="str">
            <v>60</v>
          </cell>
          <cell r="X806" t="str">
            <v>230/460</v>
          </cell>
          <cell r="Y806" t="str">
            <v>62/31</v>
          </cell>
          <cell r="Z806" t="str">
            <v>No</v>
          </cell>
          <cell r="AA806" t="str">
            <v>F1</v>
          </cell>
          <cell r="AG806" t="str">
            <v>HP</v>
          </cell>
          <cell r="AO806" t="str">
            <v>B</v>
          </cell>
          <cell r="AP806" t="str">
            <v>G</v>
          </cell>
          <cell r="AQ806" t="str">
            <v>F</v>
          </cell>
          <cell r="AS806" t="str">
            <v>1.15</v>
          </cell>
          <cell r="AT806" t="str">
            <v>89.5</v>
          </cell>
          <cell r="AV806" t="b">
            <v>0</v>
          </cell>
          <cell r="HD806" t="str">
            <v>Repair Shop</v>
          </cell>
          <cell r="HT806" t="b">
            <v>0</v>
          </cell>
          <cell r="HU806" t="str">
            <v>ALFRED CONHAGEN CO. OF CA</v>
          </cell>
        </row>
        <row r="807">
          <cell r="A807">
            <v>1968</v>
          </cell>
          <cell r="B807" t="str">
            <v>VEM0897</v>
          </cell>
          <cell r="D807" t="str">
            <v>ARS</v>
          </cell>
          <cell r="F807" t="str">
            <v>BODINE</v>
          </cell>
          <cell r="G807" t="str">
            <v>GEAR MOTOR</v>
          </cell>
          <cell r="K807" t="str">
            <v>1/5</v>
          </cell>
          <cell r="L807" t="str">
            <v>52</v>
          </cell>
          <cell r="R807" t="str">
            <v>2 MIN</v>
          </cell>
          <cell r="V807" t="str">
            <v>1</v>
          </cell>
          <cell r="X807" t="str">
            <v>115</v>
          </cell>
          <cell r="AD807" t="str">
            <v>0</v>
          </cell>
          <cell r="AG807" t="str">
            <v>HP</v>
          </cell>
          <cell r="AV807" t="b">
            <v>0</v>
          </cell>
          <cell r="HD807" t="str">
            <v>Repair Shop</v>
          </cell>
          <cell r="HT807" t="b">
            <v>0</v>
          </cell>
          <cell r="HU807" t="str">
            <v>ARS ENTERPRISES</v>
          </cell>
        </row>
        <row r="808">
          <cell r="A808">
            <v>1967</v>
          </cell>
          <cell r="B808" t="str">
            <v>VEM0896</v>
          </cell>
          <cell r="D808" t="str">
            <v>CONHAGEN</v>
          </cell>
          <cell r="F808" t="str">
            <v>Reliance</v>
          </cell>
          <cell r="I808" t="str">
            <v>X0254TC</v>
          </cell>
          <cell r="K808" t="str">
            <v>15</v>
          </cell>
          <cell r="L808" t="str">
            <v>3525</v>
          </cell>
          <cell r="M808" t="str">
            <v>P</v>
          </cell>
          <cell r="N808" t="str">
            <v>383</v>
          </cell>
          <cell r="O808" t="str">
            <v>Full no Cord</v>
          </cell>
          <cell r="P808" t="str">
            <v>TEFC</v>
          </cell>
          <cell r="R808" t="str">
            <v>Continuous</v>
          </cell>
          <cell r="T808" t="str">
            <v>none no key</v>
          </cell>
          <cell r="U808" t="str">
            <v>40</v>
          </cell>
          <cell r="V808" t="str">
            <v>3</v>
          </cell>
          <cell r="W808" t="str">
            <v>60</v>
          </cell>
          <cell r="X808" t="str">
            <v>460</v>
          </cell>
          <cell r="Y808" t="str">
            <v>16.9</v>
          </cell>
          <cell r="Z808" t="str">
            <v>V RING</v>
          </cell>
          <cell r="AA808" t="str">
            <v>Vertical</v>
          </cell>
          <cell r="AD808" t="str">
            <v>0</v>
          </cell>
          <cell r="AG808" t="str">
            <v>HP</v>
          </cell>
          <cell r="AI808" t="str">
            <v>6309</v>
          </cell>
          <cell r="AJ808" t="str">
            <v>6309</v>
          </cell>
          <cell r="AO808" t="str">
            <v>B</v>
          </cell>
          <cell r="AP808" t="str">
            <v>G</v>
          </cell>
          <cell r="AR808" t="str">
            <v>90.9</v>
          </cell>
          <cell r="AS808" t="str">
            <v>1.15</v>
          </cell>
          <cell r="AT808" t="str">
            <v>91.7</v>
          </cell>
          <cell r="AV808" t="b">
            <v>0</v>
          </cell>
          <cell r="EX808" t="str">
            <v>01MAF95451  C 001 UW</v>
          </cell>
          <cell r="HD808" t="str">
            <v>Repair Shop</v>
          </cell>
          <cell r="HT808" t="b">
            <v>0</v>
          </cell>
          <cell r="HU808" t="str">
            <v>ALFRED CONHAGEN CO. OF CA</v>
          </cell>
        </row>
        <row r="809">
          <cell r="A809">
            <v>1966</v>
          </cell>
          <cell r="B809" t="str">
            <v>VEM0895</v>
          </cell>
          <cell r="D809" t="str">
            <v>CONHAGEN</v>
          </cell>
          <cell r="F809" t="str">
            <v>US Motors</v>
          </cell>
          <cell r="G809" t="str">
            <v>G647</v>
          </cell>
          <cell r="I809" t="str">
            <v>444TP</v>
          </cell>
          <cell r="K809" t="str">
            <v>125</v>
          </cell>
          <cell r="L809" t="str">
            <v>1780</v>
          </cell>
          <cell r="M809" t="str">
            <v>TU</v>
          </cell>
          <cell r="O809" t="str">
            <v>None</v>
          </cell>
          <cell r="P809" t="str">
            <v>TEFC</v>
          </cell>
          <cell r="R809" t="str">
            <v>Continuous</v>
          </cell>
          <cell r="S809" t="str">
            <v>NONE</v>
          </cell>
          <cell r="T809" t="str">
            <v>NONE</v>
          </cell>
          <cell r="U809" t="str">
            <v>40</v>
          </cell>
          <cell r="V809" t="str">
            <v>3</v>
          </cell>
          <cell r="W809" t="str">
            <v>60</v>
          </cell>
          <cell r="X809" t="str">
            <v>460</v>
          </cell>
          <cell r="Z809" t="str">
            <v>V-RING</v>
          </cell>
          <cell r="AA809" t="str">
            <v>Vertical</v>
          </cell>
          <cell r="AG809" t="str">
            <v>HP</v>
          </cell>
          <cell r="AI809" t="str">
            <v>6218-J/C3</v>
          </cell>
          <cell r="AJ809" t="str">
            <v>7320-M</v>
          </cell>
          <cell r="AO809" t="str">
            <v>B</v>
          </cell>
          <cell r="AP809" t="str">
            <v>G</v>
          </cell>
          <cell r="AQ809" t="str">
            <v>F</v>
          </cell>
          <cell r="AR809" t="str">
            <v>88.4</v>
          </cell>
          <cell r="AS809" t="str">
            <v>1.15</v>
          </cell>
          <cell r="AT809" t="str">
            <v>92.4</v>
          </cell>
          <cell r="AV809" t="b">
            <v>0</v>
          </cell>
          <cell r="AW809" t="str">
            <v>148</v>
          </cell>
          <cell r="EW809" t="str">
            <v>HT125S2CLG</v>
          </cell>
          <cell r="EX809" t="str">
            <v>K10 83008717-001R- 04</v>
          </cell>
          <cell r="HD809" t="str">
            <v>Repair Shop</v>
          </cell>
          <cell r="HT809" t="b">
            <v>0</v>
          </cell>
          <cell r="HU809" t="str">
            <v>ALFRED CONHAGEN CO. OF CA</v>
          </cell>
        </row>
        <row r="810">
          <cell r="A810">
            <v>1965</v>
          </cell>
          <cell r="B810" t="str">
            <v>VEM0894</v>
          </cell>
          <cell r="D810" t="str">
            <v>VALERO</v>
          </cell>
          <cell r="F810" t="str">
            <v>US Motors</v>
          </cell>
          <cell r="H810" t="str">
            <v>H4074416</v>
          </cell>
          <cell r="I810" t="str">
            <v>256U-42</v>
          </cell>
          <cell r="K810" t="str">
            <v>7.5</v>
          </cell>
          <cell r="L810" t="str">
            <v>1740</v>
          </cell>
          <cell r="M810" t="str">
            <v>J-GH</v>
          </cell>
          <cell r="O810" t="str">
            <v>None</v>
          </cell>
          <cell r="P810" t="str">
            <v>TEFC</v>
          </cell>
          <cell r="R810" t="str">
            <v>Continuous</v>
          </cell>
          <cell r="S810" t="str">
            <v>Yes</v>
          </cell>
          <cell r="T810" t="str">
            <v>NONE NO KEY</v>
          </cell>
          <cell r="U810" t="str">
            <v>55</v>
          </cell>
          <cell r="V810" t="str">
            <v>3</v>
          </cell>
          <cell r="W810" t="str">
            <v>60</v>
          </cell>
          <cell r="X810" t="str">
            <v>220/440</v>
          </cell>
          <cell r="Y810" t="str">
            <v>27.5/13.75</v>
          </cell>
          <cell r="AA810" t="str">
            <v>F1</v>
          </cell>
          <cell r="AD810" t="str">
            <v>0</v>
          </cell>
          <cell r="AG810" t="str">
            <v>HP</v>
          </cell>
          <cell r="AI810" t="str">
            <v>6307</v>
          </cell>
          <cell r="AJ810" t="str">
            <v>6207</v>
          </cell>
          <cell r="AO810" t="str">
            <v>B</v>
          </cell>
          <cell r="AP810" t="str">
            <v>G</v>
          </cell>
          <cell r="AV810" t="b">
            <v>0</v>
          </cell>
          <cell r="HD810" t="str">
            <v>Repair Shop</v>
          </cell>
          <cell r="HT810" t="b">
            <v>0</v>
          </cell>
          <cell r="HU810" t="str">
            <v>VALERO REFINING CO. BENICIA</v>
          </cell>
        </row>
        <row r="811">
          <cell r="A811">
            <v>1964</v>
          </cell>
          <cell r="B811" t="str">
            <v>VEM0893</v>
          </cell>
          <cell r="D811" t="str">
            <v>C&amp;H</v>
          </cell>
          <cell r="F811" t="str">
            <v>Westinghouse</v>
          </cell>
          <cell r="G811" t="str">
            <v>ABFC</v>
          </cell>
          <cell r="H811" t="str">
            <v>1-4V3363</v>
          </cell>
          <cell r="I811" t="str">
            <v>215P</v>
          </cell>
          <cell r="K811" t="str">
            <v>7.5</v>
          </cell>
          <cell r="L811" t="str">
            <v>3475</v>
          </cell>
          <cell r="O811" t="str">
            <v>Full no Cord</v>
          </cell>
          <cell r="P811" t="str">
            <v>TEFC</v>
          </cell>
          <cell r="R811" t="str">
            <v>Continuous</v>
          </cell>
          <cell r="S811" t="str">
            <v>No</v>
          </cell>
          <cell r="T811" t="str">
            <v>none no key</v>
          </cell>
          <cell r="U811" t="str">
            <v>55</v>
          </cell>
          <cell r="V811" t="str">
            <v>3</v>
          </cell>
          <cell r="W811" t="str">
            <v>60</v>
          </cell>
          <cell r="X811" t="str">
            <v>208-220/440</v>
          </cell>
          <cell r="Y811" t="str">
            <v>20-19/9.5</v>
          </cell>
          <cell r="Z811" t="str">
            <v>No</v>
          </cell>
          <cell r="AA811" t="str">
            <v>Vertical</v>
          </cell>
          <cell r="AG811" t="str">
            <v>HP</v>
          </cell>
          <cell r="AS811" t="str">
            <v>1.15</v>
          </cell>
          <cell r="AV811" t="b">
            <v>0</v>
          </cell>
          <cell r="HD811" t="str">
            <v>Repair Shop</v>
          </cell>
          <cell r="HT811" t="b">
            <v>0</v>
          </cell>
          <cell r="HU811" t="str">
            <v>C &amp; H SUGAR CO.</v>
          </cell>
        </row>
        <row r="812">
          <cell r="A812">
            <v>1963</v>
          </cell>
          <cell r="B812" t="str">
            <v>VEM0892</v>
          </cell>
          <cell r="D812" t="str">
            <v>CONHAGEN</v>
          </cell>
          <cell r="F812" t="str">
            <v>Reliance</v>
          </cell>
          <cell r="I812" t="str">
            <v>365HPZ</v>
          </cell>
          <cell r="K812" t="str">
            <v>75</v>
          </cell>
          <cell r="L812" t="str">
            <v>3555</v>
          </cell>
          <cell r="N812" t="str">
            <v>1095</v>
          </cell>
          <cell r="O812" t="str">
            <v>None</v>
          </cell>
          <cell r="P812" t="str">
            <v>TEFC</v>
          </cell>
          <cell r="R812" t="str">
            <v>Continuous</v>
          </cell>
          <cell r="U812" t="str">
            <v>40</v>
          </cell>
          <cell r="V812" t="str">
            <v>3</v>
          </cell>
          <cell r="W812" t="str">
            <v>60</v>
          </cell>
          <cell r="X812" t="str">
            <v>460</v>
          </cell>
          <cell r="Y812" t="str">
            <v>80.7</v>
          </cell>
          <cell r="AA812" t="str">
            <v>Vertical</v>
          </cell>
          <cell r="AD812" t="str">
            <v>-1</v>
          </cell>
          <cell r="AG812" t="str">
            <v>HP</v>
          </cell>
          <cell r="AO812" t="str">
            <v>B</v>
          </cell>
          <cell r="AP812" t="str">
            <v>F</v>
          </cell>
          <cell r="AQ812" t="str">
            <v>F</v>
          </cell>
          <cell r="AR812" t="str">
            <v>91.5</v>
          </cell>
          <cell r="AT812" t="str">
            <v>95.0</v>
          </cell>
          <cell r="AV812" t="b">
            <v>0</v>
          </cell>
          <cell r="EX812" t="str">
            <v>6995182-001   L001CJ</v>
          </cell>
          <cell r="HD812" t="str">
            <v>Repair Shop</v>
          </cell>
          <cell r="HT812" t="b">
            <v>0</v>
          </cell>
          <cell r="HU812" t="str">
            <v>ALFRED CONHAGEN CO. OF CA</v>
          </cell>
        </row>
        <row r="813">
          <cell r="A813">
            <v>1962</v>
          </cell>
          <cell r="B813" t="str">
            <v>VEM0891</v>
          </cell>
          <cell r="D813" t="str">
            <v>CONHAGEN</v>
          </cell>
          <cell r="AG813" t="str">
            <v>HP</v>
          </cell>
          <cell r="AV813" t="b">
            <v>0</v>
          </cell>
          <cell r="HD813" t="str">
            <v>Repair Shop</v>
          </cell>
          <cell r="HT813" t="b">
            <v>0</v>
          </cell>
          <cell r="HU813" t="str">
            <v>ALFRED CONHAGEN CO. OF CA</v>
          </cell>
        </row>
        <row r="814">
          <cell r="A814">
            <v>1961</v>
          </cell>
          <cell r="B814" t="str">
            <v>VEM0890</v>
          </cell>
          <cell r="D814" t="str">
            <v>VALLEJOSAN</v>
          </cell>
          <cell r="F814" t="str">
            <v>US Motors</v>
          </cell>
          <cell r="I814" t="str">
            <v>324TPH WPI</v>
          </cell>
          <cell r="K814" t="str">
            <v>50</v>
          </cell>
          <cell r="L814" t="str">
            <v>3545</v>
          </cell>
          <cell r="M814" t="str">
            <v>RU</v>
          </cell>
          <cell r="O814" t="str">
            <v>None</v>
          </cell>
          <cell r="R814" t="str">
            <v>Continuous</v>
          </cell>
          <cell r="U814" t="str">
            <v>40</v>
          </cell>
          <cell r="V814" t="str">
            <v>3</v>
          </cell>
          <cell r="W814" t="str">
            <v>60</v>
          </cell>
          <cell r="X814" t="str">
            <v>230/460</v>
          </cell>
          <cell r="Y814" t="str">
            <v>128/64</v>
          </cell>
          <cell r="AA814" t="str">
            <v>Vertical</v>
          </cell>
          <cell r="AD814" t="str">
            <v>-1</v>
          </cell>
          <cell r="AG814" t="str">
            <v>HP</v>
          </cell>
          <cell r="AI814" t="str">
            <v>6211</v>
          </cell>
          <cell r="AJ814" t="str">
            <v>7220</v>
          </cell>
          <cell r="AO814" t="str">
            <v>B</v>
          </cell>
          <cell r="AP814" t="str">
            <v>G</v>
          </cell>
          <cell r="AQ814" t="str">
            <v>B</v>
          </cell>
          <cell r="AS814" t="str">
            <v>1.15</v>
          </cell>
          <cell r="AT814" t="str">
            <v>88.5</v>
          </cell>
          <cell r="AV814" t="b">
            <v>0</v>
          </cell>
          <cell r="EX814" t="str">
            <v>6230   U02T353R168R-2</v>
          </cell>
          <cell r="GK814" t="str">
            <v>Heater 120 Volt 120 Watt</v>
          </cell>
          <cell r="HD814" t="str">
            <v>Repair Shop</v>
          </cell>
          <cell r="HT814" t="b">
            <v>0</v>
          </cell>
          <cell r="HU814" t="str">
            <v>VALLEJO FLOOD &amp; WASTEWATER DISTRICT</v>
          </cell>
        </row>
        <row r="815">
          <cell r="A815">
            <v>1960</v>
          </cell>
          <cell r="B815" t="str">
            <v>VEM0889</v>
          </cell>
          <cell r="D815" t="str">
            <v>ABCPAINTING</v>
          </cell>
          <cell r="AG815" t="str">
            <v>HP</v>
          </cell>
          <cell r="AV815" t="b">
            <v>0</v>
          </cell>
          <cell r="HD815" t="str">
            <v>Repair Shop</v>
          </cell>
          <cell r="HT815" t="b">
            <v>0</v>
          </cell>
          <cell r="HU815" t="str">
            <v>ABC PAINTING</v>
          </cell>
        </row>
        <row r="816">
          <cell r="A816">
            <v>1959</v>
          </cell>
          <cell r="B816" t="str">
            <v>VEM0888</v>
          </cell>
          <cell r="D816" t="str">
            <v>GREATER</v>
          </cell>
          <cell r="F816" t="str">
            <v>Baldor</v>
          </cell>
          <cell r="H816" t="str">
            <v>F1304103679</v>
          </cell>
          <cell r="I816" t="str">
            <v>184T</v>
          </cell>
          <cell r="K816" t="str">
            <v>5</v>
          </cell>
          <cell r="L816" t="str">
            <v>1725</v>
          </cell>
          <cell r="O816" t="str">
            <v>Half no Cord</v>
          </cell>
          <cell r="P816" t="str">
            <v>ODP</v>
          </cell>
          <cell r="Q816" t="str">
            <v>Yes</v>
          </cell>
          <cell r="R816" t="str">
            <v>Continuous</v>
          </cell>
          <cell r="U816" t="str">
            <v>40</v>
          </cell>
          <cell r="V816" t="str">
            <v>1</v>
          </cell>
          <cell r="W816" t="str">
            <v>60</v>
          </cell>
          <cell r="Y816" t="str">
            <v>23</v>
          </cell>
          <cell r="AA816" t="str">
            <v>F1</v>
          </cell>
          <cell r="AD816" t="str">
            <v>0</v>
          </cell>
          <cell r="AG816" t="str">
            <v>HP</v>
          </cell>
          <cell r="AI816" t="str">
            <v>6206</v>
          </cell>
          <cell r="AJ816" t="str">
            <v>6205</v>
          </cell>
          <cell r="AO816" t="str">
            <v>L</v>
          </cell>
          <cell r="AP816" t="str">
            <v>G</v>
          </cell>
          <cell r="AQ816" t="str">
            <v>F</v>
          </cell>
          <cell r="AR816" t="str">
            <v>87</v>
          </cell>
          <cell r="AS816" t="str">
            <v>1.15</v>
          </cell>
          <cell r="AT816" t="str">
            <v>82.5</v>
          </cell>
          <cell r="AU816" t="str">
            <v>36M925W849G1</v>
          </cell>
          <cell r="AV816" t="b">
            <v>0</v>
          </cell>
          <cell r="EW816" t="str">
            <v>L1410T</v>
          </cell>
          <cell r="HD816" t="str">
            <v>Repair Shop</v>
          </cell>
          <cell r="HT816" t="b">
            <v>0</v>
          </cell>
          <cell r="HU816" t="str">
            <v>GREATER VALLEJO RECREATION DIST.</v>
          </cell>
        </row>
        <row r="817">
          <cell r="A817">
            <v>1958</v>
          </cell>
          <cell r="B817" t="str">
            <v>VEM0887</v>
          </cell>
          <cell r="D817" t="str">
            <v>P66</v>
          </cell>
          <cell r="F817" t="str">
            <v>Baldor</v>
          </cell>
          <cell r="I817" t="str">
            <v>56CZ FOOTLESS</v>
          </cell>
          <cell r="K817" t="str">
            <v>3</v>
          </cell>
          <cell r="L817" t="str">
            <v>3450</v>
          </cell>
          <cell r="P817" t="str">
            <v>TEFC</v>
          </cell>
          <cell r="V817" t="str">
            <v>3</v>
          </cell>
          <cell r="W817" t="str">
            <v>60</v>
          </cell>
          <cell r="X817" t="str">
            <v>230/460</v>
          </cell>
          <cell r="AD817" t="str">
            <v>0</v>
          </cell>
          <cell r="AG817" t="str">
            <v>HP</v>
          </cell>
          <cell r="AI817" t="str">
            <v>6205</v>
          </cell>
          <cell r="AJ817" t="str">
            <v>6203</v>
          </cell>
          <cell r="AQ817" t="str">
            <v>B</v>
          </cell>
          <cell r="AU817" t="str">
            <v>35E964Q130G2</v>
          </cell>
          <cell r="AV817" t="b">
            <v>0</v>
          </cell>
          <cell r="AX817" t="str">
            <v>2</v>
          </cell>
          <cell r="HD817" t="str">
            <v>Repair Shop</v>
          </cell>
          <cell r="HT817" t="b">
            <v>0</v>
          </cell>
          <cell r="HU817" t="str">
            <v>PHILLIPS 66</v>
          </cell>
        </row>
        <row r="818">
          <cell r="A818">
            <v>1957</v>
          </cell>
          <cell r="B818" t="str">
            <v>VEM0886</v>
          </cell>
          <cell r="D818" t="str">
            <v>VALERO</v>
          </cell>
          <cell r="F818" t="str">
            <v>GE</v>
          </cell>
          <cell r="G818" t="str">
            <v>5KS444XAE6427</v>
          </cell>
          <cell r="H818" t="str">
            <v>CLFT076U039</v>
          </cell>
          <cell r="I818" t="str">
            <v>L444VP16</v>
          </cell>
          <cell r="K818" t="str">
            <v>125</v>
          </cell>
          <cell r="L818" t="str">
            <v>1785</v>
          </cell>
          <cell r="M818" t="str">
            <v>KS</v>
          </cell>
          <cell r="N818" t="str">
            <v>2280</v>
          </cell>
          <cell r="O818" t="str">
            <v>Full no Cord</v>
          </cell>
          <cell r="P818" t="str">
            <v>TEFC</v>
          </cell>
          <cell r="R818" t="str">
            <v>Continuous</v>
          </cell>
          <cell r="T818" t="str">
            <v>yes</v>
          </cell>
          <cell r="U818" t="str">
            <v>40</v>
          </cell>
          <cell r="V818" t="str">
            <v>3</v>
          </cell>
          <cell r="W818" t="str">
            <v>60</v>
          </cell>
          <cell r="X818" t="str">
            <v>460</v>
          </cell>
          <cell r="Y818" t="str">
            <v>146.0</v>
          </cell>
          <cell r="AA818" t="str">
            <v>Vertical</v>
          </cell>
          <cell r="AG818" t="str">
            <v>HP</v>
          </cell>
          <cell r="AI818" t="str">
            <v>6217</v>
          </cell>
          <cell r="AO818" t="str">
            <v>B</v>
          </cell>
          <cell r="AP818" t="str">
            <v>G</v>
          </cell>
          <cell r="AQ818" t="str">
            <v>H</v>
          </cell>
          <cell r="AR818" t="str">
            <v>84.5</v>
          </cell>
          <cell r="AS818" t="str">
            <v>1.15</v>
          </cell>
          <cell r="AT818" t="str">
            <v>95.4</v>
          </cell>
          <cell r="AV818" t="b">
            <v>0</v>
          </cell>
          <cell r="GK818" t="str">
            <v>Upper oil cap.14.0 qts.</v>
          </cell>
          <cell r="HD818" t="str">
            <v>Repair Shop</v>
          </cell>
          <cell r="HT818" t="b">
            <v>0</v>
          </cell>
          <cell r="HU818" t="str">
            <v>VALERO REFINING CO. BENICIA</v>
          </cell>
        </row>
        <row r="819">
          <cell r="A819">
            <v>1956</v>
          </cell>
          <cell r="B819" t="str">
            <v>VEM0885</v>
          </cell>
          <cell r="D819" t="str">
            <v>INTELSAT</v>
          </cell>
          <cell r="F819" t="str">
            <v>Marathon</v>
          </cell>
          <cell r="G819" t="str">
            <v>3VB184TTDR7026DJ L</v>
          </cell>
          <cell r="I819" t="str">
            <v>184T</v>
          </cell>
          <cell r="K819" t="str">
            <v>5</v>
          </cell>
          <cell r="L819" t="str">
            <v>1740</v>
          </cell>
          <cell r="M819" t="str">
            <v>TDR</v>
          </cell>
          <cell r="O819" t="str">
            <v>Full no Cord</v>
          </cell>
          <cell r="P819" t="str">
            <v>ODP</v>
          </cell>
          <cell r="R819" t="str">
            <v>Continuous</v>
          </cell>
          <cell r="S819" t="str">
            <v>No</v>
          </cell>
          <cell r="T819" t="str">
            <v>none no key</v>
          </cell>
          <cell r="U819" t="str">
            <v>40</v>
          </cell>
          <cell r="V819" t="str">
            <v>3</v>
          </cell>
          <cell r="W819" t="str">
            <v>60</v>
          </cell>
          <cell r="X819" t="str">
            <v>208-230/460</v>
          </cell>
          <cell r="Y819" t="str">
            <v>13.8-13.2/6.6</v>
          </cell>
          <cell r="AA819" t="str">
            <v>F1</v>
          </cell>
          <cell r="AD819" t="str">
            <v>0</v>
          </cell>
          <cell r="AG819" t="str">
            <v>HP</v>
          </cell>
          <cell r="AI819" t="str">
            <v>6206</v>
          </cell>
          <cell r="AJ819" t="str">
            <v>6203</v>
          </cell>
          <cell r="AO819" t="str">
            <v>B</v>
          </cell>
          <cell r="AP819" t="str">
            <v>K</v>
          </cell>
          <cell r="AQ819" t="str">
            <v>B</v>
          </cell>
          <cell r="AS819" t="str">
            <v>1.15</v>
          </cell>
          <cell r="AV819" t="b">
            <v>0</v>
          </cell>
          <cell r="EW819" t="str">
            <v>H124</v>
          </cell>
          <cell r="HD819" t="str">
            <v>Repair Shop</v>
          </cell>
          <cell r="HT819" t="b">
            <v>0</v>
          </cell>
          <cell r="HU819" t="str">
            <v>INTELSAT</v>
          </cell>
        </row>
        <row r="820">
          <cell r="A820">
            <v>1955</v>
          </cell>
          <cell r="B820" t="str">
            <v>VEM0884</v>
          </cell>
          <cell r="D820" t="str">
            <v>ROBERTSINSKEY</v>
          </cell>
          <cell r="O820" t="str">
            <v>Full no Cord</v>
          </cell>
          <cell r="T820" t="str">
            <v>key only</v>
          </cell>
          <cell r="AD820" t="str">
            <v>0</v>
          </cell>
          <cell r="AV820" t="b">
            <v>0</v>
          </cell>
          <cell r="HD820" t="str">
            <v>Repair Shop</v>
          </cell>
          <cell r="HT820" t="b">
            <v>0</v>
          </cell>
          <cell r="HU820" t="str">
            <v>Robert Sinskey Vineyards</v>
          </cell>
        </row>
        <row r="821">
          <cell r="A821">
            <v>1953</v>
          </cell>
          <cell r="B821" t="str">
            <v>VEM0882</v>
          </cell>
          <cell r="D821" t="str">
            <v>CONHAGEN</v>
          </cell>
          <cell r="AG821" t="str">
            <v>HP</v>
          </cell>
          <cell r="AV821" t="b">
            <v>0</v>
          </cell>
          <cell r="HD821" t="str">
            <v>Repair Shop</v>
          </cell>
          <cell r="HT821" t="b">
            <v>0</v>
          </cell>
          <cell r="HU821" t="str">
            <v>ALFRED CONHAGEN CO. OF CA</v>
          </cell>
        </row>
        <row r="822">
          <cell r="A822">
            <v>1952</v>
          </cell>
          <cell r="B822" t="str">
            <v>VEM0881</v>
          </cell>
          <cell r="D822" t="str">
            <v>CONHAGEN</v>
          </cell>
          <cell r="F822" t="str">
            <v>Baldor -Reliance</v>
          </cell>
          <cell r="H822" t="str">
            <v>F1202296591</v>
          </cell>
          <cell r="I822" t="str">
            <v>184HP</v>
          </cell>
          <cell r="K822" t="str">
            <v>5</v>
          </cell>
          <cell r="L822" t="str">
            <v>3460</v>
          </cell>
          <cell r="O822" t="str">
            <v>Full no Cord</v>
          </cell>
          <cell r="P822" t="str">
            <v>TEFC</v>
          </cell>
          <cell r="R822" t="str">
            <v>Continuous</v>
          </cell>
          <cell r="S822" t="str">
            <v>Yes</v>
          </cell>
          <cell r="T822" t="str">
            <v>key only</v>
          </cell>
          <cell r="U822" t="str">
            <v>40</v>
          </cell>
          <cell r="V822" t="str">
            <v>3</v>
          </cell>
          <cell r="W822" t="str">
            <v>60</v>
          </cell>
          <cell r="X822" t="str">
            <v>460</v>
          </cell>
          <cell r="Y822" t="str">
            <v>5.6</v>
          </cell>
          <cell r="AA822" t="str">
            <v>Vertical</v>
          </cell>
          <cell r="AG822" t="str">
            <v>HP</v>
          </cell>
          <cell r="AI822" t="str">
            <v>6307</v>
          </cell>
          <cell r="AJ822" t="str">
            <v>6206</v>
          </cell>
          <cell r="AO822" t="str">
            <v>B</v>
          </cell>
          <cell r="AP822" t="str">
            <v>J</v>
          </cell>
          <cell r="AQ822" t="str">
            <v>F</v>
          </cell>
          <cell r="AR822" t="str">
            <v>93</v>
          </cell>
          <cell r="AS822" t="str">
            <v>1.15</v>
          </cell>
          <cell r="AT822" t="str">
            <v>89.5</v>
          </cell>
          <cell r="AU822" t="str">
            <v>06G481X342G1</v>
          </cell>
          <cell r="AV822" t="b">
            <v>0</v>
          </cell>
          <cell r="EW822" t="str">
            <v>P-2724B</v>
          </cell>
          <cell r="HD822" t="str">
            <v>Repair Shop</v>
          </cell>
          <cell r="HT822" t="b">
            <v>0</v>
          </cell>
          <cell r="HU822" t="str">
            <v>ALFRED CONHAGEN CO. OF CA</v>
          </cell>
        </row>
        <row r="823">
          <cell r="A823">
            <v>1951</v>
          </cell>
          <cell r="B823" t="str">
            <v>VEM0880</v>
          </cell>
          <cell r="D823" t="str">
            <v>FRFLD-SUISUN</v>
          </cell>
          <cell r="AD823" t="str">
            <v>-1</v>
          </cell>
          <cell r="AG823" t="str">
            <v>HP</v>
          </cell>
          <cell r="AV823" t="b">
            <v>0</v>
          </cell>
          <cell r="HD823" t="str">
            <v>Repair Shop</v>
          </cell>
          <cell r="HT823" t="b">
            <v>0</v>
          </cell>
          <cell r="HU823" t="str">
            <v>FAIRFIELD-SUISUN SEWER DISTRICT</v>
          </cell>
        </row>
        <row r="824">
          <cell r="A824">
            <v>1950</v>
          </cell>
          <cell r="B824" t="str">
            <v>VEM0879</v>
          </cell>
          <cell r="D824" t="str">
            <v>CONHAGEN</v>
          </cell>
          <cell r="F824" t="str">
            <v>BALDOR/RELIANCE</v>
          </cell>
          <cell r="H824" t="str">
            <v>B573983-010</v>
          </cell>
          <cell r="I824" t="str">
            <v>364TSC</v>
          </cell>
          <cell r="K824" t="str">
            <v>60</v>
          </cell>
          <cell r="L824" t="str">
            <v>3560</v>
          </cell>
          <cell r="N824" t="str">
            <v>903</v>
          </cell>
          <cell r="O824" t="str">
            <v>Full no Cord</v>
          </cell>
          <cell r="P824" t="str">
            <v>TEFC</v>
          </cell>
          <cell r="R824" t="str">
            <v>Continuous</v>
          </cell>
          <cell r="S824" t="str">
            <v>LIFTING EYES</v>
          </cell>
          <cell r="T824" t="str">
            <v>NONE NO KEY</v>
          </cell>
          <cell r="U824" t="str">
            <v>40</v>
          </cell>
          <cell r="V824" t="str">
            <v>3</v>
          </cell>
          <cell r="W824" t="str">
            <v>60</v>
          </cell>
          <cell r="X824" t="str">
            <v>460</v>
          </cell>
          <cell r="Y824" t="str">
            <v>65.1</v>
          </cell>
          <cell r="AA824" t="str">
            <v>Vertical</v>
          </cell>
          <cell r="AD824" t="str">
            <v>0</v>
          </cell>
          <cell r="AG824" t="str">
            <v>HP</v>
          </cell>
          <cell r="AI824" t="str">
            <v>6313</v>
          </cell>
          <cell r="AJ824" t="str">
            <v>6313</v>
          </cell>
          <cell r="AO824" t="str">
            <v>B</v>
          </cell>
          <cell r="AQ824" t="str">
            <v>F</v>
          </cell>
          <cell r="AS824" t="str">
            <v>1.15</v>
          </cell>
          <cell r="AT824" t="str">
            <v>95.0</v>
          </cell>
          <cell r="AV824" t="b">
            <v>0</v>
          </cell>
          <cell r="HD824" t="str">
            <v>Repair Shop</v>
          </cell>
          <cell r="HT824" t="b">
            <v>0</v>
          </cell>
          <cell r="HU824" t="str">
            <v>ALFRED CONHAGEN CO. OF CA</v>
          </cell>
        </row>
        <row r="825">
          <cell r="A825">
            <v>1949</v>
          </cell>
          <cell r="B825" t="str">
            <v>VEM0878</v>
          </cell>
          <cell r="D825" t="str">
            <v>CONHAGEN</v>
          </cell>
          <cell r="F825" t="str">
            <v>TECO</v>
          </cell>
          <cell r="H825" t="str">
            <v>WAP7159128002</v>
          </cell>
          <cell r="I825" t="str">
            <v>326TSC</v>
          </cell>
          <cell r="K825" t="str">
            <v>50</v>
          </cell>
          <cell r="L825" t="str">
            <v>3550</v>
          </cell>
          <cell r="N825" t="str">
            <v>713</v>
          </cell>
          <cell r="O825" t="str">
            <v>Full no Cord</v>
          </cell>
          <cell r="P825" t="str">
            <v>TEFC</v>
          </cell>
          <cell r="R825" t="str">
            <v>Continuous</v>
          </cell>
          <cell r="T825" t="str">
            <v>NONE NO KEY</v>
          </cell>
          <cell r="U825" t="str">
            <v>40</v>
          </cell>
          <cell r="V825" t="str">
            <v>3</v>
          </cell>
          <cell r="W825" t="str">
            <v>60</v>
          </cell>
          <cell r="X825" t="str">
            <v>230/460</v>
          </cell>
          <cell r="Y825" t="str">
            <v>109.4/54.7</v>
          </cell>
          <cell r="AA825" t="str">
            <v>Vertical</v>
          </cell>
          <cell r="AD825" t="str">
            <v>0</v>
          </cell>
          <cell r="AG825" t="str">
            <v>HP</v>
          </cell>
          <cell r="AI825" t="str">
            <v>6312</v>
          </cell>
          <cell r="AJ825" t="str">
            <v>6212</v>
          </cell>
          <cell r="AO825" t="str">
            <v>B</v>
          </cell>
          <cell r="AQ825" t="str">
            <v>F</v>
          </cell>
          <cell r="AS825" t="str">
            <v>1.15</v>
          </cell>
          <cell r="AT825" t="str">
            <v>94.1</v>
          </cell>
          <cell r="AV825" t="b">
            <v>0</v>
          </cell>
          <cell r="EW825" t="str">
            <v>EPV0502C</v>
          </cell>
          <cell r="HD825" t="str">
            <v>Repair Shop</v>
          </cell>
          <cell r="HT825" t="b">
            <v>0</v>
          </cell>
          <cell r="HU825" t="str">
            <v>ALFRED CONHAGEN CO. OF CA</v>
          </cell>
        </row>
        <row r="826">
          <cell r="A826">
            <v>1948</v>
          </cell>
          <cell r="B826" t="str">
            <v>VEM0877</v>
          </cell>
          <cell r="D826" t="str">
            <v>P66</v>
          </cell>
          <cell r="F826" t="str">
            <v>Teco</v>
          </cell>
          <cell r="H826" t="str">
            <v>FB C10594-1</v>
          </cell>
          <cell r="I826" t="str">
            <v>445TS</v>
          </cell>
          <cell r="K826" t="str">
            <v>125</v>
          </cell>
          <cell r="L826" t="str">
            <v>3560</v>
          </cell>
          <cell r="M826" t="str">
            <v>AEHASK</v>
          </cell>
          <cell r="N826" t="str">
            <v>760</v>
          </cell>
          <cell r="O826" t="str">
            <v>Full no Cord</v>
          </cell>
          <cell r="R826" t="str">
            <v>Continuous</v>
          </cell>
          <cell r="S826" t="str">
            <v>Yes</v>
          </cell>
          <cell r="T826" t="str">
            <v>yes</v>
          </cell>
          <cell r="U826" t="str">
            <v>40</v>
          </cell>
          <cell r="V826" t="str">
            <v>3</v>
          </cell>
          <cell r="W826" t="str">
            <v>60</v>
          </cell>
          <cell r="X826" t="str">
            <v>2300/4160</v>
          </cell>
          <cell r="Y826" t="str">
            <v>28.6/15.8</v>
          </cell>
          <cell r="AA826" t="str">
            <v>F1</v>
          </cell>
          <cell r="AD826" t="str">
            <v>0</v>
          </cell>
          <cell r="AG826" t="str">
            <v>HP</v>
          </cell>
          <cell r="AI826" t="str">
            <v>6314</v>
          </cell>
          <cell r="AJ826" t="str">
            <v>6314</v>
          </cell>
          <cell r="AO826" t="str">
            <v>B</v>
          </cell>
          <cell r="AP826" t="str">
            <v>G</v>
          </cell>
          <cell r="AQ826" t="str">
            <v>F</v>
          </cell>
          <cell r="AS826" t="str">
            <v>1.15</v>
          </cell>
          <cell r="AV826" t="b">
            <v>0</v>
          </cell>
          <cell r="HD826" t="str">
            <v>Repair Shop</v>
          </cell>
          <cell r="HT826" t="b">
            <v>0</v>
          </cell>
          <cell r="HU826" t="str">
            <v>PHILLIPS 66</v>
          </cell>
        </row>
        <row r="827">
          <cell r="A827">
            <v>1947</v>
          </cell>
          <cell r="B827" t="str">
            <v>VEM0876</v>
          </cell>
          <cell r="D827" t="str">
            <v>SIXFLAGSHURRICA</v>
          </cell>
          <cell r="O827" t="str">
            <v>Half no Cord</v>
          </cell>
          <cell r="P827" t="str">
            <v>TEFC</v>
          </cell>
          <cell r="R827" t="str">
            <v>Continuous</v>
          </cell>
          <cell r="S827" t="str">
            <v>Yes</v>
          </cell>
          <cell r="V827" t="str">
            <v>3</v>
          </cell>
          <cell r="W827" t="str">
            <v>60</v>
          </cell>
          <cell r="X827" t="str">
            <v>230/460</v>
          </cell>
          <cell r="AA827" t="str">
            <v>F1</v>
          </cell>
          <cell r="AD827" t="str">
            <v>0</v>
          </cell>
          <cell r="AV827" t="b">
            <v>0</v>
          </cell>
          <cell r="HD827" t="str">
            <v>Repair Shop</v>
          </cell>
          <cell r="HT827" t="b">
            <v>0</v>
          </cell>
          <cell r="HU827" t="str">
            <v>SIX FLAGS HURRICANE HARBOR CONCORD</v>
          </cell>
        </row>
        <row r="828">
          <cell r="A828">
            <v>1946</v>
          </cell>
          <cell r="B828" t="str">
            <v>VEM0875</v>
          </cell>
          <cell r="D828" t="str">
            <v>FRFLD-SUISUN</v>
          </cell>
          <cell r="F828" t="str">
            <v>GE</v>
          </cell>
          <cell r="G828" t="str">
            <v>5K6267XH707A</v>
          </cell>
          <cell r="H828" t="str">
            <v>AMJI2II00</v>
          </cell>
          <cell r="I828" t="str">
            <v>B404TP16</v>
          </cell>
          <cell r="K828" t="str">
            <v>HP</v>
          </cell>
          <cell r="L828" t="str">
            <v>1170</v>
          </cell>
          <cell r="O828" t="str">
            <v>None</v>
          </cell>
          <cell r="P828" t="str">
            <v>ODP</v>
          </cell>
          <cell r="R828" t="str">
            <v>Continuous</v>
          </cell>
          <cell r="S828" t="str">
            <v>No</v>
          </cell>
          <cell r="U828" t="str">
            <v>60</v>
          </cell>
          <cell r="V828" t="str">
            <v>3</v>
          </cell>
          <cell r="W828" t="str">
            <v>60</v>
          </cell>
          <cell r="X828" t="str">
            <v>230/460</v>
          </cell>
          <cell r="Y828" t="str">
            <v>135.6/67.8</v>
          </cell>
          <cell r="AA828" t="str">
            <v>Vertical</v>
          </cell>
          <cell r="AG828" t="str">
            <v>50</v>
          </cell>
          <cell r="AO828" t="str">
            <v>B</v>
          </cell>
          <cell r="AP828" t="str">
            <v>G</v>
          </cell>
          <cell r="AS828" t="str">
            <v>1.15</v>
          </cell>
          <cell r="AV828" t="b">
            <v>0</v>
          </cell>
          <cell r="HD828" t="str">
            <v>Repair Shop</v>
          </cell>
          <cell r="HT828" t="b">
            <v>0</v>
          </cell>
          <cell r="HU828" t="str">
            <v>FAIRFIELD-SUISUN SEWER DISTRICT</v>
          </cell>
        </row>
        <row r="829">
          <cell r="A829">
            <v>1945</v>
          </cell>
          <cell r="B829" t="str">
            <v>VEM0874</v>
          </cell>
          <cell r="D829" t="str">
            <v>C&amp;H</v>
          </cell>
          <cell r="F829" t="str">
            <v>Westinghouse</v>
          </cell>
          <cell r="G829" t="str">
            <v>TBFC</v>
          </cell>
          <cell r="H829" t="str">
            <v>7610</v>
          </cell>
          <cell r="I829" t="str">
            <v>213TZ</v>
          </cell>
          <cell r="K829" t="str">
            <v>7.5</v>
          </cell>
          <cell r="L829" t="str">
            <v>1745</v>
          </cell>
          <cell r="O829" t="str">
            <v>Full no Cord</v>
          </cell>
          <cell r="P829" t="str">
            <v>TEFC</v>
          </cell>
          <cell r="R829" t="str">
            <v>Continuous</v>
          </cell>
          <cell r="S829" t="str">
            <v>Yes</v>
          </cell>
          <cell r="U829" t="str">
            <v>40</v>
          </cell>
          <cell r="V829" t="str">
            <v>3</v>
          </cell>
          <cell r="W829" t="str">
            <v>60</v>
          </cell>
          <cell r="X829" t="str">
            <v>230/460</v>
          </cell>
          <cell r="Y829" t="str">
            <v>20/10</v>
          </cell>
          <cell r="AA829" t="str">
            <v>F1</v>
          </cell>
          <cell r="AD829" t="str">
            <v>0</v>
          </cell>
          <cell r="AG829" t="str">
            <v>HP</v>
          </cell>
          <cell r="AQ829" t="str">
            <v>B</v>
          </cell>
          <cell r="AS829" t="str">
            <v>1.0</v>
          </cell>
          <cell r="AV829" t="b">
            <v>0</v>
          </cell>
          <cell r="EY829" t="str">
            <v>773B846G21</v>
          </cell>
          <cell r="GK829" t="str">
            <v>with pinion gear</v>
          </cell>
          <cell r="HD829" t="str">
            <v>Repair Shop</v>
          </cell>
          <cell r="HT829" t="b">
            <v>0</v>
          </cell>
          <cell r="HU829" t="str">
            <v>C &amp; H SUGAR CO.</v>
          </cell>
        </row>
        <row r="830">
          <cell r="A830">
            <v>1944</v>
          </cell>
          <cell r="B830" t="str">
            <v>FE1028</v>
          </cell>
          <cell r="D830" t="str">
            <v>NAPARECYCLING</v>
          </cell>
          <cell r="AD830" t="str">
            <v>0</v>
          </cell>
          <cell r="AG830" t="str">
            <v>HP</v>
          </cell>
          <cell r="AV830" t="b">
            <v>0</v>
          </cell>
          <cell r="HD830" t="str">
            <v>Field Service</v>
          </cell>
          <cell r="HT830" t="b">
            <v>0</v>
          </cell>
          <cell r="HU830" t="str">
            <v>NAPA RECYCLING &amp; WASTE</v>
          </cell>
        </row>
        <row r="831">
          <cell r="A831">
            <v>1943</v>
          </cell>
          <cell r="B831" t="str">
            <v>VEM0873</v>
          </cell>
          <cell r="D831" t="str">
            <v>CALELITEBUILD</v>
          </cell>
          <cell r="F831" t="str">
            <v>GE</v>
          </cell>
          <cell r="G831" t="str">
            <v>5K215DP6005</v>
          </cell>
          <cell r="H831" t="str">
            <v>BS195</v>
          </cell>
          <cell r="I831" t="str">
            <v>L215TP10</v>
          </cell>
          <cell r="K831" t="str">
            <v>10</v>
          </cell>
          <cell r="L831" t="str">
            <v>1740</v>
          </cell>
          <cell r="M831" t="str">
            <v>K</v>
          </cell>
          <cell r="O831" t="str">
            <v>Half no Cord</v>
          </cell>
          <cell r="P831" t="str">
            <v>ODP</v>
          </cell>
          <cell r="R831" t="str">
            <v>Continuous</v>
          </cell>
          <cell r="T831" t="str">
            <v>pump shaft</v>
          </cell>
          <cell r="U831" t="str">
            <v>40</v>
          </cell>
          <cell r="V831" t="str">
            <v>3</v>
          </cell>
          <cell r="W831" t="str">
            <v>60</v>
          </cell>
          <cell r="X831" t="str">
            <v>230/460</v>
          </cell>
          <cell r="Y831" t="str">
            <v>26.8/13.4</v>
          </cell>
          <cell r="AA831" t="str">
            <v>Vertical</v>
          </cell>
          <cell r="AG831" t="str">
            <v>HP</v>
          </cell>
          <cell r="AP831" t="str">
            <v>H</v>
          </cell>
          <cell r="AQ831" t="str">
            <v>B</v>
          </cell>
          <cell r="AS831" t="str">
            <v>1.15</v>
          </cell>
          <cell r="AV831" t="b">
            <v>0</v>
          </cell>
          <cell r="BN831" t="str">
            <v>DOL</v>
          </cell>
          <cell r="HD831" t="str">
            <v>Repair Shop</v>
          </cell>
          <cell r="HT831" t="b">
            <v>0</v>
          </cell>
          <cell r="HU831" t="str">
            <v>CAL ELITE BUILDERS</v>
          </cell>
        </row>
        <row r="832">
          <cell r="A832">
            <v>1941</v>
          </cell>
          <cell r="B832" t="str">
            <v>VEM0871</v>
          </cell>
          <cell r="D832" t="str">
            <v>VALERO</v>
          </cell>
          <cell r="AG832" t="str">
            <v>HP</v>
          </cell>
          <cell r="AV832" t="b">
            <v>0</v>
          </cell>
          <cell r="HD832" t="str">
            <v>Repair Shop</v>
          </cell>
          <cell r="HT832" t="b">
            <v>0</v>
          </cell>
          <cell r="HU832" t="str">
            <v>VALERO REFINING CO. BENICIA</v>
          </cell>
        </row>
        <row r="833">
          <cell r="A833">
            <v>1940</v>
          </cell>
          <cell r="B833" t="str">
            <v>VEM0870</v>
          </cell>
          <cell r="D833" t="str">
            <v>TIMET</v>
          </cell>
          <cell r="F833" t="str">
            <v>GE</v>
          </cell>
          <cell r="G833" t="str">
            <v>5K286AD205A</v>
          </cell>
          <cell r="I833" t="str">
            <v>286T</v>
          </cell>
          <cell r="K833" t="str">
            <v>30</v>
          </cell>
          <cell r="L833" t="str">
            <v>1760</v>
          </cell>
          <cell r="M833" t="str">
            <v>K</v>
          </cell>
          <cell r="O833" t="str">
            <v>Full no Cord</v>
          </cell>
          <cell r="R833" t="str">
            <v>Continuous</v>
          </cell>
          <cell r="S833" t="str">
            <v>Yes</v>
          </cell>
          <cell r="T833" t="str">
            <v>KEY ONLY</v>
          </cell>
          <cell r="U833" t="str">
            <v>40</v>
          </cell>
          <cell r="V833" t="str">
            <v>3</v>
          </cell>
          <cell r="W833" t="str">
            <v>60</v>
          </cell>
          <cell r="X833" t="str">
            <v>200 230/460</v>
          </cell>
          <cell r="Y833" t="str">
            <v>73.6/36.8</v>
          </cell>
          <cell r="AA833" t="str">
            <v>F1</v>
          </cell>
          <cell r="AG833" t="str">
            <v>HP</v>
          </cell>
          <cell r="AP833" t="str">
            <v>G</v>
          </cell>
          <cell r="AQ833" t="str">
            <v>B</v>
          </cell>
          <cell r="AS833" t="str">
            <v>1.15</v>
          </cell>
          <cell r="AT833" t="str">
            <v>91.0</v>
          </cell>
          <cell r="AV833" t="b">
            <v>0</v>
          </cell>
          <cell r="HD833" t="str">
            <v>Repair Shop</v>
          </cell>
          <cell r="HT833" t="b">
            <v>0</v>
          </cell>
          <cell r="HU833" t="str">
            <v>TIMET - TITANIUM METALS</v>
          </cell>
        </row>
        <row r="834">
          <cell r="A834">
            <v>1939</v>
          </cell>
          <cell r="B834" t="str">
            <v>VEM0869</v>
          </cell>
          <cell r="D834" t="str">
            <v>CONHAGEN</v>
          </cell>
          <cell r="F834" t="str">
            <v>GE</v>
          </cell>
          <cell r="G834" t="str">
            <v>5KS236SAE129A</v>
          </cell>
          <cell r="H834" t="str">
            <v>HLFT339S002</v>
          </cell>
          <cell r="I834" t="str">
            <v>L255HP10</v>
          </cell>
          <cell r="K834" t="str">
            <v>20</v>
          </cell>
          <cell r="L834" t="str">
            <v>3540</v>
          </cell>
          <cell r="M834" t="str">
            <v>KS</v>
          </cell>
          <cell r="N834" t="str">
            <v>350</v>
          </cell>
          <cell r="O834" t="str">
            <v>None</v>
          </cell>
          <cell r="P834" t="str">
            <v>TEFC</v>
          </cell>
          <cell r="R834" t="str">
            <v>Continuous</v>
          </cell>
          <cell r="S834" t="str">
            <v>Yes</v>
          </cell>
          <cell r="T834" t="str">
            <v>NONE NO KEY</v>
          </cell>
          <cell r="U834" t="str">
            <v>40</v>
          </cell>
          <cell r="V834" t="str">
            <v>3</v>
          </cell>
          <cell r="W834" t="str">
            <v>60</v>
          </cell>
          <cell r="X834" t="str">
            <v>230/460</v>
          </cell>
          <cell r="Y834" t="str">
            <v>45.2/22.6</v>
          </cell>
          <cell r="Z834" t="str">
            <v>No</v>
          </cell>
          <cell r="AA834" t="str">
            <v>Vertical</v>
          </cell>
          <cell r="AD834" t="str">
            <v>-1</v>
          </cell>
          <cell r="AG834" t="str">
            <v>HP</v>
          </cell>
          <cell r="AI834" t="str">
            <v>6309ZC3</v>
          </cell>
          <cell r="AJ834" t="str">
            <v>6309-2ZC3</v>
          </cell>
          <cell r="AO834" t="str">
            <v>B</v>
          </cell>
          <cell r="AP834" t="str">
            <v>G</v>
          </cell>
          <cell r="AQ834" t="str">
            <v>H</v>
          </cell>
          <cell r="AR834" t="str">
            <v>91.0</v>
          </cell>
          <cell r="AS834" t="str">
            <v>1.15</v>
          </cell>
          <cell r="AT834" t="str">
            <v>91</v>
          </cell>
          <cell r="AV834" t="b">
            <v>0</v>
          </cell>
          <cell r="EW834" t="str">
            <v>V966</v>
          </cell>
          <cell r="HD834" t="str">
            <v>Repair Shop</v>
          </cell>
          <cell r="HT834" t="b">
            <v>0</v>
          </cell>
          <cell r="HU834" t="str">
            <v>ALFRED CONHAGEN CO. OF CA</v>
          </cell>
        </row>
        <row r="835">
          <cell r="A835">
            <v>1938</v>
          </cell>
          <cell r="B835" t="str">
            <v>VEM0868</v>
          </cell>
          <cell r="D835" t="str">
            <v>CONHAGEN</v>
          </cell>
          <cell r="AG835" t="str">
            <v>HP</v>
          </cell>
          <cell r="AV835" t="b">
            <v>0</v>
          </cell>
          <cell r="HD835" t="str">
            <v>Repair Shop</v>
          </cell>
          <cell r="HT835" t="b">
            <v>0</v>
          </cell>
          <cell r="HU835" t="str">
            <v>ALFRED CONHAGEN CO. OF CA</v>
          </cell>
        </row>
        <row r="836">
          <cell r="A836">
            <v>1937</v>
          </cell>
          <cell r="B836" t="str">
            <v>VEM0867</v>
          </cell>
          <cell r="D836" t="str">
            <v>SWAN</v>
          </cell>
          <cell r="F836" t="str">
            <v>US Motors</v>
          </cell>
          <cell r="G836" t="str">
            <v>R-8894-00-171</v>
          </cell>
          <cell r="H836" t="str">
            <v>R2038213</v>
          </cell>
          <cell r="I836" t="str">
            <v>324VP</v>
          </cell>
          <cell r="K836" t="str">
            <v>40</v>
          </cell>
          <cell r="L836" t="str">
            <v>1765</v>
          </cell>
          <cell r="M836" t="str">
            <v>RV</v>
          </cell>
          <cell r="O836" t="str">
            <v>Full no Cord</v>
          </cell>
          <cell r="P836" t="str">
            <v>ODP</v>
          </cell>
          <cell r="R836" t="str">
            <v>Continuous</v>
          </cell>
          <cell r="T836" t="str">
            <v>yes</v>
          </cell>
          <cell r="U836" t="str">
            <v>60</v>
          </cell>
          <cell r="V836" t="str">
            <v>3</v>
          </cell>
          <cell r="W836" t="str">
            <v>60</v>
          </cell>
          <cell r="X836" t="str">
            <v>230/460</v>
          </cell>
          <cell r="Y836" t="str">
            <v>96/48</v>
          </cell>
          <cell r="AA836" t="str">
            <v>Vertical</v>
          </cell>
          <cell r="AG836" t="str">
            <v>HP</v>
          </cell>
          <cell r="AO836" t="str">
            <v>B</v>
          </cell>
          <cell r="AV836" t="b">
            <v>0</v>
          </cell>
          <cell r="HD836" t="str">
            <v>Repair Shop</v>
          </cell>
          <cell r="HT836" t="b">
            <v>0</v>
          </cell>
          <cell r="HU836" t="str">
            <v>SWAN ASSOCIATES, INC.</v>
          </cell>
        </row>
        <row r="837">
          <cell r="A837">
            <v>1936</v>
          </cell>
          <cell r="B837" t="str">
            <v>VEM0866</v>
          </cell>
          <cell r="D837" t="str">
            <v>CONHAGEN</v>
          </cell>
          <cell r="AG837" t="str">
            <v>HP</v>
          </cell>
          <cell r="AV837" t="b">
            <v>0</v>
          </cell>
          <cell r="HD837" t="str">
            <v>Repair Shop</v>
          </cell>
          <cell r="HT837" t="b">
            <v>0</v>
          </cell>
          <cell r="HU837" t="str">
            <v>ALFRED CONHAGEN CO. OF CA</v>
          </cell>
        </row>
        <row r="838">
          <cell r="A838">
            <v>1935</v>
          </cell>
          <cell r="B838" t="str">
            <v>VEM0865</v>
          </cell>
          <cell r="D838" t="str">
            <v>BAY AIR SERV</v>
          </cell>
          <cell r="F838" t="str">
            <v>Lincoln</v>
          </cell>
          <cell r="G838" t="str">
            <v>SD4P25TSCTS61YHG3L16</v>
          </cell>
          <cell r="I838" t="str">
            <v>284TSC</v>
          </cell>
          <cell r="K838" t="str">
            <v>25</v>
          </cell>
          <cell r="L838" t="str">
            <v>1775</v>
          </cell>
          <cell r="O838" t="str">
            <v>Half no Cord</v>
          </cell>
          <cell r="P838" t="str">
            <v>ODP</v>
          </cell>
          <cell r="R838" t="str">
            <v>Continuous</v>
          </cell>
          <cell r="S838" t="str">
            <v>No</v>
          </cell>
          <cell r="T838" t="str">
            <v>NONE NO KEY</v>
          </cell>
          <cell r="U838" t="str">
            <v>40</v>
          </cell>
          <cell r="V838" t="str">
            <v>3</v>
          </cell>
          <cell r="W838" t="str">
            <v>60</v>
          </cell>
          <cell r="X838" t="str">
            <v>230/460</v>
          </cell>
          <cell r="Y838" t="str">
            <v>134/68</v>
          </cell>
          <cell r="AA838" t="str">
            <v>Other</v>
          </cell>
          <cell r="AD838" t="str">
            <v>0</v>
          </cell>
          <cell r="AG838" t="str">
            <v>HP</v>
          </cell>
          <cell r="AI838" t="str">
            <v>6310</v>
          </cell>
          <cell r="AJ838" t="str">
            <v>6209</v>
          </cell>
          <cell r="AO838" t="str">
            <v>BC</v>
          </cell>
          <cell r="AP838" t="str">
            <v>G</v>
          </cell>
          <cell r="AQ838" t="str">
            <v>F</v>
          </cell>
          <cell r="AS838" t="str">
            <v>1.25</v>
          </cell>
          <cell r="AV838" t="b">
            <v>0</v>
          </cell>
          <cell r="HD838" t="str">
            <v>Repair Shop</v>
          </cell>
          <cell r="HT838" t="b">
            <v>0</v>
          </cell>
          <cell r="HU838" t="str">
            <v>BAY AIR  SERVICES</v>
          </cell>
        </row>
        <row r="839">
          <cell r="A839">
            <v>1933</v>
          </cell>
          <cell r="B839" t="str">
            <v>VEM0863</v>
          </cell>
          <cell r="D839" t="str">
            <v>VALERO</v>
          </cell>
          <cell r="F839" t="str">
            <v>Siemens</v>
          </cell>
          <cell r="I839" t="str">
            <v>284T</v>
          </cell>
          <cell r="K839" t="str">
            <v>25</v>
          </cell>
          <cell r="L839" t="str">
            <v>1765</v>
          </cell>
          <cell r="M839" t="str">
            <v>RGZESD</v>
          </cell>
          <cell r="O839" t="str">
            <v>None</v>
          </cell>
          <cell r="P839" t="str">
            <v>TEFC</v>
          </cell>
          <cell r="R839" t="str">
            <v>Continuous</v>
          </cell>
          <cell r="S839" t="str">
            <v>Yes</v>
          </cell>
          <cell r="T839" t="str">
            <v>NONE NO KEY</v>
          </cell>
          <cell r="U839" t="str">
            <v>40</v>
          </cell>
          <cell r="V839" t="str">
            <v>3</v>
          </cell>
          <cell r="W839" t="str">
            <v>60</v>
          </cell>
          <cell r="X839" t="str">
            <v>460</v>
          </cell>
          <cell r="Y839" t="str">
            <v>29.3</v>
          </cell>
          <cell r="AA839" t="str">
            <v>F1</v>
          </cell>
          <cell r="AD839" t="str">
            <v>0</v>
          </cell>
          <cell r="AG839" t="str">
            <v>HP</v>
          </cell>
          <cell r="AO839" t="str">
            <v>B</v>
          </cell>
          <cell r="AQ839" t="str">
            <v>F</v>
          </cell>
          <cell r="AT839" t="str">
            <v>93.0</v>
          </cell>
          <cell r="AV839" t="b">
            <v>0</v>
          </cell>
          <cell r="EX839" t="str">
            <v>ORD NO. 1LA02844SE41</v>
          </cell>
          <cell r="HD839" t="str">
            <v>Repair Shop</v>
          </cell>
          <cell r="HT839" t="b">
            <v>0</v>
          </cell>
          <cell r="HU839" t="str">
            <v>VALERO REFINING CO. BENICIA</v>
          </cell>
        </row>
        <row r="840">
          <cell r="A840">
            <v>1932</v>
          </cell>
          <cell r="B840" t="str">
            <v>VEM0862</v>
          </cell>
          <cell r="D840" t="str">
            <v>VALERO</v>
          </cell>
          <cell r="F840" t="str">
            <v>GE</v>
          </cell>
          <cell r="G840" t="str">
            <v>5KS284XAA208D3</v>
          </cell>
          <cell r="I840" t="str">
            <v>284T</v>
          </cell>
          <cell r="K840" t="str">
            <v>25</v>
          </cell>
          <cell r="L840" t="str">
            <v>1780</v>
          </cell>
          <cell r="M840" t="str">
            <v>KS</v>
          </cell>
          <cell r="N840" t="str">
            <v>460</v>
          </cell>
          <cell r="O840" t="str">
            <v>None</v>
          </cell>
          <cell r="P840" t="str">
            <v>TEFC</v>
          </cell>
          <cell r="R840" t="str">
            <v>Continuous</v>
          </cell>
          <cell r="S840" t="str">
            <v>Yes</v>
          </cell>
          <cell r="T840" t="str">
            <v>YES</v>
          </cell>
          <cell r="U840" t="str">
            <v>40</v>
          </cell>
          <cell r="V840" t="str">
            <v>3</v>
          </cell>
          <cell r="W840" t="str">
            <v>60</v>
          </cell>
          <cell r="X840" t="str">
            <v>460</v>
          </cell>
          <cell r="Y840" t="str">
            <v>29.1</v>
          </cell>
          <cell r="Z840" t="str">
            <v>Yes</v>
          </cell>
          <cell r="AA840" t="str">
            <v>F1</v>
          </cell>
          <cell r="AD840" t="str">
            <v>-1</v>
          </cell>
          <cell r="AG840" t="str">
            <v>HP</v>
          </cell>
          <cell r="AO840" t="str">
            <v>B</v>
          </cell>
          <cell r="AP840" t="str">
            <v>G</v>
          </cell>
          <cell r="AQ840" t="str">
            <v>F</v>
          </cell>
          <cell r="AR840" t="str">
            <v>86.0</v>
          </cell>
          <cell r="AS840" t="str">
            <v>1.15</v>
          </cell>
          <cell r="AT840" t="str">
            <v>93.6</v>
          </cell>
          <cell r="AV840" t="b">
            <v>0</v>
          </cell>
          <cell r="EW840" t="str">
            <v>M9443</v>
          </cell>
          <cell r="HD840" t="str">
            <v>Repair Shop</v>
          </cell>
          <cell r="HT840" t="b">
            <v>0</v>
          </cell>
          <cell r="HU840" t="str">
            <v>VALERO REFINING CO. BENICIA</v>
          </cell>
        </row>
        <row r="841">
          <cell r="A841">
            <v>1931</v>
          </cell>
          <cell r="B841" t="str">
            <v>VEM0861</v>
          </cell>
          <cell r="D841" t="str">
            <v>VALERO</v>
          </cell>
          <cell r="F841" t="str">
            <v>BALDOR-RELIANCE</v>
          </cell>
          <cell r="I841" t="str">
            <v>286T</v>
          </cell>
          <cell r="K841" t="str">
            <v>30</v>
          </cell>
          <cell r="L841" t="str">
            <v>1765</v>
          </cell>
          <cell r="N841" t="str">
            <v>468</v>
          </cell>
          <cell r="O841" t="str">
            <v>None</v>
          </cell>
          <cell r="P841" t="str">
            <v>TEFC</v>
          </cell>
          <cell r="R841" t="str">
            <v>Continuous</v>
          </cell>
          <cell r="S841" t="str">
            <v>Yes</v>
          </cell>
          <cell r="T841" t="str">
            <v>NONE NO KEY</v>
          </cell>
          <cell r="U841" t="str">
            <v>40</v>
          </cell>
          <cell r="V841" t="str">
            <v>3</v>
          </cell>
          <cell r="W841" t="str">
            <v>60</v>
          </cell>
          <cell r="X841" t="str">
            <v>460</v>
          </cell>
          <cell r="Y841" t="str">
            <v>36.1</v>
          </cell>
          <cell r="Z841" t="str">
            <v>No</v>
          </cell>
          <cell r="AA841" t="str">
            <v>F1</v>
          </cell>
          <cell r="AD841" t="str">
            <v>0</v>
          </cell>
          <cell r="AG841" t="str">
            <v>HP</v>
          </cell>
          <cell r="AI841" t="str">
            <v>NU 310</v>
          </cell>
          <cell r="AJ841" t="str">
            <v>6310</v>
          </cell>
          <cell r="AO841" t="str">
            <v>B</v>
          </cell>
          <cell r="AQ841" t="str">
            <v>F</v>
          </cell>
          <cell r="AR841" t="str">
            <v>83.1</v>
          </cell>
          <cell r="AT841" t="str">
            <v>93.6</v>
          </cell>
          <cell r="AU841" t="str">
            <v>P28G3411B</v>
          </cell>
          <cell r="AV841" t="b">
            <v>0</v>
          </cell>
          <cell r="EW841" t="str">
            <v>ECP64104TR-4</v>
          </cell>
          <cell r="HD841" t="str">
            <v>Repair Shop</v>
          </cell>
          <cell r="HT841" t="b">
            <v>0</v>
          </cell>
          <cell r="HU841" t="str">
            <v>VALERO REFINING CO. BENICIA</v>
          </cell>
        </row>
        <row r="842">
          <cell r="A842">
            <v>1930</v>
          </cell>
          <cell r="B842" t="str">
            <v>VEM0860</v>
          </cell>
          <cell r="D842" t="str">
            <v>VALERO</v>
          </cell>
          <cell r="F842" t="str">
            <v>BALDOR -RELIANCE</v>
          </cell>
          <cell r="H842" t="str">
            <v>C1507061122</v>
          </cell>
          <cell r="I842" t="str">
            <v>286T</v>
          </cell>
          <cell r="K842" t="str">
            <v>30</v>
          </cell>
          <cell r="L842" t="str">
            <v>1770</v>
          </cell>
          <cell r="N842" t="str">
            <v>460</v>
          </cell>
          <cell r="O842" t="str">
            <v>Half no Cord</v>
          </cell>
          <cell r="P842" t="str">
            <v>TEFC</v>
          </cell>
          <cell r="R842" t="str">
            <v>Continuous</v>
          </cell>
          <cell r="S842" t="str">
            <v>Yes</v>
          </cell>
          <cell r="T842" t="str">
            <v>NONE NO KEY</v>
          </cell>
          <cell r="U842" t="str">
            <v>40</v>
          </cell>
          <cell r="V842" t="str">
            <v>3</v>
          </cell>
          <cell r="W842" t="str">
            <v>60</v>
          </cell>
          <cell r="Y842" t="str">
            <v>36</v>
          </cell>
          <cell r="Z842" t="str">
            <v>Yes</v>
          </cell>
          <cell r="AA842" t="str">
            <v>F1</v>
          </cell>
          <cell r="AG842" t="str">
            <v>HP</v>
          </cell>
          <cell r="AI842" t="str">
            <v>6311</v>
          </cell>
          <cell r="AJ842" t="str">
            <v>6311</v>
          </cell>
          <cell r="AO842" t="str">
            <v>B</v>
          </cell>
          <cell r="AP842" t="str">
            <v>H</v>
          </cell>
          <cell r="AR842" t="str">
            <v>83</v>
          </cell>
          <cell r="AS842" t="str">
            <v>1.15</v>
          </cell>
          <cell r="AT842" t="str">
            <v>94.1</v>
          </cell>
          <cell r="AU842" t="str">
            <v>10H292X452</v>
          </cell>
          <cell r="AV842" t="b">
            <v>0</v>
          </cell>
          <cell r="EW842" t="str">
            <v>ECP4104T-4</v>
          </cell>
          <cell r="HD842" t="str">
            <v>Repair Shop</v>
          </cell>
          <cell r="HT842" t="b">
            <v>0</v>
          </cell>
          <cell r="HU842" t="str">
            <v>VALERO REFINING CO. BENICIA</v>
          </cell>
        </row>
        <row r="843">
          <cell r="A843">
            <v>1928</v>
          </cell>
          <cell r="B843" t="str">
            <v>VEM0858</v>
          </cell>
          <cell r="D843" t="str">
            <v>P66</v>
          </cell>
          <cell r="F843" t="str">
            <v>GE</v>
          </cell>
          <cell r="G843" t="str">
            <v>CD189AT</v>
          </cell>
          <cell r="H843" t="str">
            <v>KY8-1116-KY</v>
          </cell>
          <cell r="K843" t="str">
            <v>1.5</v>
          </cell>
          <cell r="L843" t="str">
            <v>1750</v>
          </cell>
          <cell r="M843" t="str">
            <v>CD189AT</v>
          </cell>
          <cell r="O843" t="str">
            <v>Full no Cord</v>
          </cell>
          <cell r="P843" t="str">
            <v>TENV</v>
          </cell>
          <cell r="Q843" t="str">
            <v>Yes</v>
          </cell>
          <cell r="R843" t="str">
            <v>Continuous</v>
          </cell>
          <cell r="S843" t="str">
            <v>No</v>
          </cell>
          <cell r="U843" t="str">
            <v>50</v>
          </cell>
          <cell r="X843" t="str">
            <v>120</v>
          </cell>
          <cell r="Y843" t="str">
            <v>10.7</v>
          </cell>
          <cell r="AA843" t="str">
            <v>F1</v>
          </cell>
          <cell r="AD843" t="str">
            <v>0</v>
          </cell>
          <cell r="AG843" t="str">
            <v>HP</v>
          </cell>
          <cell r="AP843" t="str">
            <v>D</v>
          </cell>
          <cell r="AQ843" t="str">
            <v>F</v>
          </cell>
          <cell r="AV843" t="b">
            <v>0</v>
          </cell>
          <cell r="ER843" t="str">
            <v>120</v>
          </cell>
          <cell r="ES843" t="str">
            <v>.75</v>
          </cell>
          <cell r="HD843" t="str">
            <v>Repair Shop</v>
          </cell>
          <cell r="HT843" t="b">
            <v>0</v>
          </cell>
          <cell r="HU843" t="str">
            <v>PHILLIPS 66</v>
          </cell>
        </row>
        <row r="844">
          <cell r="A844">
            <v>1927</v>
          </cell>
          <cell r="B844" t="str">
            <v>VEM0857</v>
          </cell>
          <cell r="D844" t="str">
            <v>CONHAGEN</v>
          </cell>
          <cell r="F844" t="str">
            <v>Westinghouse</v>
          </cell>
          <cell r="G844" t="str">
            <v>TAFC</v>
          </cell>
          <cell r="H844" t="str">
            <v>7403</v>
          </cell>
          <cell r="I844" t="str">
            <v>444HP</v>
          </cell>
          <cell r="K844" t="str">
            <v>125</v>
          </cell>
          <cell r="L844" t="str">
            <v>1780</v>
          </cell>
          <cell r="O844" t="str">
            <v>Full no Cord</v>
          </cell>
          <cell r="P844" t="str">
            <v>TEFC</v>
          </cell>
          <cell r="R844" t="str">
            <v>Continuous</v>
          </cell>
          <cell r="S844" t="str">
            <v>Yes</v>
          </cell>
          <cell r="T844" t="str">
            <v>none no key</v>
          </cell>
          <cell r="U844" t="str">
            <v>40</v>
          </cell>
          <cell r="V844" t="str">
            <v>3</v>
          </cell>
          <cell r="W844" t="str">
            <v>60</v>
          </cell>
          <cell r="X844" t="str">
            <v>460</v>
          </cell>
          <cell r="Y844" t="str">
            <v>144</v>
          </cell>
          <cell r="AA844" t="str">
            <v>Vertical</v>
          </cell>
          <cell r="AD844" t="str">
            <v>0</v>
          </cell>
          <cell r="AG844" t="str">
            <v>HP</v>
          </cell>
          <cell r="AO844" t="str">
            <v>A</v>
          </cell>
          <cell r="AP844" t="str">
            <v>G</v>
          </cell>
          <cell r="AS844" t="str">
            <v>1.0</v>
          </cell>
          <cell r="AV844" t="b">
            <v>0</v>
          </cell>
          <cell r="EY844" t="str">
            <v>73B74348</v>
          </cell>
          <cell r="HD844" t="str">
            <v>Repair Shop</v>
          </cell>
          <cell r="HT844" t="b">
            <v>0</v>
          </cell>
          <cell r="HU844" t="str">
            <v>ALFRED CONHAGEN CO. OF CA</v>
          </cell>
        </row>
        <row r="845">
          <cell r="A845">
            <v>1926</v>
          </cell>
          <cell r="B845" t="str">
            <v>VEM0856</v>
          </cell>
          <cell r="D845" t="str">
            <v>P66</v>
          </cell>
          <cell r="F845" t="str">
            <v>Reliance</v>
          </cell>
          <cell r="I845" t="str">
            <v>180LP</v>
          </cell>
          <cell r="K845" t="str">
            <v>3</v>
          </cell>
          <cell r="L845" t="str">
            <v>1755</v>
          </cell>
          <cell r="M845" t="str">
            <v>P</v>
          </cell>
          <cell r="O845" t="str">
            <v>Full no Cord</v>
          </cell>
          <cell r="P845" t="str">
            <v>TEFC</v>
          </cell>
          <cell r="R845" t="str">
            <v>Continuous</v>
          </cell>
          <cell r="T845" t="str">
            <v>none no key</v>
          </cell>
          <cell r="U845" t="str">
            <v>40</v>
          </cell>
          <cell r="V845" t="str">
            <v>3</v>
          </cell>
          <cell r="W845" t="str">
            <v>60</v>
          </cell>
          <cell r="X845" t="str">
            <v>460</v>
          </cell>
          <cell r="Y845" t="str">
            <v>3.8</v>
          </cell>
          <cell r="AA845" t="str">
            <v>Vertical</v>
          </cell>
          <cell r="AG845" t="str">
            <v>HP</v>
          </cell>
          <cell r="AO845" t="str">
            <v>B</v>
          </cell>
          <cell r="AP845" t="str">
            <v>K</v>
          </cell>
          <cell r="AQ845" t="str">
            <v>F</v>
          </cell>
          <cell r="AS845" t="str">
            <v>1.0</v>
          </cell>
          <cell r="AV845" t="b">
            <v>0</v>
          </cell>
          <cell r="EX845" t="str">
            <v>1YWB85585A2</v>
          </cell>
          <cell r="HD845" t="str">
            <v>Repair Shop</v>
          </cell>
          <cell r="HT845" t="b">
            <v>0</v>
          </cell>
          <cell r="HU845" t="str">
            <v>PHILLIPS 66</v>
          </cell>
        </row>
        <row r="846">
          <cell r="A846">
            <v>1925</v>
          </cell>
          <cell r="B846" t="str">
            <v>VEM0855</v>
          </cell>
          <cell r="D846" t="str">
            <v>P66</v>
          </cell>
          <cell r="F846" t="str">
            <v>Siemens</v>
          </cell>
          <cell r="I846" t="str">
            <v>284LPH</v>
          </cell>
          <cell r="K846" t="str">
            <v>25</v>
          </cell>
          <cell r="L846" t="str">
            <v>3535</v>
          </cell>
          <cell r="M846" t="str">
            <v>RGZEV-ILCH</v>
          </cell>
          <cell r="O846" t="str">
            <v>Full no Cord</v>
          </cell>
          <cell r="P846" t="str">
            <v>TEFC</v>
          </cell>
          <cell r="R846" t="str">
            <v>Continuous</v>
          </cell>
          <cell r="S846" t="str">
            <v>Yes</v>
          </cell>
          <cell r="T846" t="str">
            <v>NONE NO KEY</v>
          </cell>
          <cell r="U846" t="str">
            <v>40</v>
          </cell>
          <cell r="V846" t="str">
            <v>3</v>
          </cell>
          <cell r="W846" t="str">
            <v>60</v>
          </cell>
          <cell r="X846" t="str">
            <v>460</v>
          </cell>
          <cell r="Y846" t="str">
            <v>37/28.5</v>
          </cell>
          <cell r="AA846" t="str">
            <v>Vertical</v>
          </cell>
          <cell r="AD846" t="str">
            <v>0</v>
          </cell>
          <cell r="AG846" t="str">
            <v>HP</v>
          </cell>
          <cell r="AI846" t="str">
            <v>6311</v>
          </cell>
          <cell r="AJ846" t="str">
            <v>2-7309</v>
          </cell>
          <cell r="AO846" t="str">
            <v>B</v>
          </cell>
          <cell r="AP846" t="str">
            <v>G</v>
          </cell>
          <cell r="AS846" t="str">
            <v>1.15</v>
          </cell>
          <cell r="AT846" t="str">
            <v>88.5</v>
          </cell>
          <cell r="AV846" t="b">
            <v>0</v>
          </cell>
          <cell r="HD846" t="str">
            <v>Repair Shop</v>
          </cell>
          <cell r="HT846" t="b">
            <v>0</v>
          </cell>
          <cell r="HU846" t="str">
            <v>PHILLIPS 66</v>
          </cell>
        </row>
        <row r="847">
          <cell r="A847">
            <v>1924</v>
          </cell>
          <cell r="B847" t="str">
            <v>VEM0854</v>
          </cell>
          <cell r="D847" t="str">
            <v>P66CARBON</v>
          </cell>
          <cell r="AG847" t="str">
            <v>HP</v>
          </cell>
          <cell r="AV847" t="b">
            <v>0</v>
          </cell>
          <cell r="HD847" t="str">
            <v>Repair Shop</v>
          </cell>
          <cell r="HT847" t="b">
            <v>0</v>
          </cell>
          <cell r="HU847" t="str">
            <v>PHILLIPS 66 CARBON PLANT</v>
          </cell>
        </row>
        <row r="848">
          <cell r="A848">
            <v>1923</v>
          </cell>
          <cell r="B848" t="str">
            <v>VEM0853</v>
          </cell>
          <cell r="D848" t="str">
            <v>VALERO</v>
          </cell>
          <cell r="F848" t="str">
            <v>Baldor</v>
          </cell>
          <cell r="H848" t="str">
            <v>F1202296591</v>
          </cell>
          <cell r="I848" t="str">
            <v>184HP</v>
          </cell>
          <cell r="K848" t="str">
            <v>5</v>
          </cell>
          <cell r="L848" t="str">
            <v>3460</v>
          </cell>
          <cell r="O848" t="str">
            <v>Full no Cord</v>
          </cell>
          <cell r="P848" t="str">
            <v>TEFC</v>
          </cell>
          <cell r="R848" t="str">
            <v>Continuous</v>
          </cell>
          <cell r="S848" t="str">
            <v>Yes</v>
          </cell>
          <cell r="T848" t="str">
            <v>none</v>
          </cell>
          <cell r="U848" t="str">
            <v>40</v>
          </cell>
          <cell r="V848" t="str">
            <v>3</v>
          </cell>
          <cell r="W848" t="str">
            <v>60</v>
          </cell>
          <cell r="X848" t="str">
            <v>460</v>
          </cell>
          <cell r="Y848" t="str">
            <v>5.6</v>
          </cell>
          <cell r="Z848" t="str">
            <v>Yes</v>
          </cell>
          <cell r="AA848" t="str">
            <v>Vertical</v>
          </cell>
          <cell r="AD848" t="str">
            <v>0</v>
          </cell>
          <cell r="AG848" t="str">
            <v>HP</v>
          </cell>
          <cell r="AI848" t="str">
            <v>6307</v>
          </cell>
          <cell r="AJ848" t="str">
            <v>6206</v>
          </cell>
          <cell r="AO848" t="str">
            <v>B</v>
          </cell>
          <cell r="AP848" t="str">
            <v>J</v>
          </cell>
          <cell r="AQ848" t="str">
            <v>F</v>
          </cell>
          <cell r="AR848" t="str">
            <v>93</v>
          </cell>
          <cell r="AS848" t="str">
            <v>1.15</v>
          </cell>
          <cell r="AT848" t="str">
            <v>89.5</v>
          </cell>
          <cell r="AU848" t="str">
            <v>06G481X342G1</v>
          </cell>
          <cell r="AV848" t="b">
            <v>0</v>
          </cell>
          <cell r="EW848" t="str">
            <v>P-2724A</v>
          </cell>
          <cell r="HD848" t="str">
            <v>Repair Shop</v>
          </cell>
          <cell r="HT848" t="b">
            <v>0</v>
          </cell>
          <cell r="HU848" t="str">
            <v>VALERO REFINING CO. BENICIA</v>
          </cell>
        </row>
        <row r="849">
          <cell r="A849">
            <v>1922</v>
          </cell>
          <cell r="B849" t="str">
            <v>VEM0852</v>
          </cell>
          <cell r="D849" t="str">
            <v>CLEANHARBORS</v>
          </cell>
          <cell r="AD849" t="str">
            <v>0</v>
          </cell>
          <cell r="AG849" t="str">
            <v>HP</v>
          </cell>
          <cell r="AV849" t="b">
            <v>0</v>
          </cell>
          <cell r="HD849" t="str">
            <v>Repair Shop</v>
          </cell>
          <cell r="HT849" t="b">
            <v>0</v>
          </cell>
          <cell r="HU849" t="str">
            <v>CLEAN HARBORS</v>
          </cell>
        </row>
        <row r="850">
          <cell r="A850">
            <v>1921</v>
          </cell>
          <cell r="B850" t="str">
            <v>VEM0851</v>
          </cell>
          <cell r="D850" t="str">
            <v>P66</v>
          </cell>
          <cell r="F850" t="str">
            <v>Reliance</v>
          </cell>
          <cell r="I850" t="str">
            <v>445TS</v>
          </cell>
          <cell r="K850" t="str">
            <v>200</v>
          </cell>
          <cell r="L850" t="str">
            <v>3565</v>
          </cell>
          <cell r="M850" t="str">
            <v>P</v>
          </cell>
          <cell r="O850" t="str">
            <v>None</v>
          </cell>
          <cell r="P850" t="str">
            <v>TEFC</v>
          </cell>
          <cell r="R850" t="str">
            <v>Continuous</v>
          </cell>
          <cell r="S850" t="str">
            <v>Yes</v>
          </cell>
          <cell r="T850" t="str">
            <v>YES</v>
          </cell>
          <cell r="U850" t="str">
            <v>40</v>
          </cell>
          <cell r="V850" t="str">
            <v>3</v>
          </cell>
          <cell r="W850" t="str">
            <v>60</v>
          </cell>
          <cell r="X850" t="str">
            <v>460</v>
          </cell>
          <cell r="Y850" t="str">
            <v>213</v>
          </cell>
          <cell r="AA850" t="str">
            <v>F1</v>
          </cell>
          <cell r="AD850" t="str">
            <v>0</v>
          </cell>
          <cell r="AG850" t="str">
            <v>HP</v>
          </cell>
          <cell r="AO850" t="str">
            <v>B</v>
          </cell>
          <cell r="AP850" t="str">
            <v>G</v>
          </cell>
          <cell r="AS850" t="str">
            <v>1.15</v>
          </cell>
          <cell r="AV850" t="b">
            <v>0</v>
          </cell>
          <cell r="EX850" t="str">
            <v>1MAF21145-G1-WL</v>
          </cell>
          <cell r="HD850" t="str">
            <v>Repair Shop</v>
          </cell>
          <cell r="HT850" t="b">
            <v>0</v>
          </cell>
          <cell r="HU850" t="str">
            <v>PHILLIPS 66</v>
          </cell>
        </row>
        <row r="851">
          <cell r="A851">
            <v>1920</v>
          </cell>
          <cell r="B851" t="str">
            <v>VEM0850</v>
          </cell>
          <cell r="D851" t="str">
            <v>FAIRFIELDMAINT</v>
          </cell>
          <cell r="F851" t="str">
            <v>Baldor</v>
          </cell>
          <cell r="H851" t="str">
            <v>F1606014275</v>
          </cell>
          <cell r="I851" t="str">
            <v>184T</v>
          </cell>
          <cell r="K851" t="str">
            <v>5</v>
          </cell>
          <cell r="L851" t="str">
            <v>1750</v>
          </cell>
          <cell r="O851" t="str">
            <v>Full no Cord</v>
          </cell>
          <cell r="P851" t="str">
            <v>ODP</v>
          </cell>
          <cell r="R851" t="str">
            <v>Continuous</v>
          </cell>
          <cell r="T851" t="str">
            <v>YES</v>
          </cell>
          <cell r="U851" t="str">
            <v>40</v>
          </cell>
          <cell r="V851" t="str">
            <v>3</v>
          </cell>
          <cell r="W851" t="str">
            <v>60</v>
          </cell>
          <cell r="AA851" t="str">
            <v>F1</v>
          </cell>
          <cell r="AD851" t="str">
            <v>0</v>
          </cell>
          <cell r="AG851" t="str">
            <v>HP</v>
          </cell>
          <cell r="AI851" t="str">
            <v>6206</v>
          </cell>
          <cell r="AJ851" t="str">
            <v>6205</v>
          </cell>
          <cell r="AO851" t="str">
            <v>B</v>
          </cell>
          <cell r="AP851" t="str">
            <v>J</v>
          </cell>
          <cell r="AQ851" t="str">
            <v>F</v>
          </cell>
          <cell r="AR851" t="str">
            <v>80</v>
          </cell>
          <cell r="AS851" t="str">
            <v>1.15</v>
          </cell>
          <cell r="AT851" t="str">
            <v>89.5</v>
          </cell>
          <cell r="AU851" t="str">
            <v>36G548S270G1</v>
          </cell>
          <cell r="AV851" t="b">
            <v>0</v>
          </cell>
          <cell r="BC851" t="str">
            <v>40FT.</v>
          </cell>
          <cell r="BE851" t="str">
            <v>330</v>
          </cell>
          <cell r="BL851" t="str">
            <v>MAX  175</v>
          </cell>
          <cell r="EW851" t="str">
            <v>EM3218T</v>
          </cell>
          <cell r="HD851" t="str">
            <v>Repair Shop</v>
          </cell>
          <cell r="HT851" t="b">
            <v>0</v>
          </cell>
          <cell r="HU851" t="str">
            <v>CITY OF FAIRFIELD</v>
          </cell>
        </row>
        <row r="852">
          <cell r="A852">
            <v>1919</v>
          </cell>
          <cell r="B852" t="str">
            <v>VEM0849</v>
          </cell>
          <cell r="D852" t="str">
            <v>VALERO</v>
          </cell>
          <cell r="F852" t="str">
            <v>Siemens</v>
          </cell>
          <cell r="H852" t="str">
            <v>E10732-01-1</v>
          </cell>
          <cell r="I852" t="str">
            <v>5810Z</v>
          </cell>
          <cell r="K852" t="str">
            <v>600</v>
          </cell>
          <cell r="L852" t="str">
            <v>1784</v>
          </cell>
          <cell r="M852" t="str">
            <v>CGZV</v>
          </cell>
          <cell r="N852" t="str">
            <v>7500</v>
          </cell>
          <cell r="O852" t="str">
            <v>None</v>
          </cell>
          <cell r="P852" t="str">
            <v>TEFC</v>
          </cell>
          <cell r="R852" t="str">
            <v>Continuous</v>
          </cell>
          <cell r="T852" t="str">
            <v>yes</v>
          </cell>
          <cell r="V852" t="str">
            <v>3</v>
          </cell>
          <cell r="W852" t="str">
            <v>60</v>
          </cell>
          <cell r="X852" t="str">
            <v>4000</v>
          </cell>
          <cell r="Y852" t="str">
            <v>78.6</v>
          </cell>
          <cell r="AA852" t="str">
            <v>Vertical</v>
          </cell>
          <cell r="AD852" t="str">
            <v>0</v>
          </cell>
          <cell r="AG852" t="str">
            <v>HP</v>
          </cell>
          <cell r="AV852" t="b">
            <v>0</v>
          </cell>
          <cell r="GK852" t="str">
            <v>aux jb full</v>
          </cell>
          <cell r="GL852" t="str">
            <v>2nd aux jb full</v>
          </cell>
          <cell r="HD852" t="str">
            <v>Repair Shop</v>
          </cell>
          <cell r="HT852" t="b">
            <v>0</v>
          </cell>
          <cell r="HU852" t="str">
            <v>VALERO REFINING CO. BENICIA</v>
          </cell>
        </row>
        <row r="853">
          <cell r="A853">
            <v>1918</v>
          </cell>
          <cell r="B853" t="str">
            <v>VEM0848</v>
          </cell>
          <cell r="D853" t="str">
            <v>P66</v>
          </cell>
          <cell r="F853" t="str">
            <v>US Motors</v>
          </cell>
          <cell r="G853" t="str">
            <v>7969B</v>
          </cell>
          <cell r="I853" t="str">
            <v>256T</v>
          </cell>
          <cell r="K853" t="str">
            <v>20</v>
          </cell>
          <cell r="L853" t="str">
            <v>1770</v>
          </cell>
          <cell r="M853" t="str">
            <v>TCE</v>
          </cell>
          <cell r="O853" t="str">
            <v>None</v>
          </cell>
          <cell r="P853" t="str">
            <v>TEFC</v>
          </cell>
          <cell r="R853" t="str">
            <v>Continuous</v>
          </cell>
          <cell r="S853" t="str">
            <v>Yes</v>
          </cell>
          <cell r="T853" t="str">
            <v>none no key</v>
          </cell>
          <cell r="U853" t="str">
            <v>40</v>
          </cell>
          <cell r="V853" t="str">
            <v>3</v>
          </cell>
          <cell r="W853" t="str">
            <v>60</v>
          </cell>
          <cell r="X853" t="str">
            <v>230/460</v>
          </cell>
          <cell r="Y853" t="str">
            <v>49/24</v>
          </cell>
          <cell r="AA853" t="str">
            <v>F1</v>
          </cell>
          <cell r="AD853" t="str">
            <v>0</v>
          </cell>
          <cell r="AG853" t="str">
            <v>HP</v>
          </cell>
          <cell r="AI853" t="str">
            <v>6309</v>
          </cell>
          <cell r="AJ853" t="str">
            <v>6207</v>
          </cell>
          <cell r="AO853" t="str">
            <v>B</v>
          </cell>
          <cell r="AQ853" t="str">
            <v>F</v>
          </cell>
          <cell r="AS853" t="str">
            <v>1.15</v>
          </cell>
          <cell r="AV853" t="b">
            <v>0</v>
          </cell>
          <cell r="EX853" t="str">
            <v>X08X122R101M</v>
          </cell>
          <cell r="HD853" t="str">
            <v>Repair Shop</v>
          </cell>
          <cell r="HT853" t="b">
            <v>0</v>
          </cell>
          <cell r="HU853" t="str">
            <v>PHILLIPS 66</v>
          </cell>
        </row>
        <row r="854">
          <cell r="A854">
            <v>1917</v>
          </cell>
          <cell r="B854" t="str">
            <v>VEM0847</v>
          </cell>
          <cell r="D854" t="str">
            <v>P66</v>
          </cell>
          <cell r="F854" t="str">
            <v>Baldor</v>
          </cell>
          <cell r="H854" t="str">
            <v>Z1211280071</v>
          </cell>
          <cell r="I854" t="str">
            <v>256T</v>
          </cell>
          <cell r="K854" t="str">
            <v>20</v>
          </cell>
          <cell r="L854" t="str">
            <v>1765</v>
          </cell>
          <cell r="O854" t="str">
            <v>Full no Cord</v>
          </cell>
          <cell r="P854" t="str">
            <v>TEFC</v>
          </cell>
          <cell r="R854" t="str">
            <v>Continuous</v>
          </cell>
          <cell r="S854" t="str">
            <v>Yes</v>
          </cell>
          <cell r="T854" t="str">
            <v>flush</v>
          </cell>
          <cell r="U854" t="str">
            <v>40</v>
          </cell>
          <cell r="V854" t="str">
            <v>3</v>
          </cell>
          <cell r="W854" t="str">
            <v>60</v>
          </cell>
          <cell r="X854" t="str">
            <v>230/460</v>
          </cell>
          <cell r="Y854" t="str">
            <v>48/24</v>
          </cell>
          <cell r="AA854" t="str">
            <v>F1</v>
          </cell>
          <cell r="AD854" t="str">
            <v>0</v>
          </cell>
          <cell r="AG854" t="str">
            <v>HP</v>
          </cell>
          <cell r="AI854" t="str">
            <v>6309</v>
          </cell>
          <cell r="AJ854" t="str">
            <v>6208</v>
          </cell>
          <cell r="AO854" t="str">
            <v>B</v>
          </cell>
          <cell r="AP854" t="str">
            <v>H</v>
          </cell>
          <cell r="AQ854" t="str">
            <v>F</v>
          </cell>
          <cell r="AR854" t="str">
            <v>84</v>
          </cell>
          <cell r="AT854" t="str">
            <v>93</v>
          </cell>
          <cell r="AU854" t="str">
            <v>09P011Y583C1</v>
          </cell>
          <cell r="AV854" t="b">
            <v>0</v>
          </cell>
          <cell r="EW854" t="str">
            <v>EM2334T</v>
          </cell>
          <cell r="HD854" t="str">
            <v>Repair Shop</v>
          </cell>
          <cell r="HT854" t="b">
            <v>0</v>
          </cell>
          <cell r="HU854" t="str">
            <v>PHILLIPS 66</v>
          </cell>
        </row>
        <row r="855">
          <cell r="A855">
            <v>1916</v>
          </cell>
          <cell r="B855" t="str">
            <v>VEM0846</v>
          </cell>
          <cell r="D855" t="str">
            <v>P66</v>
          </cell>
          <cell r="AG855" t="str">
            <v>HP</v>
          </cell>
          <cell r="AV855" t="b">
            <v>0</v>
          </cell>
          <cell r="HD855" t="str">
            <v>Repair Shop</v>
          </cell>
          <cell r="HT855" t="b">
            <v>0</v>
          </cell>
          <cell r="HU855" t="str">
            <v>PHILLIPS 66</v>
          </cell>
        </row>
        <row r="856">
          <cell r="A856">
            <v>1915</v>
          </cell>
          <cell r="B856" t="str">
            <v>VEM0845</v>
          </cell>
          <cell r="D856" t="str">
            <v>P66</v>
          </cell>
          <cell r="F856" t="str">
            <v>Reliance</v>
          </cell>
          <cell r="I856" t="str">
            <v>444TS</v>
          </cell>
          <cell r="K856" t="str">
            <v>125</v>
          </cell>
          <cell r="L856" t="str">
            <v>3570</v>
          </cell>
          <cell r="M856" t="str">
            <v>P</v>
          </cell>
          <cell r="O856" t="str">
            <v>Full no Cord</v>
          </cell>
          <cell r="P856" t="str">
            <v>TEFC</v>
          </cell>
          <cell r="Q856" t="str">
            <v>NONE</v>
          </cell>
          <cell r="R856" t="str">
            <v>Continuous</v>
          </cell>
          <cell r="S856" t="str">
            <v>Yes</v>
          </cell>
          <cell r="T856" t="str">
            <v>NONE</v>
          </cell>
          <cell r="U856" t="str">
            <v>40</v>
          </cell>
          <cell r="V856" t="str">
            <v>3</v>
          </cell>
          <cell r="W856" t="str">
            <v>60</v>
          </cell>
          <cell r="X856" t="str">
            <v>460</v>
          </cell>
          <cell r="Z856" t="str">
            <v>Yes</v>
          </cell>
          <cell r="AA856" t="str">
            <v>F1</v>
          </cell>
          <cell r="AG856" t="str">
            <v>HP</v>
          </cell>
          <cell r="AI856" t="str">
            <v>6313</v>
          </cell>
          <cell r="AJ856" t="str">
            <v>6313</v>
          </cell>
          <cell r="AO856" t="str">
            <v>B</v>
          </cell>
          <cell r="AP856" t="str">
            <v>F</v>
          </cell>
          <cell r="AQ856" t="str">
            <v>F</v>
          </cell>
          <cell r="AR856" t="str">
            <v>90.7</v>
          </cell>
          <cell r="AS856" t="str">
            <v>1.15</v>
          </cell>
          <cell r="AT856" t="str">
            <v>95</v>
          </cell>
          <cell r="AV856" t="b">
            <v>0</v>
          </cell>
          <cell r="AW856" t="str">
            <v>136</v>
          </cell>
          <cell r="EX856" t="str">
            <v>1MAF23894-G1-SM</v>
          </cell>
          <cell r="HD856" t="str">
            <v>Repair Shop</v>
          </cell>
          <cell r="HT856" t="b">
            <v>0</v>
          </cell>
          <cell r="HU856" t="str">
            <v>PHILLIPS 66</v>
          </cell>
        </row>
        <row r="857">
          <cell r="A857">
            <v>1914</v>
          </cell>
          <cell r="B857" t="str">
            <v>VEM0844</v>
          </cell>
          <cell r="D857" t="str">
            <v>P66</v>
          </cell>
          <cell r="F857" t="str">
            <v>Siemens</v>
          </cell>
          <cell r="I857" t="str">
            <v>284T</v>
          </cell>
          <cell r="K857" t="str">
            <v>25</v>
          </cell>
          <cell r="L857" t="str">
            <v>1765</v>
          </cell>
          <cell r="M857" t="str">
            <v>RGZESDX</v>
          </cell>
          <cell r="N857" t="str">
            <v>380</v>
          </cell>
          <cell r="O857" t="str">
            <v>Full no Cord</v>
          </cell>
          <cell r="P857" t="str">
            <v>TEFC</v>
          </cell>
          <cell r="Q857" t="str">
            <v>NONE</v>
          </cell>
          <cell r="R857" t="str">
            <v>Continuous</v>
          </cell>
          <cell r="S857" t="str">
            <v>Yes</v>
          </cell>
          <cell r="T857" t="str">
            <v>NONE</v>
          </cell>
          <cell r="U857" t="str">
            <v>40</v>
          </cell>
          <cell r="V857" t="str">
            <v>3</v>
          </cell>
          <cell r="W857" t="str">
            <v>60</v>
          </cell>
          <cell r="X857" t="str">
            <v>460</v>
          </cell>
          <cell r="Z857" t="str">
            <v>Yes</v>
          </cell>
          <cell r="AA857" t="str">
            <v>F1</v>
          </cell>
          <cell r="AG857" t="str">
            <v>HP</v>
          </cell>
          <cell r="AI857" t="str">
            <v>6310</v>
          </cell>
          <cell r="AJ857" t="str">
            <v>6310</v>
          </cell>
          <cell r="AO857" t="str">
            <v>B</v>
          </cell>
          <cell r="AP857" t="str">
            <v>G</v>
          </cell>
          <cell r="AQ857" t="str">
            <v>F</v>
          </cell>
          <cell r="AS857" t="str">
            <v>1.15</v>
          </cell>
          <cell r="AT857" t="str">
            <v>93</v>
          </cell>
          <cell r="AV857" t="b">
            <v>0</v>
          </cell>
          <cell r="AW857" t="str">
            <v>29</v>
          </cell>
          <cell r="GK857" t="str">
            <v>PART#1LA02844IJ14</v>
          </cell>
          <cell r="HD857" t="str">
            <v>Repair Shop</v>
          </cell>
          <cell r="HT857" t="b">
            <v>0</v>
          </cell>
          <cell r="HU857" t="str">
            <v>PHILLIPS 66</v>
          </cell>
        </row>
        <row r="858">
          <cell r="A858">
            <v>1913</v>
          </cell>
          <cell r="B858" t="str">
            <v>VEM0843</v>
          </cell>
          <cell r="D858" t="str">
            <v>CONHAGEN</v>
          </cell>
          <cell r="F858" t="str">
            <v>Reliance</v>
          </cell>
          <cell r="I858" t="str">
            <v>256TPZ</v>
          </cell>
          <cell r="K858" t="str">
            <v>20</v>
          </cell>
          <cell r="L858" t="str">
            <v>3510</v>
          </cell>
          <cell r="M858" t="str">
            <v>P</v>
          </cell>
          <cell r="O858" t="str">
            <v>None</v>
          </cell>
          <cell r="P858" t="str">
            <v>TEFC</v>
          </cell>
          <cell r="R858" t="str">
            <v>Continuous</v>
          </cell>
          <cell r="S858" t="str">
            <v>Yes</v>
          </cell>
          <cell r="T858" t="str">
            <v>none</v>
          </cell>
          <cell r="U858" t="str">
            <v>40</v>
          </cell>
          <cell r="V858" t="str">
            <v>3</v>
          </cell>
          <cell r="W858" t="str">
            <v>60</v>
          </cell>
          <cell r="Y858" t="str">
            <v>50/25</v>
          </cell>
          <cell r="AA858" t="str">
            <v>Vertical</v>
          </cell>
          <cell r="AG858" t="str">
            <v>HP</v>
          </cell>
          <cell r="AO858" t="str">
            <v>B</v>
          </cell>
          <cell r="AP858" t="str">
            <v>F</v>
          </cell>
          <cell r="AQ858" t="str">
            <v>F</v>
          </cell>
          <cell r="AV858" t="b">
            <v>0</v>
          </cell>
          <cell r="EX858" t="str">
            <v>P25G6638A-G1-HZ</v>
          </cell>
          <cell r="HD858" t="str">
            <v>Repair Shop</v>
          </cell>
          <cell r="HT858" t="b">
            <v>0</v>
          </cell>
          <cell r="HU858" t="str">
            <v>ALFRED CONHAGEN CO. OF CA</v>
          </cell>
        </row>
        <row r="859">
          <cell r="A859">
            <v>1912</v>
          </cell>
          <cell r="B859" t="str">
            <v>VEM0842</v>
          </cell>
          <cell r="D859" t="str">
            <v>CERTCOATING</v>
          </cell>
          <cell r="F859" t="str">
            <v>Leeson</v>
          </cell>
          <cell r="G859" t="str">
            <v>184K17FC60</v>
          </cell>
          <cell r="I859" t="str">
            <v>184TC</v>
          </cell>
          <cell r="K859" t="str">
            <v>5</v>
          </cell>
          <cell r="L859" t="str">
            <v>1740</v>
          </cell>
          <cell r="O859" t="str">
            <v>Full no Cord</v>
          </cell>
          <cell r="P859" t="str">
            <v>TEFC</v>
          </cell>
          <cell r="R859" t="str">
            <v>Continuous</v>
          </cell>
          <cell r="T859" t="str">
            <v>key only</v>
          </cell>
          <cell r="U859" t="str">
            <v>40</v>
          </cell>
          <cell r="V859" t="str">
            <v>1</v>
          </cell>
          <cell r="W859" t="str">
            <v>60</v>
          </cell>
          <cell r="X859" t="str">
            <v>230</v>
          </cell>
          <cell r="Y859" t="str">
            <v>23</v>
          </cell>
          <cell r="AA859" t="str">
            <v>Other</v>
          </cell>
          <cell r="AD859" t="str">
            <v>0</v>
          </cell>
          <cell r="AG859" t="str">
            <v>HP</v>
          </cell>
          <cell r="AO859" t="str">
            <v>L</v>
          </cell>
          <cell r="AP859" t="str">
            <v>H</v>
          </cell>
          <cell r="AR859" t="str">
            <v>92</v>
          </cell>
          <cell r="AS859" t="str">
            <v>1.0</v>
          </cell>
          <cell r="AT859" t="str">
            <v>81</v>
          </cell>
          <cell r="AV859" t="b">
            <v>0</v>
          </cell>
          <cell r="EW859" t="str">
            <v>131540.00</v>
          </cell>
          <cell r="HD859" t="str">
            <v>Repair Shop</v>
          </cell>
          <cell r="HT859" t="b">
            <v>0</v>
          </cell>
          <cell r="HU859" t="str">
            <v>CERTIFIED COATING CO</v>
          </cell>
        </row>
        <row r="860">
          <cell r="A860">
            <v>1911</v>
          </cell>
          <cell r="B860" t="str">
            <v>VEM0841</v>
          </cell>
          <cell r="D860" t="str">
            <v>CERTCOATING</v>
          </cell>
          <cell r="F860" t="str">
            <v>LOMARDINI</v>
          </cell>
          <cell r="K860" t="str">
            <v>7.5</v>
          </cell>
          <cell r="L860" t="str">
            <v>1800</v>
          </cell>
          <cell r="M860" t="str">
            <v>LT 3-130/4</v>
          </cell>
          <cell r="N860" t="str">
            <v>46   KGS&gt;</v>
          </cell>
          <cell r="U860" t="str">
            <v>40</v>
          </cell>
          <cell r="V860" t="str">
            <v>1</v>
          </cell>
          <cell r="W860" t="str">
            <v>60</v>
          </cell>
          <cell r="X860" t="str">
            <v>120/240</v>
          </cell>
          <cell r="Y860" t="str">
            <v>62.5/31.2</v>
          </cell>
          <cell r="AA860" t="str">
            <v>Other</v>
          </cell>
          <cell r="AD860" t="str">
            <v>0</v>
          </cell>
          <cell r="AG860" t="str">
            <v>KVA</v>
          </cell>
          <cell r="AI860" t="str">
            <v>62052RS</v>
          </cell>
          <cell r="AJ860" t="str">
            <v>62052RS</v>
          </cell>
          <cell r="AQ860" t="str">
            <v>H</v>
          </cell>
          <cell r="AV860" t="b">
            <v>0</v>
          </cell>
          <cell r="EX860" t="str">
            <v>0001314603</v>
          </cell>
          <cell r="HD860" t="str">
            <v>Repair Shop</v>
          </cell>
          <cell r="HT860" t="b">
            <v>0</v>
          </cell>
          <cell r="HU860" t="str">
            <v>CERTIFIED COATING CO</v>
          </cell>
        </row>
        <row r="861">
          <cell r="A861">
            <v>1910</v>
          </cell>
          <cell r="B861" t="str">
            <v>VEM0840</v>
          </cell>
          <cell r="D861" t="str">
            <v>VALERO</v>
          </cell>
          <cell r="F861" t="str">
            <v>Reliance</v>
          </cell>
          <cell r="I861" t="str">
            <v>X184T</v>
          </cell>
          <cell r="K861" t="str">
            <v>5</v>
          </cell>
          <cell r="L861" t="str">
            <v>3505</v>
          </cell>
          <cell r="M861" t="str">
            <v>P</v>
          </cell>
          <cell r="N861" t="str">
            <v>116</v>
          </cell>
          <cell r="O861" t="str">
            <v>Full no Cord</v>
          </cell>
          <cell r="P861" t="str">
            <v>EXP</v>
          </cell>
          <cell r="R861" t="str">
            <v>Continuous</v>
          </cell>
          <cell r="S861" t="str">
            <v>Yes</v>
          </cell>
          <cell r="T861" t="str">
            <v>YES</v>
          </cell>
          <cell r="U861" t="str">
            <v>40</v>
          </cell>
          <cell r="V861" t="str">
            <v>3</v>
          </cell>
          <cell r="W861" t="str">
            <v>60</v>
          </cell>
          <cell r="X861" t="str">
            <v>230/460</v>
          </cell>
          <cell r="Y861" t="str">
            <v>12.6/6.10</v>
          </cell>
          <cell r="AA861" t="str">
            <v>F1</v>
          </cell>
          <cell r="AD861" t="str">
            <v>0</v>
          </cell>
          <cell r="AG861" t="str">
            <v>HP</v>
          </cell>
          <cell r="AO861" t="str">
            <v>B</v>
          </cell>
          <cell r="AP861" t="str">
            <v>H</v>
          </cell>
          <cell r="AQ861" t="str">
            <v>B</v>
          </cell>
          <cell r="AR861" t="str">
            <v>87.8</v>
          </cell>
          <cell r="AS861" t="str">
            <v>1.00</v>
          </cell>
          <cell r="AT861" t="str">
            <v>87.5</v>
          </cell>
          <cell r="AV861" t="b">
            <v>0</v>
          </cell>
          <cell r="EX861" t="str">
            <v>P18G4801-5   L  H  AJ</v>
          </cell>
          <cell r="HD861" t="str">
            <v>Repair Shop</v>
          </cell>
          <cell r="HT861" t="b">
            <v>0</v>
          </cell>
          <cell r="HU861" t="str">
            <v>VALERO REFINING CO. BENICIA</v>
          </cell>
        </row>
        <row r="862">
          <cell r="A862">
            <v>1909</v>
          </cell>
          <cell r="B862" t="str">
            <v>VEM0839</v>
          </cell>
          <cell r="D862" t="str">
            <v>P66</v>
          </cell>
          <cell r="F862" t="str">
            <v>Reliance</v>
          </cell>
          <cell r="I862" t="str">
            <v>326TS</v>
          </cell>
          <cell r="K862" t="str">
            <v>50</v>
          </cell>
          <cell r="L862" t="str">
            <v>3560</v>
          </cell>
          <cell r="M862" t="str">
            <v>P</v>
          </cell>
          <cell r="N862" t="str">
            <v>650</v>
          </cell>
          <cell r="O862" t="str">
            <v>Full no Cord</v>
          </cell>
          <cell r="P862" t="str">
            <v>TEFC</v>
          </cell>
          <cell r="R862" t="str">
            <v>Continuous</v>
          </cell>
          <cell r="S862" t="str">
            <v>Yes</v>
          </cell>
          <cell r="T862" t="str">
            <v>flush</v>
          </cell>
          <cell r="U862" t="str">
            <v>40</v>
          </cell>
          <cell r="V862" t="str">
            <v>3</v>
          </cell>
          <cell r="W862" t="str">
            <v>60</v>
          </cell>
          <cell r="X862" t="str">
            <v>460</v>
          </cell>
          <cell r="Y862" t="str">
            <v>55.5</v>
          </cell>
          <cell r="Z862" t="str">
            <v>Yes</v>
          </cell>
          <cell r="AA862" t="str">
            <v>F1</v>
          </cell>
          <cell r="AG862" t="str">
            <v>HP</v>
          </cell>
          <cell r="AP862" t="str">
            <v>G</v>
          </cell>
          <cell r="AQ862" t="str">
            <v>F</v>
          </cell>
          <cell r="AR862" t="str">
            <v>89.2</v>
          </cell>
          <cell r="AS862" t="str">
            <v>1.15</v>
          </cell>
          <cell r="AT862" t="str">
            <v>94.1</v>
          </cell>
          <cell r="AV862" t="b">
            <v>0</v>
          </cell>
          <cell r="EX862" t="str">
            <v>7332606-001</v>
          </cell>
          <cell r="HD862" t="str">
            <v>Repair Shop</v>
          </cell>
          <cell r="HT862" t="b">
            <v>0</v>
          </cell>
          <cell r="HU862" t="str">
            <v>PHILLIPS 66</v>
          </cell>
        </row>
        <row r="863">
          <cell r="A863">
            <v>1908</v>
          </cell>
          <cell r="B863" t="str">
            <v>VEM0838</v>
          </cell>
          <cell r="D863" t="str">
            <v>CONHAGEN</v>
          </cell>
          <cell r="F863" t="str">
            <v>Baldor</v>
          </cell>
          <cell r="H863" t="str">
            <v>F0911045979</v>
          </cell>
          <cell r="I863" t="str">
            <v>184TD</v>
          </cell>
          <cell r="K863" t="str">
            <v>3</v>
          </cell>
          <cell r="L863" t="str">
            <v>1750</v>
          </cell>
          <cell r="O863" t="str">
            <v>Full no Cord</v>
          </cell>
          <cell r="P863" t="str">
            <v>TEFC</v>
          </cell>
          <cell r="R863" t="str">
            <v>Continuous</v>
          </cell>
          <cell r="S863" t="str">
            <v>Yes</v>
          </cell>
          <cell r="T863" t="str">
            <v>none no key</v>
          </cell>
          <cell r="U863" t="str">
            <v>40</v>
          </cell>
          <cell r="V863" t="str">
            <v>3</v>
          </cell>
          <cell r="W863" t="str">
            <v>60</v>
          </cell>
          <cell r="X863" t="str">
            <v>208-230/460</v>
          </cell>
          <cell r="Y863" t="str">
            <v>3.5-3.2/4.1</v>
          </cell>
          <cell r="Z863" t="str">
            <v>No</v>
          </cell>
          <cell r="AA863" t="str">
            <v>Vertical</v>
          </cell>
          <cell r="AD863" t="str">
            <v>0</v>
          </cell>
          <cell r="AG863" t="str">
            <v>HP</v>
          </cell>
          <cell r="AI863" t="str">
            <v>6208</v>
          </cell>
          <cell r="AJ863" t="str">
            <v>6205</v>
          </cell>
          <cell r="AO863" t="str">
            <v>B</v>
          </cell>
          <cell r="AP863" t="str">
            <v>K</v>
          </cell>
          <cell r="AQ863" t="str">
            <v>F</v>
          </cell>
          <cell r="AR863" t="str">
            <v>78</v>
          </cell>
          <cell r="AS863" t="str">
            <v>1.15</v>
          </cell>
          <cell r="AT863" t="str">
            <v>87.5</v>
          </cell>
          <cell r="AU863" t="str">
            <v>06F357M585H2</v>
          </cell>
          <cell r="AV863" t="b">
            <v>0</v>
          </cell>
          <cell r="HD863" t="str">
            <v>Repair Shop</v>
          </cell>
          <cell r="HT863" t="b">
            <v>0</v>
          </cell>
          <cell r="HU863" t="str">
            <v>ALFRED CONHAGEN CO. OF CA</v>
          </cell>
        </row>
        <row r="864">
          <cell r="A864">
            <v>1907</v>
          </cell>
          <cell r="B864" t="str">
            <v>VEM0837</v>
          </cell>
          <cell r="D864" t="str">
            <v>P66</v>
          </cell>
          <cell r="F864" t="str">
            <v>Westinghouse</v>
          </cell>
          <cell r="G864" t="str">
            <v>ABFC</v>
          </cell>
          <cell r="H864" t="str">
            <v>6301</v>
          </cell>
          <cell r="I864" t="str">
            <v>324U</v>
          </cell>
          <cell r="K864" t="str">
            <v>25</v>
          </cell>
          <cell r="L864" t="str">
            <v>1765</v>
          </cell>
          <cell r="O864" t="str">
            <v>Full no Cord</v>
          </cell>
          <cell r="P864" t="str">
            <v>TEFC</v>
          </cell>
          <cell r="R864" t="str">
            <v>Continuous</v>
          </cell>
          <cell r="S864" t="str">
            <v>Yes</v>
          </cell>
          <cell r="T864" t="str">
            <v>none no key</v>
          </cell>
          <cell r="U864" t="str">
            <v>55</v>
          </cell>
          <cell r="V864" t="str">
            <v>3</v>
          </cell>
          <cell r="W864" t="str">
            <v>60</v>
          </cell>
          <cell r="X864" t="str">
            <v>208-220/440</v>
          </cell>
          <cell r="Y864" t="str">
            <v>68-63/31.5</v>
          </cell>
          <cell r="Z864" t="str">
            <v>No</v>
          </cell>
          <cell r="AA864" t="str">
            <v>F1</v>
          </cell>
          <cell r="AD864" t="str">
            <v>0</v>
          </cell>
          <cell r="AG864" t="str">
            <v>HP</v>
          </cell>
          <cell r="AP864" t="str">
            <v>G</v>
          </cell>
          <cell r="AV864" t="b">
            <v>0</v>
          </cell>
          <cell r="HD864" t="str">
            <v>Repair Shop</v>
          </cell>
          <cell r="HT864" t="b">
            <v>0</v>
          </cell>
          <cell r="HU864" t="str">
            <v>PHILLIPS 66</v>
          </cell>
        </row>
        <row r="865">
          <cell r="A865">
            <v>1906</v>
          </cell>
          <cell r="B865" t="str">
            <v>VEM0836</v>
          </cell>
          <cell r="D865" t="str">
            <v>P66</v>
          </cell>
          <cell r="F865" t="str">
            <v>Baldor</v>
          </cell>
          <cell r="H865" t="str">
            <v>W1803266385</v>
          </cell>
          <cell r="I865" t="str">
            <v>56C</v>
          </cell>
          <cell r="K865" t="str">
            <v>3</v>
          </cell>
          <cell r="L865" t="str">
            <v>3450</v>
          </cell>
          <cell r="O865" t="str">
            <v>Full no Cord</v>
          </cell>
          <cell r="P865" t="str">
            <v>TEFC</v>
          </cell>
          <cell r="R865" t="str">
            <v>Continuous</v>
          </cell>
          <cell r="T865" t="str">
            <v>none no key</v>
          </cell>
          <cell r="U865" t="str">
            <v>40</v>
          </cell>
          <cell r="V865" t="str">
            <v>3</v>
          </cell>
          <cell r="W865" t="str">
            <v>60</v>
          </cell>
          <cell r="X865" t="str">
            <v>230/460</v>
          </cell>
          <cell r="Y865" t="str">
            <v>7.2/3.6</v>
          </cell>
          <cell r="AA865" t="str">
            <v>Vertical</v>
          </cell>
          <cell r="AG865" t="str">
            <v>HP</v>
          </cell>
          <cell r="AI865" t="str">
            <v>6205</v>
          </cell>
          <cell r="AJ865" t="str">
            <v>6203</v>
          </cell>
          <cell r="AO865" t="str">
            <v>B</v>
          </cell>
          <cell r="AP865" t="str">
            <v>L</v>
          </cell>
          <cell r="AQ865" t="str">
            <v>F</v>
          </cell>
          <cell r="AR865" t="str">
            <v>92</v>
          </cell>
          <cell r="AS865" t="str">
            <v>1.15</v>
          </cell>
          <cell r="AT865" t="str">
            <v>86.5</v>
          </cell>
          <cell r="AU865" t="str">
            <v>35A013Q060G1</v>
          </cell>
          <cell r="AV865" t="b">
            <v>0</v>
          </cell>
          <cell r="EW865" t="str">
            <v>VEM3559</v>
          </cell>
          <cell r="HD865" t="str">
            <v>Repair Shop</v>
          </cell>
          <cell r="HT865" t="b">
            <v>0</v>
          </cell>
          <cell r="HU865" t="str">
            <v>PHILLIPS 66</v>
          </cell>
        </row>
        <row r="866">
          <cell r="A866">
            <v>1905</v>
          </cell>
          <cell r="B866" t="str">
            <v>VEM0835</v>
          </cell>
          <cell r="D866" t="str">
            <v>CONHAGEN</v>
          </cell>
          <cell r="AG866" t="str">
            <v>HP</v>
          </cell>
          <cell r="AV866" t="b">
            <v>0</v>
          </cell>
          <cell r="HD866" t="str">
            <v>Repair Shop</v>
          </cell>
          <cell r="HT866" t="b">
            <v>0</v>
          </cell>
          <cell r="HU866" t="str">
            <v>ALFRED CONHAGEN CO. OF CA</v>
          </cell>
        </row>
        <row r="867">
          <cell r="A867">
            <v>1904</v>
          </cell>
          <cell r="B867" t="str">
            <v>VEM0834</v>
          </cell>
          <cell r="D867" t="str">
            <v>BARRY</v>
          </cell>
          <cell r="AG867" t="str">
            <v>HP</v>
          </cell>
          <cell r="AV867" t="b">
            <v>0</v>
          </cell>
          <cell r="HD867" t="str">
            <v>Repair Shop</v>
          </cell>
          <cell r="HT867" t="b">
            <v>0</v>
          </cell>
          <cell r="HU867" t="str">
            <v>BARRY CALLEBAUT</v>
          </cell>
        </row>
        <row r="868">
          <cell r="A868">
            <v>1903</v>
          </cell>
          <cell r="B868" t="str">
            <v>VEM0833</v>
          </cell>
          <cell r="D868" t="str">
            <v>BARRY</v>
          </cell>
          <cell r="AD868" t="str">
            <v>0</v>
          </cell>
          <cell r="AG868" t="str">
            <v>HP</v>
          </cell>
          <cell r="AV868" t="b">
            <v>0</v>
          </cell>
          <cell r="BY868" t="str">
            <v>57.17</v>
          </cell>
          <cell r="CB868" t="str">
            <v>70800</v>
          </cell>
          <cell r="CC868" t="str">
            <v>31</v>
          </cell>
          <cell r="CD868" t="str">
            <v>KAF107/A</v>
          </cell>
          <cell r="HD868" t="str">
            <v>Repair Shop</v>
          </cell>
          <cell r="HT868" t="b">
            <v>0</v>
          </cell>
          <cell r="HU868" t="str">
            <v>BARRY CALLEBAUT</v>
          </cell>
        </row>
        <row r="869">
          <cell r="A869">
            <v>1902</v>
          </cell>
          <cell r="B869" t="str">
            <v>VEM0832</v>
          </cell>
          <cell r="D869" t="str">
            <v>P66</v>
          </cell>
          <cell r="F869" t="str">
            <v>LOUIS ALLIS</v>
          </cell>
          <cell r="G869" t="str">
            <v>8K28447001</v>
          </cell>
          <cell r="I869" t="str">
            <v>S213T</v>
          </cell>
          <cell r="K869" t="str">
            <v>1/3/3</v>
          </cell>
          <cell r="L869" t="str">
            <v>550/1755/2165</v>
          </cell>
          <cell r="O869" t="str">
            <v>Full no Cord</v>
          </cell>
          <cell r="P869" t="str">
            <v>EXP</v>
          </cell>
          <cell r="R869" t="str">
            <v>Continuous</v>
          </cell>
          <cell r="S869" t="str">
            <v>Yes</v>
          </cell>
          <cell r="T869" t="str">
            <v>YES</v>
          </cell>
          <cell r="V869" t="str">
            <v>3</v>
          </cell>
          <cell r="W869" t="str">
            <v>60</v>
          </cell>
          <cell r="X869" t="str">
            <v>153/1755/2165</v>
          </cell>
          <cell r="Y869" t="str">
            <v>.4</v>
          </cell>
          <cell r="Z869" t="str">
            <v>No</v>
          </cell>
          <cell r="AA869" t="str">
            <v>F1</v>
          </cell>
          <cell r="AD869" t="str">
            <v>0</v>
          </cell>
          <cell r="AG869" t="str">
            <v>HP</v>
          </cell>
          <cell r="AI869" t="str">
            <v>6208</v>
          </cell>
          <cell r="AJ869" t="str">
            <v>6206</v>
          </cell>
          <cell r="AT869" t="str">
            <v>87.5</v>
          </cell>
          <cell r="AV869" t="b">
            <v>0</v>
          </cell>
          <cell r="HD869" t="str">
            <v>Repair Shop</v>
          </cell>
          <cell r="HT869" t="b">
            <v>0</v>
          </cell>
          <cell r="HU869" t="str">
            <v>PHILLIPS 66</v>
          </cell>
        </row>
        <row r="870">
          <cell r="A870">
            <v>1901</v>
          </cell>
          <cell r="B870" t="str">
            <v>VEM0831</v>
          </cell>
          <cell r="D870" t="str">
            <v>INTEGRATED</v>
          </cell>
          <cell r="F870" t="str">
            <v>GE</v>
          </cell>
          <cell r="G870" t="str">
            <v>5KS284XAA118D4</v>
          </cell>
          <cell r="H870" t="str">
            <v>CMFT087S025</v>
          </cell>
          <cell r="I870" t="str">
            <v>284TS</v>
          </cell>
          <cell r="K870" t="str">
            <v>25</v>
          </cell>
          <cell r="L870" t="str">
            <v>3560</v>
          </cell>
          <cell r="M870" t="str">
            <v>KS</v>
          </cell>
          <cell r="N870" t="str">
            <v>460</v>
          </cell>
          <cell r="O870" t="str">
            <v>Full no Cord</v>
          </cell>
          <cell r="P870" t="str">
            <v>TEFC</v>
          </cell>
          <cell r="R870" t="str">
            <v>Continuous</v>
          </cell>
          <cell r="S870" t="str">
            <v>Yes</v>
          </cell>
          <cell r="T870" t="str">
            <v>YES</v>
          </cell>
          <cell r="U870" t="str">
            <v>40</v>
          </cell>
          <cell r="V870" t="str">
            <v>3</v>
          </cell>
          <cell r="W870" t="str">
            <v>60</v>
          </cell>
          <cell r="X870" t="str">
            <v>460</v>
          </cell>
          <cell r="Y870" t="str">
            <v>28.0</v>
          </cell>
          <cell r="Z870" t="str">
            <v>No</v>
          </cell>
          <cell r="AA870" t="str">
            <v>F1</v>
          </cell>
          <cell r="AD870" t="str">
            <v>-1</v>
          </cell>
          <cell r="AG870" t="str">
            <v>HP</v>
          </cell>
          <cell r="AI870" t="str">
            <v>6310ZC3</v>
          </cell>
          <cell r="AJ870" t="str">
            <v>6310ZC3</v>
          </cell>
          <cell r="AO870" t="str">
            <v>B</v>
          </cell>
          <cell r="AP870" t="str">
            <v>G</v>
          </cell>
          <cell r="AQ870" t="str">
            <v>H</v>
          </cell>
          <cell r="AR870" t="str">
            <v>91.0</v>
          </cell>
          <cell r="AS870" t="str">
            <v>1.15</v>
          </cell>
          <cell r="AT870" t="str">
            <v>91.7</v>
          </cell>
          <cell r="AV870" t="b">
            <v>0</v>
          </cell>
          <cell r="EW870" t="str">
            <v>H9442</v>
          </cell>
          <cell r="HD870" t="str">
            <v>Repair Shop</v>
          </cell>
          <cell r="HT870" t="b">
            <v>0</v>
          </cell>
          <cell r="HU870" t="str">
            <v>INTEGRATED TURBO MACHINERY, INC.</v>
          </cell>
        </row>
        <row r="871">
          <cell r="A871">
            <v>1900</v>
          </cell>
          <cell r="B871" t="str">
            <v>VEM0830</v>
          </cell>
          <cell r="D871" t="str">
            <v>BENICAFAB</v>
          </cell>
          <cell r="F871" t="str">
            <v>GE</v>
          </cell>
          <cell r="G871" t="str">
            <v>5K284D38</v>
          </cell>
          <cell r="H871" t="str">
            <v>JW22057</v>
          </cell>
          <cell r="I871" t="str">
            <v>284</v>
          </cell>
          <cell r="K871" t="str">
            <v>7.5</v>
          </cell>
          <cell r="L871" t="str">
            <v>1775</v>
          </cell>
          <cell r="P871" t="str">
            <v>ODP</v>
          </cell>
          <cell r="R871" t="str">
            <v>Continuous</v>
          </cell>
          <cell r="S871" t="str">
            <v>No</v>
          </cell>
          <cell r="T871" t="str">
            <v>none no key</v>
          </cell>
          <cell r="U871" t="str">
            <v>40</v>
          </cell>
          <cell r="V871" t="str">
            <v>3</v>
          </cell>
          <cell r="W871" t="str">
            <v>60</v>
          </cell>
          <cell r="X871" t="str">
            <v>220/440</v>
          </cell>
          <cell r="Y871" t="str">
            <v>20/10</v>
          </cell>
          <cell r="Z871" t="str">
            <v>No</v>
          </cell>
          <cell r="AA871" t="str">
            <v>F1</v>
          </cell>
          <cell r="AG871" t="str">
            <v>HP</v>
          </cell>
          <cell r="AP871" t="str">
            <v>G</v>
          </cell>
          <cell r="AS871" t="str">
            <v>1.15</v>
          </cell>
          <cell r="AV871" t="b">
            <v>0</v>
          </cell>
          <cell r="HD871" t="str">
            <v>Repair Shop</v>
          </cell>
          <cell r="HT871" t="b">
            <v>0</v>
          </cell>
          <cell r="HU871" t="str">
            <v>BENICIA FAB &amp; MACHINE INC.</v>
          </cell>
        </row>
        <row r="872">
          <cell r="A872">
            <v>1899</v>
          </cell>
          <cell r="B872" t="str">
            <v>VEM0829</v>
          </cell>
          <cell r="D872" t="str">
            <v>SUPERSTORES</v>
          </cell>
          <cell r="F872" t="str">
            <v>Leeson</v>
          </cell>
          <cell r="I872" t="str">
            <v>215TC</v>
          </cell>
          <cell r="K872" t="str">
            <v>15</v>
          </cell>
          <cell r="L872" t="str">
            <v>3600</v>
          </cell>
          <cell r="O872" t="str">
            <v>Half no Cord</v>
          </cell>
          <cell r="P872" t="str">
            <v>TEFC</v>
          </cell>
          <cell r="R872" t="str">
            <v>Continuous</v>
          </cell>
          <cell r="S872" t="str">
            <v>No</v>
          </cell>
          <cell r="T872" t="str">
            <v>NONE NO KEY</v>
          </cell>
          <cell r="V872" t="str">
            <v>3</v>
          </cell>
          <cell r="W872" t="str">
            <v>60</v>
          </cell>
          <cell r="X872" t="str">
            <v>230/460</v>
          </cell>
          <cell r="Y872" t="str">
            <v>42/21</v>
          </cell>
          <cell r="Z872" t="str">
            <v>No</v>
          </cell>
          <cell r="AA872" t="str">
            <v>F1</v>
          </cell>
          <cell r="AD872" t="str">
            <v>0</v>
          </cell>
          <cell r="AG872" t="str">
            <v>HP</v>
          </cell>
          <cell r="AV872" t="b">
            <v>0</v>
          </cell>
          <cell r="HD872" t="str">
            <v>Repair Shop</v>
          </cell>
          <cell r="HT872" t="b">
            <v>0</v>
          </cell>
          <cell r="HU872" t="str">
            <v>Producers Dairy Foods</v>
          </cell>
        </row>
        <row r="873">
          <cell r="A873">
            <v>1898</v>
          </cell>
          <cell r="B873" t="str">
            <v>VEM0828</v>
          </cell>
          <cell r="D873" t="str">
            <v>CONHAGEN</v>
          </cell>
          <cell r="F873" t="str">
            <v>US Motors</v>
          </cell>
          <cell r="G873" t="str">
            <v>C655</v>
          </cell>
          <cell r="I873" t="str">
            <v>145TC</v>
          </cell>
          <cell r="K873" t="str">
            <v>2</v>
          </cell>
          <cell r="L873" t="str">
            <v>1750</v>
          </cell>
          <cell r="M873" t="str">
            <v>CEF</v>
          </cell>
          <cell r="N873" t="str">
            <v>70</v>
          </cell>
          <cell r="O873" t="str">
            <v>Full no Cord</v>
          </cell>
          <cell r="P873" t="str">
            <v>TEFC</v>
          </cell>
          <cell r="R873" t="str">
            <v>Continuous</v>
          </cell>
          <cell r="T873" t="str">
            <v>none no key</v>
          </cell>
          <cell r="U873" t="str">
            <v>40</v>
          </cell>
          <cell r="V873" t="str">
            <v>3</v>
          </cell>
          <cell r="W873" t="str">
            <v>60</v>
          </cell>
          <cell r="X873" t="str">
            <v>460</v>
          </cell>
          <cell r="Y873" t="str">
            <v>2.8</v>
          </cell>
          <cell r="AA873" t="str">
            <v>Vertical</v>
          </cell>
          <cell r="AG873" t="str">
            <v>HP</v>
          </cell>
          <cell r="AO873" t="str">
            <v>B</v>
          </cell>
          <cell r="AP873" t="str">
            <v>H</v>
          </cell>
          <cell r="AQ873" t="str">
            <v>F</v>
          </cell>
          <cell r="AR873" t="str">
            <v>76.0</v>
          </cell>
          <cell r="AT873" t="str">
            <v>86.5</v>
          </cell>
          <cell r="AV873" t="b">
            <v>0</v>
          </cell>
          <cell r="EW873" t="str">
            <v>8P2P2CCR</v>
          </cell>
          <cell r="HD873" t="str">
            <v>Repair Shop</v>
          </cell>
          <cell r="HT873" t="b">
            <v>0</v>
          </cell>
          <cell r="HU873" t="str">
            <v>ALFRED CONHAGEN CO. OF CA</v>
          </cell>
        </row>
        <row r="874">
          <cell r="A874">
            <v>1897</v>
          </cell>
          <cell r="B874" t="str">
            <v>VEM0827</v>
          </cell>
          <cell r="D874" t="str">
            <v>CULINARY</v>
          </cell>
          <cell r="F874" t="str">
            <v>US Motors</v>
          </cell>
          <cell r="H874" t="str">
            <v>3256346</v>
          </cell>
          <cell r="I874" t="str">
            <v>284U</v>
          </cell>
          <cell r="K874" t="str">
            <v>10</v>
          </cell>
          <cell r="L874" t="str">
            <v>1200</v>
          </cell>
          <cell r="M874" t="str">
            <v>H</v>
          </cell>
          <cell r="O874" t="str">
            <v>Full no Cord</v>
          </cell>
          <cell r="P874" t="str">
            <v>ODP</v>
          </cell>
          <cell r="R874" t="str">
            <v>Continuous</v>
          </cell>
          <cell r="S874" t="str">
            <v>Yes</v>
          </cell>
          <cell r="T874" t="str">
            <v>none  no key</v>
          </cell>
          <cell r="U874" t="str">
            <v>40</v>
          </cell>
          <cell r="V874" t="str">
            <v>3</v>
          </cell>
          <cell r="W874" t="str">
            <v>60</v>
          </cell>
          <cell r="X874" t="str">
            <v>208-220/440</v>
          </cell>
          <cell r="Y874" t="str">
            <v>13.5/27</v>
          </cell>
          <cell r="AA874" t="str">
            <v>F1</v>
          </cell>
          <cell r="AD874" t="str">
            <v>0</v>
          </cell>
          <cell r="AG874" t="str">
            <v>HP</v>
          </cell>
          <cell r="AO874" t="str">
            <v>B</v>
          </cell>
          <cell r="AP874" t="str">
            <v>G</v>
          </cell>
          <cell r="AV874" t="b">
            <v>0</v>
          </cell>
          <cell r="HD874" t="str">
            <v>Repair Shop</v>
          </cell>
          <cell r="HT874" t="b">
            <v>0</v>
          </cell>
          <cell r="HU874" t="str">
            <v>CULINARY FARMS</v>
          </cell>
        </row>
        <row r="875">
          <cell r="A875">
            <v>1896</v>
          </cell>
          <cell r="B875" t="str">
            <v>VEM0826</v>
          </cell>
          <cell r="D875" t="str">
            <v>C&amp;H</v>
          </cell>
          <cell r="F875" t="str">
            <v>GE</v>
          </cell>
          <cell r="G875" t="str">
            <v>5KS184XAA108D4</v>
          </cell>
          <cell r="H875" t="str">
            <v>JLFT261S018</v>
          </cell>
          <cell r="I875" t="str">
            <v>184TZ</v>
          </cell>
          <cell r="K875" t="str">
            <v>5</v>
          </cell>
          <cell r="L875" t="str">
            <v>3530</v>
          </cell>
          <cell r="M875" t="str">
            <v>KS</v>
          </cell>
          <cell r="N875" t="str">
            <v>101</v>
          </cell>
          <cell r="O875" t="str">
            <v>Half no Cord</v>
          </cell>
          <cell r="P875" t="str">
            <v>TEFC</v>
          </cell>
          <cell r="R875" t="str">
            <v>Continuous</v>
          </cell>
          <cell r="T875" t="str">
            <v>NONE</v>
          </cell>
          <cell r="U875" t="str">
            <v>40</v>
          </cell>
          <cell r="V875" t="str">
            <v>3</v>
          </cell>
          <cell r="W875" t="str">
            <v>60</v>
          </cell>
          <cell r="X875" t="str">
            <v>460</v>
          </cell>
          <cell r="Y875" t="str">
            <v>6.6</v>
          </cell>
          <cell r="Z875" t="str">
            <v>Yes</v>
          </cell>
          <cell r="AA875" t="str">
            <v>Vertical</v>
          </cell>
          <cell r="AD875" t="str">
            <v>0</v>
          </cell>
          <cell r="AG875" t="str">
            <v>HP</v>
          </cell>
          <cell r="AI875" t="str">
            <v>6206</v>
          </cell>
          <cell r="AJ875" t="str">
            <v>6206</v>
          </cell>
          <cell r="AP875" t="str">
            <v>J</v>
          </cell>
          <cell r="AQ875" t="str">
            <v>H</v>
          </cell>
          <cell r="AR875" t="str">
            <v>80.6</v>
          </cell>
          <cell r="AS875" t="str">
            <v>1.15</v>
          </cell>
          <cell r="AT875" t="str">
            <v>88.5</v>
          </cell>
          <cell r="AV875" t="b">
            <v>0</v>
          </cell>
          <cell r="HD875" t="str">
            <v>Repair Shop</v>
          </cell>
          <cell r="HT875" t="b">
            <v>0</v>
          </cell>
          <cell r="HU875" t="str">
            <v>C &amp; H SUGAR CO.</v>
          </cell>
        </row>
        <row r="876">
          <cell r="A876">
            <v>1895</v>
          </cell>
          <cell r="B876" t="str">
            <v>VEM0825</v>
          </cell>
          <cell r="D876" t="str">
            <v>CITYOFAMCAN</v>
          </cell>
          <cell r="F876" t="str">
            <v>Franklin</v>
          </cell>
          <cell r="G876" t="str">
            <v>2343258502</v>
          </cell>
          <cell r="K876" t="str">
            <v>2</v>
          </cell>
          <cell r="L876" t="str">
            <v>3450</v>
          </cell>
          <cell r="O876" t="str">
            <v>Cord</v>
          </cell>
          <cell r="R876" t="str">
            <v>Continuous</v>
          </cell>
          <cell r="V876" t="str">
            <v>3</v>
          </cell>
          <cell r="W876" t="str">
            <v>60</v>
          </cell>
          <cell r="X876" t="str">
            <v>460</v>
          </cell>
          <cell r="Y876" t="str">
            <v>3.4</v>
          </cell>
          <cell r="AA876" t="str">
            <v>Other</v>
          </cell>
          <cell r="AD876" t="str">
            <v>0</v>
          </cell>
          <cell r="AG876" t="str">
            <v>HP</v>
          </cell>
          <cell r="AP876" t="str">
            <v>G</v>
          </cell>
          <cell r="AS876" t="str">
            <v>1.25</v>
          </cell>
          <cell r="AV876" t="b">
            <v>0</v>
          </cell>
          <cell r="HD876" t="str">
            <v>Repair Shop</v>
          </cell>
          <cell r="HT876" t="b">
            <v>0</v>
          </cell>
          <cell r="HU876" t="str">
            <v>CITY OF AMERICAN CANYON</v>
          </cell>
        </row>
        <row r="877">
          <cell r="A877">
            <v>1894</v>
          </cell>
          <cell r="B877" t="str">
            <v>VEM0824</v>
          </cell>
          <cell r="D877" t="str">
            <v>CONHAGEN</v>
          </cell>
          <cell r="AG877" t="str">
            <v>HP</v>
          </cell>
          <cell r="AV877" t="b">
            <v>0</v>
          </cell>
          <cell r="HD877" t="str">
            <v>Repair Shop</v>
          </cell>
          <cell r="HT877" t="b">
            <v>0</v>
          </cell>
          <cell r="HU877" t="str">
            <v>ALFRED CONHAGEN CO. OF CA</v>
          </cell>
        </row>
        <row r="878">
          <cell r="A878">
            <v>1893</v>
          </cell>
          <cell r="B878" t="str">
            <v>VEM0823</v>
          </cell>
          <cell r="D878" t="str">
            <v>C&amp;H</v>
          </cell>
          <cell r="AD878" t="str">
            <v>0</v>
          </cell>
          <cell r="AV878" t="b">
            <v>0</v>
          </cell>
          <cell r="HD878" t="str">
            <v>Repair Shop</v>
          </cell>
          <cell r="HT878" t="b">
            <v>0</v>
          </cell>
          <cell r="HU878" t="str">
            <v>C &amp; H SUGAR CO.</v>
          </cell>
        </row>
        <row r="879">
          <cell r="A879">
            <v>1892</v>
          </cell>
          <cell r="B879" t="str">
            <v>VEM0822</v>
          </cell>
          <cell r="D879" t="str">
            <v>LLNL</v>
          </cell>
          <cell r="AG879" t="str">
            <v>HP</v>
          </cell>
          <cell r="AV879" t="b">
            <v>0</v>
          </cell>
          <cell r="HD879" t="str">
            <v>Repair Shop</v>
          </cell>
          <cell r="HT879" t="b">
            <v>0</v>
          </cell>
          <cell r="HU879" t="str">
            <v>LAWRENCE LIVERMORE NATIONAL LABS</v>
          </cell>
        </row>
        <row r="880">
          <cell r="A880">
            <v>1891</v>
          </cell>
          <cell r="B880" t="str">
            <v>VEM0821</v>
          </cell>
          <cell r="D880" t="str">
            <v>BALLCONTAINER</v>
          </cell>
          <cell r="F880" t="str">
            <v>Toshiba</v>
          </cell>
          <cell r="G880" t="str">
            <v>4F4050K166909</v>
          </cell>
          <cell r="I880" t="str">
            <v>326T</v>
          </cell>
          <cell r="K880" t="str">
            <v>50</v>
          </cell>
          <cell r="L880" t="str">
            <v>1765</v>
          </cell>
          <cell r="M880" t="str">
            <v>TIKK</v>
          </cell>
          <cell r="N880" t="str">
            <v>634</v>
          </cell>
          <cell r="O880" t="str">
            <v>Half no Cord</v>
          </cell>
          <cell r="P880" t="str">
            <v>TEFC</v>
          </cell>
          <cell r="R880" t="str">
            <v>Continuous</v>
          </cell>
          <cell r="S880" t="str">
            <v>Yes</v>
          </cell>
          <cell r="T880" t="str">
            <v>NONE NO KEY</v>
          </cell>
          <cell r="U880" t="str">
            <v>40</v>
          </cell>
          <cell r="V880" t="str">
            <v>3</v>
          </cell>
          <cell r="W880" t="str">
            <v>60</v>
          </cell>
          <cell r="X880" t="str">
            <v>460</v>
          </cell>
          <cell r="AA880" t="str">
            <v>F1</v>
          </cell>
          <cell r="AD880" t="str">
            <v>0</v>
          </cell>
          <cell r="AG880" t="str">
            <v>HP</v>
          </cell>
          <cell r="AI880" t="str">
            <v>NU312</v>
          </cell>
          <cell r="AJ880" t="str">
            <v>6312</v>
          </cell>
          <cell r="AO880" t="str">
            <v>A</v>
          </cell>
          <cell r="AP880" t="str">
            <v>H</v>
          </cell>
          <cell r="AQ880" t="str">
            <v>F</v>
          </cell>
          <cell r="AS880" t="str">
            <v>1.0</v>
          </cell>
          <cell r="AT880" t="str">
            <v>93.6</v>
          </cell>
          <cell r="AV880" t="b">
            <v>0</v>
          </cell>
          <cell r="GK880" t="str">
            <v>T STATS</v>
          </cell>
          <cell r="HD880" t="str">
            <v>Repair Shop</v>
          </cell>
          <cell r="HT880" t="b">
            <v>0</v>
          </cell>
          <cell r="HU880" t="str">
            <v>BALL CONTAINER</v>
          </cell>
        </row>
        <row r="881">
          <cell r="A881">
            <v>1890</v>
          </cell>
          <cell r="B881" t="str">
            <v>VEM0820</v>
          </cell>
          <cell r="D881" t="str">
            <v>CONHAGEN</v>
          </cell>
          <cell r="AG881" t="str">
            <v>HP</v>
          </cell>
          <cell r="AV881" t="b">
            <v>0</v>
          </cell>
          <cell r="HD881" t="str">
            <v>Repair Shop</v>
          </cell>
          <cell r="HT881" t="b">
            <v>0</v>
          </cell>
          <cell r="HU881" t="str">
            <v>ALFRED CONHAGEN CO. OF CA</v>
          </cell>
        </row>
        <row r="882">
          <cell r="A882">
            <v>1889</v>
          </cell>
          <cell r="B882" t="str">
            <v>VEM0819</v>
          </cell>
          <cell r="D882" t="str">
            <v>P66</v>
          </cell>
          <cell r="F882" t="str">
            <v>GE</v>
          </cell>
          <cell r="G882" t="str">
            <v>5KS254XAA108</v>
          </cell>
          <cell r="H882" t="str">
            <v>CCFT071B17</v>
          </cell>
          <cell r="I882" t="str">
            <v>254T</v>
          </cell>
          <cell r="K882" t="str">
            <v>15</v>
          </cell>
          <cell r="L882" t="str">
            <v>3550</v>
          </cell>
          <cell r="O882" t="str">
            <v>Full no Cord</v>
          </cell>
          <cell r="P882" t="str">
            <v>TEFC</v>
          </cell>
          <cell r="R882" t="str">
            <v>Continuous</v>
          </cell>
          <cell r="S882" t="str">
            <v>No</v>
          </cell>
          <cell r="T882" t="str">
            <v>KEY ONLY</v>
          </cell>
          <cell r="U882" t="str">
            <v>40</v>
          </cell>
          <cell r="V882" t="str">
            <v>3</v>
          </cell>
          <cell r="W882" t="str">
            <v>60</v>
          </cell>
          <cell r="X882" t="str">
            <v>460</v>
          </cell>
          <cell r="Y882" t="str">
            <v>16.9</v>
          </cell>
          <cell r="Z882" t="str">
            <v>Yes</v>
          </cell>
          <cell r="AA882" t="str">
            <v>F1</v>
          </cell>
          <cell r="AG882" t="str">
            <v>HP</v>
          </cell>
          <cell r="AI882" t="str">
            <v>6309</v>
          </cell>
          <cell r="AJ882" t="str">
            <v>6309</v>
          </cell>
          <cell r="AO882" t="str">
            <v>B</v>
          </cell>
          <cell r="AP882" t="str">
            <v>G</v>
          </cell>
          <cell r="AQ882" t="str">
            <v>H</v>
          </cell>
          <cell r="AR882" t="str">
            <v>90.5</v>
          </cell>
          <cell r="AS882" t="str">
            <v>1.15</v>
          </cell>
          <cell r="AT882" t="str">
            <v>91.7</v>
          </cell>
          <cell r="AV882" t="b">
            <v>0</v>
          </cell>
          <cell r="EW882" t="str">
            <v>M9434</v>
          </cell>
          <cell r="HD882" t="str">
            <v>Repair Shop</v>
          </cell>
          <cell r="HT882" t="b">
            <v>0</v>
          </cell>
          <cell r="HU882" t="str">
            <v>PHILLIPS 66</v>
          </cell>
        </row>
        <row r="883">
          <cell r="A883">
            <v>1888</v>
          </cell>
          <cell r="B883" t="str">
            <v>VEM0818</v>
          </cell>
          <cell r="D883" t="str">
            <v>P66</v>
          </cell>
          <cell r="F883" t="str">
            <v>Siemens</v>
          </cell>
          <cell r="I883" t="str">
            <v>326TS</v>
          </cell>
          <cell r="K883" t="str">
            <v>50</v>
          </cell>
          <cell r="L883" t="str">
            <v>3545</v>
          </cell>
          <cell r="M883" t="str">
            <v>RGZESD</v>
          </cell>
          <cell r="O883" t="str">
            <v>None</v>
          </cell>
          <cell r="P883" t="str">
            <v>TEFC</v>
          </cell>
          <cell r="R883" t="str">
            <v>Continuous</v>
          </cell>
          <cell r="S883" t="str">
            <v>Yes</v>
          </cell>
          <cell r="T883" t="str">
            <v>NONE NO KEY</v>
          </cell>
          <cell r="U883" t="str">
            <v>40</v>
          </cell>
          <cell r="V883" t="str">
            <v>3</v>
          </cell>
          <cell r="W883" t="str">
            <v>60</v>
          </cell>
          <cell r="X883" t="str">
            <v>460</v>
          </cell>
          <cell r="Y883" t="str">
            <v>60</v>
          </cell>
          <cell r="Z883" t="str">
            <v>No</v>
          </cell>
          <cell r="AA883" t="str">
            <v>F1</v>
          </cell>
          <cell r="AD883" t="str">
            <v>0</v>
          </cell>
          <cell r="AG883" t="str">
            <v>HP</v>
          </cell>
          <cell r="AO883" t="str">
            <v>B</v>
          </cell>
          <cell r="AP883" t="str">
            <v>G</v>
          </cell>
          <cell r="AQ883" t="str">
            <v>F</v>
          </cell>
          <cell r="AS883" t="str">
            <v>1.15</v>
          </cell>
          <cell r="AT883" t="str">
            <v>91.7</v>
          </cell>
          <cell r="AV883" t="b">
            <v>0</v>
          </cell>
          <cell r="HD883" t="str">
            <v>Repair Shop</v>
          </cell>
          <cell r="HT883" t="b">
            <v>0</v>
          </cell>
          <cell r="HU883" t="str">
            <v>PHILLIPS 66</v>
          </cell>
        </row>
        <row r="884">
          <cell r="A884">
            <v>1887</v>
          </cell>
          <cell r="B884" t="str">
            <v>VEM0817</v>
          </cell>
          <cell r="D884" t="str">
            <v>P66</v>
          </cell>
          <cell r="F884" t="str">
            <v>GE</v>
          </cell>
          <cell r="G884" t="str">
            <v>5KS215XAA108C</v>
          </cell>
          <cell r="H884" t="str">
            <v>AMFT022S070</v>
          </cell>
          <cell r="I884" t="str">
            <v>215T</v>
          </cell>
          <cell r="K884" t="str">
            <v>10</v>
          </cell>
          <cell r="L884" t="str">
            <v>3520</v>
          </cell>
          <cell r="M884" t="str">
            <v>KS</v>
          </cell>
          <cell r="N884" t="str">
            <v>220</v>
          </cell>
          <cell r="O884" t="str">
            <v>Full no Cord</v>
          </cell>
          <cell r="P884" t="str">
            <v>TEFC</v>
          </cell>
          <cell r="R884" t="str">
            <v>Continuous</v>
          </cell>
          <cell r="S884" t="str">
            <v>No</v>
          </cell>
          <cell r="T884" t="str">
            <v>NO</v>
          </cell>
          <cell r="U884" t="str">
            <v>40</v>
          </cell>
          <cell r="V884" t="str">
            <v>3</v>
          </cell>
          <cell r="W884" t="str">
            <v>60</v>
          </cell>
          <cell r="X884" t="str">
            <v>460</v>
          </cell>
          <cell r="Y884" t="str">
            <v>11.6</v>
          </cell>
          <cell r="Z884" t="str">
            <v>Yes</v>
          </cell>
          <cell r="AA884" t="str">
            <v>F1</v>
          </cell>
          <cell r="AG884" t="str">
            <v>HP</v>
          </cell>
          <cell r="AI884" t="str">
            <v>6208</v>
          </cell>
          <cell r="AJ884" t="str">
            <v>6208</v>
          </cell>
          <cell r="AO884" t="str">
            <v>B</v>
          </cell>
          <cell r="AP884" t="str">
            <v>H</v>
          </cell>
          <cell r="AR884" t="str">
            <v>89.5</v>
          </cell>
          <cell r="AS884" t="str">
            <v>1.15</v>
          </cell>
          <cell r="AT884" t="str">
            <v>90.2</v>
          </cell>
          <cell r="AV884" t="b">
            <v>0</v>
          </cell>
          <cell r="EW884" t="str">
            <v>M9430</v>
          </cell>
          <cell r="HD884" t="str">
            <v>Repair Shop</v>
          </cell>
          <cell r="HT884" t="b">
            <v>0</v>
          </cell>
          <cell r="HU884" t="str">
            <v>PHILLIPS 66</v>
          </cell>
        </row>
        <row r="885">
          <cell r="A885">
            <v>1886</v>
          </cell>
          <cell r="B885" t="str">
            <v>VEM0816</v>
          </cell>
          <cell r="D885" t="str">
            <v>P66</v>
          </cell>
          <cell r="F885" t="str">
            <v>LOUIS ALLIS</v>
          </cell>
          <cell r="G885" t="str">
            <v>22564M-2</v>
          </cell>
          <cell r="I885" t="str">
            <v>286TS</v>
          </cell>
          <cell r="K885" t="str">
            <v>30</v>
          </cell>
          <cell r="L885" t="str">
            <v>3540</v>
          </cell>
          <cell r="M885" t="str">
            <v>CJ4B</v>
          </cell>
          <cell r="O885" t="str">
            <v>Full no Cord</v>
          </cell>
          <cell r="P885" t="str">
            <v>TEFC</v>
          </cell>
          <cell r="R885" t="str">
            <v>Continuous</v>
          </cell>
          <cell r="S885" t="str">
            <v>Yes</v>
          </cell>
          <cell r="T885" t="str">
            <v>NONE NO KEY</v>
          </cell>
          <cell r="U885" t="str">
            <v>40</v>
          </cell>
          <cell r="V885" t="str">
            <v>3</v>
          </cell>
          <cell r="W885" t="str">
            <v>60</v>
          </cell>
          <cell r="Y885" t="str">
            <v>76/38</v>
          </cell>
          <cell r="AA885" t="str">
            <v>F1</v>
          </cell>
          <cell r="AG885" t="str">
            <v>HP</v>
          </cell>
          <cell r="AO885" t="str">
            <v>B</v>
          </cell>
          <cell r="AP885" t="str">
            <v>F</v>
          </cell>
          <cell r="AQ885" t="str">
            <v>F</v>
          </cell>
          <cell r="AV885" t="b">
            <v>0</v>
          </cell>
          <cell r="HD885" t="str">
            <v>Repair Shop</v>
          </cell>
          <cell r="HT885" t="b">
            <v>0</v>
          </cell>
          <cell r="HU885" t="str">
            <v>PHILLIPS 66</v>
          </cell>
        </row>
        <row r="886">
          <cell r="A886">
            <v>1885</v>
          </cell>
          <cell r="B886" t="str">
            <v>VEM0815</v>
          </cell>
          <cell r="D886" t="str">
            <v>P66</v>
          </cell>
          <cell r="F886" t="str">
            <v>US Motors</v>
          </cell>
          <cell r="H886" t="str">
            <v>P4281674</v>
          </cell>
          <cell r="I886" t="str">
            <v>284T</v>
          </cell>
          <cell r="K886" t="str">
            <v>25</v>
          </cell>
          <cell r="L886" t="str">
            <v>1760</v>
          </cell>
          <cell r="M886" t="str">
            <v>TC</v>
          </cell>
          <cell r="O886" t="str">
            <v>None</v>
          </cell>
          <cell r="P886" t="str">
            <v>TEFC</v>
          </cell>
          <cell r="R886" t="str">
            <v>Continuous</v>
          </cell>
          <cell r="S886" t="str">
            <v>Yes</v>
          </cell>
          <cell r="T886" t="str">
            <v>NONE NO KEY</v>
          </cell>
          <cell r="U886" t="str">
            <v>40</v>
          </cell>
          <cell r="V886" t="str">
            <v>3</v>
          </cell>
          <cell r="W886" t="str">
            <v>60</v>
          </cell>
          <cell r="X886" t="str">
            <v>230/460</v>
          </cell>
          <cell r="Y886" t="str">
            <v>62/31</v>
          </cell>
          <cell r="AA886" t="str">
            <v>F1</v>
          </cell>
          <cell r="AG886" t="str">
            <v>HP</v>
          </cell>
          <cell r="AO886" t="str">
            <v>B</v>
          </cell>
          <cell r="AP886" t="str">
            <v>G</v>
          </cell>
          <cell r="AQ886" t="str">
            <v>B</v>
          </cell>
          <cell r="AS886" t="str">
            <v>1.0</v>
          </cell>
          <cell r="AV886" t="b">
            <v>0</v>
          </cell>
          <cell r="HD886" t="str">
            <v>Repair Shop</v>
          </cell>
          <cell r="HT886" t="b">
            <v>0</v>
          </cell>
          <cell r="HU886" t="str">
            <v>PHILLIPS 66</v>
          </cell>
        </row>
        <row r="887">
          <cell r="A887">
            <v>1884</v>
          </cell>
          <cell r="B887" t="str">
            <v>VEM0814</v>
          </cell>
          <cell r="D887" t="str">
            <v>P66</v>
          </cell>
          <cell r="F887" t="str">
            <v>US Motors</v>
          </cell>
          <cell r="I887" t="str">
            <v>286T</v>
          </cell>
          <cell r="K887" t="str">
            <v>30</v>
          </cell>
          <cell r="L887" t="str">
            <v>1770</v>
          </cell>
          <cell r="O887" t="str">
            <v>None</v>
          </cell>
          <cell r="P887" t="str">
            <v>TEFC</v>
          </cell>
          <cell r="R887" t="str">
            <v>Continuous</v>
          </cell>
          <cell r="S887" t="str">
            <v>Yes</v>
          </cell>
          <cell r="T887" t="str">
            <v>NONE NO KEY</v>
          </cell>
          <cell r="U887" t="str">
            <v>40</v>
          </cell>
          <cell r="V887" t="str">
            <v>3</v>
          </cell>
          <cell r="W887" t="str">
            <v>60</v>
          </cell>
          <cell r="Y887" t="str">
            <v>77.7-71.4/35.7</v>
          </cell>
          <cell r="AA887" t="str">
            <v>F1</v>
          </cell>
          <cell r="AG887" t="str">
            <v>HP</v>
          </cell>
          <cell r="AI887" t="str">
            <v>6311</v>
          </cell>
          <cell r="AJ887" t="str">
            <v>6210</v>
          </cell>
          <cell r="AO887" t="str">
            <v>B</v>
          </cell>
          <cell r="AP887" t="str">
            <v>G</v>
          </cell>
          <cell r="AS887" t="str">
            <v>1.15</v>
          </cell>
          <cell r="AT887" t="str">
            <v>85.2</v>
          </cell>
          <cell r="AV887" t="b">
            <v>0</v>
          </cell>
          <cell r="HD887" t="str">
            <v>Repair Shop</v>
          </cell>
          <cell r="HT887" t="b">
            <v>0</v>
          </cell>
          <cell r="HU887" t="str">
            <v>PHILLIPS 66</v>
          </cell>
        </row>
        <row r="888">
          <cell r="A888">
            <v>1883</v>
          </cell>
          <cell r="B888" t="str">
            <v>VEM0813</v>
          </cell>
          <cell r="D888" t="str">
            <v>P66</v>
          </cell>
          <cell r="F888" t="str">
            <v>SIEMENS-ALLIS</v>
          </cell>
          <cell r="I888" t="str">
            <v>326TS</v>
          </cell>
          <cell r="K888" t="str">
            <v>50</v>
          </cell>
          <cell r="L888" t="str">
            <v>3545</v>
          </cell>
          <cell r="M888" t="str">
            <v>RGZECH</v>
          </cell>
          <cell r="O888" t="str">
            <v>Full no Cord</v>
          </cell>
          <cell r="P888" t="str">
            <v>TEFC</v>
          </cell>
          <cell r="R888" t="str">
            <v>Continuous</v>
          </cell>
          <cell r="S888" t="str">
            <v>No</v>
          </cell>
          <cell r="T888" t="str">
            <v>YES</v>
          </cell>
          <cell r="U888" t="str">
            <v>40</v>
          </cell>
          <cell r="V888" t="str">
            <v>3</v>
          </cell>
          <cell r="W888" t="str">
            <v>60</v>
          </cell>
          <cell r="X888" t="str">
            <v>460</v>
          </cell>
          <cell r="Y888" t="str">
            <v>56</v>
          </cell>
          <cell r="AA888" t="str">
            <v>F1</v>
          </cell>
          <cell r="AD888" t="str">
            <v>0</v>
          </cell>
          <cell r="AG888" t="str">
            <v>HP</v>
          </cell>
          <cell r="AO888" t="str">
            <v>B</v>
          </cell>
          <cell r="AP888" t="str">
            <v>G</v>
          </cell>
          <cell r="AQ888" t="str">
            <v>F</v>
          </cell>
          <cell r="AS888" t="str">
            <v>1.15</v>
          </cell>
          <cell r="AV888" t="b">
            <v>0</v>
          </cell>
          <cell r="HD888" t="str">
            <v>Repair Shop</v>
          </cell>
          <cell r="HT888" t="b">
            <v>0</v>
          </cell>
          <cell r="HU888" t="str">
            <v>PHILLIPS 66</v>
          </cell>
        </row>
        <row r="889">
          <cell r="A889">
            <v>1882</v>
          </cell>
          <cell r="B889" t="str">
            <v>VEM0812</v>
          </cell>
          <cell r="D889" t="str">
            <v>P66</v>
          </cell>
          <cell r="F889" t="str">
            <v>US Motors</v>
          </cell>
          <cell r="I889" t="str">
            <v>15-182T-41   TE</v>
          </cell>
          <cell r="K889" t="str">
            <v>1.5</v>
          </cell>
          <cell r="L889" t="str">
            <v>1145</v>
          </cell>
          <cell r="O889" t="str">
            <v>None</v>
          </cell>
          <cell r="P889" t="str">
            <v>TEFC</v>
          </cell>
          <cell r="R889" t="str">
            <v>Continuous</v>
          </cell>
          <cell r="T889" t="str">
            <v>NO</v>
          </cell>
          <cell r="U889" t="str">
            <v>40</v>
          </cell>
          <cell r="V889" t="str">
            <v>3</v>
          </cell>
          <cell r="W889" t="str">
            <v>60</v>
          </cell>
          <cell r="X889" t="str">
            <v>460</v>
          </cell>
          <cell r="Y889" t="str">
            <v>4.25</v>
          </cell>
          <cell r="AA889" t="str">
            <v>Other</v>
          </cell>
          <cell r="AD889" t="str">
            <v>0</v>
          </cell>
          <cell r="AG889" t="str">
            <v>HP</v>
          </cell>
          <cell r="AP889" t="str">
            <v>K</v>
          </cell>
          <cell r="AQ889" t="str">
            <v>F</v>
          </cell>
          <cell r="AV889" t="b">
            <v>0</v>
          </cell>
          <cell r="EX889" t="str">
            <v>R05R0570427R-1</v>
          </cell>
          <cell r="HD889" t="str">
            <v>Repair Shop</v>
          </cell>
          <cell r="HT889" t="b">
            <v>0</v>
          </cell>
          <cell r="HU889" t="str">
            <v>PHILLIPS 66</v>
          </cell>
        </row>
        <row r="890">
          <cell r="A890">
            <v>1881</v>
          </cell>
          <cell r="B890" t="str">
            <v>VEM0811</v>
          </cell>
          <cell r="D890" t="str">
            <v>ILL FIORELLO</v>
          </cell>
          <cell r="F890" t="str">
            <v>Brook Crompton</v>
          </cell>
          <cell r="R890" t="str">
            <v>Continuous</v>
          </cell>
          <cell r="V890" t="str">
            <v>3</v>
          </cell>
          <cell r="W890" t="str">
            <v>60</v>
          </cell>
          <cell r="AD890" t="str">
            <v>0</v>
          </cell>
          <cell r="AV890" t="b">
            <v>0</v>
          </cell>
          <cell r="HD890" t="str">
            <v>Repair Shop</v>
          </cell>
          <cell r="HT890" t="b">
            <v>0</v>
          </cell>
          <cell r="HU890" t="str">
            <v>ILL FIORELLO OLIVE OIL COMPANY</v>
          </cell>
        </row>
        <row r="891">
          <cell r="A891">
            <v>1880</v>
          </cell>
          <cell r="B891" t="str">
            <v>VEM0810</v>
          </cell>
          <cell r="D891" t="str">
            <v>C&amp;H</v>
          </cell>
          <cell r="F891" t="str">
            <v>Baldor</v>
          </cell>
          <cell r="H891" t="str">
            <v>F0212131128</v>
          </cell>
          <cell r="I891" t="str">
            <v>182 YZ</v>
          </cell>
          <cell r="K891" t="str">
            <v>1.74</v>
          </cell>
          <cell r="L891" t="str">
            <v>1140</v>
          </cell>
          <cell r="O891" t="str">
            <v>Full no Cord</v>
          </cell>
          <cell r="P891" t="str">
            <v>TEFC</v>
          </cell>
          <cell r="R891" t="str">
            <v>Continuous</v>
          </cell>
          <cell r="U891" t="str">
            <v>40</v>
          </cell>
          <cell r="V891" t="str">
            <v>3</v>
          </cell>
          <cell r="W891" t="str">
            <v>60</v>
          </cell>
          <cell r="X891" t="str">
            <v>208-230/460</v>
          </cell>
          <cell r="Y891" t="str">
            <v>5.9-5.8/2.9</v>
          </cell>
          <cell r="AA891" t="str">
            <v>Vertical</v>
          </cell>
          <cell r="AD891" t="str">
            <v>0</v>
          </cell>
          <cell r="AG891" t="str">
            <v>HP</v>
          </cell>
          <cell r="AI891" t="str">
            <v>6007</v>
          </cell>
          <cell r="AJ891" t="str">
            <v>6205</v>
          </cell>
          <cell r="AO891" t="str">
            <v>B</v>
          </cell>
          <cell r="AQ891" t="str">
            <v>F</v>
          </cell>
          <cell r="AS891" t="str">
            <v>1.15</v>
          </cell>
          <cell r="AT891" t="str">
            <v>80</v>
          </cell>
          <cell r="AU891" t="str">
            <v>36K116-019761</v>
          </cell>
          <cell r="AV891" t="b">
            <v>0</v>
          </cell>
          <cell r="HD891" t="str">
            <v>Repair Shop</v>
          </cell>
          <cell r="HT891" t="b">
            <v>0</v>
          </cell>
          <cell r="HU891" t="str">
            <v>C &amp; H SUGAR CO.</v>
          </cell>
        </row>
        <row r="892">
          <cell r="A892">
            <v>1879</v>
          </cell>
          <cell r="B892" t="str">
            <v>VEM0809</v>
          </cell>
          <cell r="D892" t="str">
            <v>STOCKTONMUNI</v>
          </cell>
          <cell r="F892" t="str">
            <v>Marathon</v>
          </cell>
          <cell r="G892" t="str">
            <v>9J 365TSTDS6001DU W</v>
          </cell>
          <cell r="H892" t="str">
            <v>01324380-8/16-02</v>
          </cell>
          <cell r="I892" t="str">
            <v>365TS</v>
          </cell>
          <cell r="K892" t="str">
            <v>75</v>
          </cell>
          <cell r="L892" t="str">
            <v>3555</v>
          </cell>
          <cell r="O892" t="str">
            <v>Full no Cord</v>
          </cell>
          <cell r="P892" t="str">
            <v>TEFC</v>
          </cell>
          <cell r="R892" t="str">
            <v>Continuous</v>
          </cell>
          <cell r="S892" t="str">
            <v>No</v>
          </cell>
          <cell r="T892" t="str">
            <v>NONE  NO KEY</v>
          </cell>
          <cell r="U892" t="str">
            <v>40</v>
          </cell>
          <cell r="V892" t="str">
            <v>3</v>
          </cell>
          <cell r="W892" t="str">
            <v>60</v>
          </cell>
          <cell r="X892" t="str">
            <v>230/460</v>
          </cell>
          <cell r="Y892" t="str">
            <v>168/84</v>
          </cell>
          <cell r="Z892" t="str">
            <v>No</v>
          </cell>
          <cell r="AA892" t="str">
            <v>F1</v>
          </cell>
          <cell r="AD892" t="str">
            <v>0</v>
          </cell>
          <cell r="AG892" t="str">
            <v>HP</v>
          </cell>
          <cell r="AI892" t="str">
            <v>6312</v>
          </cell>
          <cell r="AJ892" t="str">
            <v>6312</v>
          </cell>
          <cell r="AP892" t="str">
            <v>G</v>
          </cell>
          <cell r="AQ892" t="str">
            <v>F</v>
          </cell>
          <cell r="AR892" t="str">
            <v>88.5</v>
          </cell>
          <cell r="AS892" t="str">
            <v>1.15</v>
          </cell>
          <cell r="AT892" t="str">
            <v>94.5</v>
          </cell>
          <cell r="AV892" t="b">
            <v>0</v>
          </cell>
          <cell r="HD892" t="str">
            <v>Repair Shop</v>
          </cell>
          <cell r="HT892" t="b">
            <v>0</v>
          </cell>
          <cell r="HU892" t="str">
            <v>CITY OF STOCKTON MUNICIPAL UTILITIES</v>
          </cell>
        </row>
        <row r="893">
          <cell r="A893">
            <v>1878</v>
          </cell>
          <cell r="B893" t="str">
            <v>VEM0808</v>
          </cell>
          <cell r="D893" t="str">
            <v>VALERO</v>
          </cell>
          <cell r="AG893" t="str">
            <v>HP</v>
          </cell>
          <cell r="AV893" t="b">
            <v>0</v>
          </cell>
          <cell r="HD893" t="str">
            <v>Repair Shop</v>
          </cell>
          <cell r="HT893" t="b">
            <v>0</v>
          </cell>
          <cell r="HU893" t="str">
            <v>VALERO REFINING CO. BENICIA</v>
          </cell>
        </row>
        <row r="894">
          <cell r="A894">
            <v>1877</v>
          </cell>
          <cell r="B894" t="str">
            <v>VEM0807</v>
          </cell>
          <cell r="D894" t="str">
            <v>CONHAGEN</v>
          </cell>
          <cell r="AG894" t="str">
            <v>HP</v>
          </cell>
          <cell r="AV894" t="b">
            <v>0</v>
          </cell>
          <cell r="HD894" t="str">
            <v>Repair Shop</v>
          </cell>
          <cell r="HT894" t="b">
            <v>0</v>
          </cell>
          <cell r="HU894" t="str">
            <v>ALFRED CONHAGEN CO. OF CA</v>
          </cell>
        </row>
        <row r="895">
          <cell r="A895">
            <v>1876</v>
          </cell>
          <cell r="B895" t="str">
            <v>VEM0806</v>
          </cell>
          <cell r="D895" t="str">
            <v>C&amp;H</v>
          </cell>
          <cell r="F895" t="str">
            <v>LIGHTNIN</v>
          </cell>
          <cell r="H895" t="str">
            <v>F1705244071</v>
          </cell>
          <cell r="I895" t="str">
            <v>182YZ</v>
          </cell>
          <cell r="K895" t="str">
            <v>1.74</v>
          </cell>
          <cell r="L895" t="str">
            <v>1173</v>
          </cell>
          <cell r="O895" t="str">
            <v>Full no Cord</v>
          </cell>
          <cell r="P895" t="str">
            <v>TEFC</v>
          </cell>
          <cell r="R895" t="str">
            <v>Continuous</v>
          </cell>
          <cell r="U895" t="str">
            <v>40</v>
          </cell>
          <cell r="V895" t="str">
            <v>3</v>
          </cell>
          <cell r="W895" t="str">
            <v>60</v>
          </cell>
          <cell r="X895" t="str">
            <v>208-230/460</v>
          </cell>
          <cell r="Y895" t="str">
            <v>6.6/3.3</v>
          </cell>
          <cell r="AA895" t="str">
            <v>Vertical</v>
          </cell>
          <cell r="AD895" t="str">
            <v>0</v>
          </cell>
          <cell r="AG895" t="str">
            <v>HP</v>
          </cell>
          <cell r="AI895" t="str">
            <v>6007</v>
          </cell>
          <cell r="AJ895" t="str">
            <v>6205</v>
          </cell>
          <cell r="AO895" t="str">
            <v>B</v>
          </cell>
          <cell r="AP895" t="str">
            <v>K</v>
          </cell>
          <cell r="AQ895" t="str">
            <v>F</v>
          </cell>
          <cell r="AR895" t="str">
            <v>61</v>
          </cell>
          <cell r="AS895" t="str">
            <v>1.15</v>
          </cell>
          <cell r="AT895" t="str">
            <v>88.5</v>
          </cell>
          <cell r="AU895" t="str">
            <v>36K116T21061</v>
          </cell>
          <cell r="AV895" t="b">
            <v>0</v>
          </cell>
          <cell r="EW895" t="str">
            <v>223839</v>
          </cell>
          <cell r="HD895" t="str">
            <v>Repair Shop</v>
          </cell>
          <cell r="HT895" t="b">
            <v>0</v>
          </cell>
          <cell r="HU895" t="str">
            <v>C &amp; H SUGAR CO.</v>
          </cell>
        </row>
        <row r="896">
          <cell r="A896">
            <v>1875</v>
          </cell>
          <cell r="B896" t="str">
            <v>VEM0805</v>
          </cell>
          <cell r="D896" t="str">
            <v>GONZELECT</v>
          </cell>
          <cell r="F896" t="str">
            <v>SEW</v>
          </cell>
          <cell r="K896" t="str">
            <v>.75</v>
          </cell>
          <cell r="L896" t="str">
            <v>1700</v>
          </cell>
          <cell r="O896" t="str">
            <v>Full no Cord</v>
          </cell>
          <cell r="P896" t="str">
            <v>TEFC</v>
          </cell>
          <cell r="R896" t="str">
            <v>Continuous</v>
          </cell>
          <cell r="S896" t="str">
            <v>No</v>
          </cell>
          <cell r="T896" t="str">
            <v>YES</v>
          </cell>
          <cell r="U896" t="str">
            <v>40</v>
          </cell>
          <cell r="V896" t="str">
            <v>3</v>
          </cell>
          <cell r="W896" t="str">
            <v>60</v>
          </cell>
          <cell r="X896" t="str">
            <v>230/460</v>
          </cell>
          <cell r="Y896" t="str">
            <v>3.05/1.53</v>
          </cell>
          <cell r="AA896" t="str">
            <v>Top</v>
          </cell>
          <cell r="AD896" t="str">
            <v>0</v>
          </cell>
          <cell r="AQ896" t="str">
            <v>F</v>
          </cell>
          <cell r="AS896" t="str">
            <v>1.15</v>
          </cell>
          <cell r="AV896" t="b">
            <v>0</v>
          </cell>
          <cell r="BY896" t="str">
            <v>42.66</v>
          </cell>
          <cell r="BZ896" t="str">
            <v>1700</v>
          </cell>
          <cell r="CC896" t="str">
            <v>40</v>
          </cell>
          <cell r="CE896" t="str">
            <v>.75</v>
          </cell>
          <cell r="HD896" t="str">
            <v>Repair Shop</v>
          </cell>
          <cell r="HT896" t="b">
            <v>0</v>
          </cell>
          <cell r="HU896" t="str">
            <v>GONZALEZ ELECTRIC</v>
          </cell>
        </row>
        <row r="897">
          <cell r="A897">
            <v>1874</v>
          </cell>
          <cell r="B897" t="str">
            <v>VEM0804</v>
          </cell>
          <cell r="D897" t="str">
            <v>GREATER</v>
          </cell>
          <cell r="F897" t="str">
            <v>Knight</v>
          </cell>
          <cell r="O897" t="str">
            <v>Full no Cord</v>
          </cell>
          <cell r="V897" t="str">
            <v>1</v>
          </cell>
          <cell r="W897" t="str">
            <v>60</v>
          </cell>
          <cell r="X897" t="str">
            <v>115</v>
          </cell>
          <cell r="AA897" t="str">
            <v>Other</v>
          </cell>
          <cell r="AV897" t="b">
            <v>0</v>
          </cell>
          <cell r="HD897" t="str">
            <v>Repair Shop</v>
          </cell>
          <cell r="HT897" t="b">
            <v>0</v>
          </cell>
          <cell r="HU897" t="str">
            <v>GREATER VALLEJO RECREATION DIST.</v>
          </cell>
        </row>
        <row r="898">
          <cell r="A898">
            <v>1873</v>
          </cell>
          <cell r="B898" t="str">
            <v>VEM0803</v>
          </cell>
          <cell r="D898" t="str">
            <v>P66</v>
          </cell>
          <cell r="F898" t="str">
            <v>Reliance</v>
          </cell>
          <cell r="I898" t="str">
            <v>254HPZ</v>
          </cell>
          <cell r="K898" t="str">
            <v>15</v>
          </cell>
          <cell r="L898" t="str">
            <v>3530</v>
          </cell>
          <cell r="M898" t="str">
            <v>P</v>
          </cell>
          <cell r="N898" t="str">
            <v>338</v>
          </cell>
          <cell r="O898" t="str">
            <v>Full no Cord</v>
          </cell>
          <cell r="P898" t="str">
            <v>TEFC</v>
          </cell>
          <cell r="R898" t="str">
            <v>Continuous</v>
          </cell>
          <cell r="S898" t="str">
            <v>Yes</v>
          </cell>
          <cell r="T898" t="str">
            <v>NONE NO KEY</v>
          </cell>
          <cell r="U898" t="str">
            <v>40</v>
          </cell>
          <cell r="V898" t="str">
            <v>3</v>
          </cell>
          <cell r="W898" t="str">
            <v>60</v>
          </cell>
          <cell r="X898" t="str">
            <v>460</v>
          </cell>
          <cell r="Y898" t="str">
            <v>16.8</v>
          </cell>
          <cell r="AA898" t="str">
            <v>Vertical</v>
          </cell>
          <cell r="AD898" t="str">
            <v>0</v>
          </cell>
          <cell r="AG898" t="str">
            <v>HP</v>
          </cell>
          <cell r="AO898" t="str">
            <v>B</v>
          </cell>
          <cell r="AP898" t="str">
            <v>G</v>
          </cell>
          <cell r="AQ898" t="str">
            <v>F</v>
          </cell>
          <cell r="AR898" t="str">
            <v>90.7</v>
          </cell>
          <cell r="AS898" t="str">
            <v>1.15</v>
          </cell>
          <cell r="AT898" t="str">
            <v>91.7</v>
          </cell>
          <cell r="AV898" t="b">
            <v>0</v>
          </cell>
          <cell r="EX898" t="str">
            <v>633001  G02  DF</v>
          </cell>
          <cell r="HD898" t="str">
            <v>Repair Shop</v>
          </cell>
          <cell r="HT898" t="b">
            <v>0</v>
          </cell>
          <cell r="HU898" t="str">
            <v>PHILLIPS 66</v>
          </cell>
        </row>
        <row r="899">
          <cell r="A899">
            <v>1872</v>
          </cell>
          <cell r="B899" t="str">
            <v>VEM0802</v>
          </cell>
          <cell r="D899" t="str">
            <v>SUPERSTORES</v>
          </cell>
          <cell r="F899" t="str">
            <v>NORD</v>
          </cell>
          <cell r="H899" t="str">
            <v>34614102</v>
          </cell>
          <cell r="K899" t="str">
            <v>2</v>
          </cell>
          <cell r="L899" t="str">
            <v>1660</v>
          </cell>
          <cell r="M899" t="str">
            <v>SK90L/4CUS</v>
          </cell>
          <cell r="O899" t="str">
            <v>Full w/ Cord</v>
          </cell>
          <cell r="P899" t="str">
            <v>TEFC</v>
          </cell>
          <cell r="R899" t="str">
            <v>Continuous</v>
          </cell>
          <cell r="S899" t="str">
            <v>No</v>
          </cell>
          <cell r="U899" t="str">
            <v>40</v>
          </cell>
          <cell r="V899" t="str">
            <v>3</v>
          </cell>
          <cell r="W899" t="str">
            <v>60</v>
          </cell>
          <cell r="X899" t="str">
            <v>230/460</v>
          </cell>
          <cell r="Y899" t="str">
            <v>6.34/3.17</v>
          </cell>
          <cell r="AA899" t="str">
            <v>Vertical</v>
          </cell>
          <cell r="AD899" t="str">
            <v>0</v>
          </cell>
          <cell r="AG899" t="str">
            <v>HP</v>
          </cell>
          <cell r="AP899" t="str">
            <v>G</v>
          </cell>
          <cell r="AQ899" t="str">
            <v>F</v>
          </cell>
          <cell r="AR899" t="str">
            <v>.80</v>
          </cell>
          <cell r="AS899" t="str">
            <v>1.15</v>
          </cell>
          <cell r="AV899" t="b">
            <v>0</v>
          </cell>
          <cell r="HD899" t="str">
            <v>Repair Shop</v>
          </cell>
          <cell r="HT899" t="b">
            <v>0</v>
          </cell>
          <cell r="HU899" t="str">
            <v>Producers Dairy Foods</v>
          </cell>
        </row>
        <row r="900">
          <cell r="A900">
            <v>1871</v>
          </cell>
          <cell r="B900" t="str">
            <v>VEM0801</v>
          </cell>
          <cell r="D900" t="str">
            <v>P66</v>
          </cell>
          <cell r="F900" t="str">
            <v>Westinghouse</v>
          </cell>
          <cell r="G900" t="str">
            <v>TBFC</v>
          </cell>
          <cell r="H900" t="str">
            <v>7009</v>
          </cell>
          <cell r="I900" t="str">
            <v>254 TP</v>
          </cell>
          <cell r="K900" t="str">
            <v>15</v>
          </cell>
          <cell r="L900" t="str">
            <v>3505</v>
          </cell>
          <cell r="O900" t="str">
            <v>Full no Cord</v>
          </cell>
          <cell r="P900" t="str">
            <v>TEFC</v>
          </cell>
          <cell r="R900" t="str">
            <v>Continuous</v>
          </cell>
          <cell r="S900" t="str">
            <v>Yes</v>
          </cell>
          <cell r="T900" t="str">
            <v>NONE</v>
          </cell>
          <cell r="U900" t="str">
            <v>40</v>
          </cell>
          <cell r="V900" t="str">
            <v>3</v>
          </cell>
          <cell r="W900" t="str">
            <v>60</v>
          </cell>
          <cell r="X900" t="str">
            <v>230/460</v>
          </cell>
          <cell r="Y900" t="str">
            <v>36/18</v>
          </cell>
          <cell r="AA900" t="str">
            <v>Vertical</v>
          </cell>
          <cell r="AD900" t="str">
            <v>0</v>
          </cell>
          <cell r="AG900" t="str">
            <v>HP</v>
          </cell>
          <cell r="AP900" t="str">
            <v>F</v>
          </cell>
          <cell r="AQ900" t="str">
            <v>B</v>
          </cell>
          <cell r="AS900" t="str">
            <v>1.0</v>
          </cell>
          <cell r="AV900" t="b">
            <v>0</v>
          </cell>
          <cell r="EY900" t="str">
            <v>70A65346</v>
          </cell>
          <cell r="GK900" t="str">
            <v>HAS DRIP COVER</v>
          </cell>
          <cell r="HD900" t="str">
            <v>Repair Shop</v>
          </cell>
          <cell r="HT900" t="b">
            <v>0</v>
          </cell>
          <cell r="HU900" t="str">
            <v>PHILLIPS 66</v>
          </cell>
        </row>
        <row r="901">
          <cell r="A901">
            <v>1870</v>
          </cell>
          <cell r="B901" t="str">
            <v>VEM0800</v>
          </cell>
          <cell r="D901" t="str">
            <v>CONHAGEN</v>
          </cell>
          <cell r="AV901" t="b">
            <v>0</v>
          </cell>
          <cell r="HD901" t="str">
            <v>Repair Shop</v>
          </cell>
          <cell r="HT901" t="b">
            <v>0</v>
          </cell>
          <cell r="HU901" t="str">
            <v>ALFRED CONHAGEN CO. OF CA</v>
          </cell>
        </row>
        <row r="902">
          <cell r="A902">
            <v>1869</v>
          </cell>
          <cell r="B902" t="str">
            <v>VEM0799</v>
          </cell>
          <cell r="D902" t="str">
            <v>LINDMARINE</v>
          </cell>
          <cell r="O902" t="str">
            <v>Full no Cord</v>
          </cell>
          <cell r="R902" t="str">
            <v>Intermittant</v>
          </cell>
          <cell r="S902" t="str">
            <v>No</v>
          </cell>
          <cell r="V902" t="str">
            <v>3</v>
          </cell>
          <cell r="W902" t="str">
            <v>60</v>
          </cell>
          <cell r="X902" t="str">
            <v>230/460</v>
          </cell>
          <cell r="AD902" t="str">
            <v>0</v>
          </cell>
          <cell r="AG902" t="str">
            <v>HP</v>
          </cell>
          <cell r="AV902" t="b">
            <v>0</v>
          </cell>
          <cell r="HD902" t="str">
            <v>Repair Shop</v>
          </cell>
          <cell r="HT902" t="b">
            <v>0</v>
          </cell>
          <cell r="HU902" t="str">
            <v>LIND MARINE</v>
          </cell>
        </row>
        <row r="903">
          <cell r="A903">
            <v>1868</v>
          </cell>
          <cell r="B903" t="str">
            <v>VEM0798</v>
          </cell>
          <cell r="D903" t="str">
            <v>VALERO</v>
          </cell>
          <cell r="F903" t="str">
            <v>Siemens</v>
          </cell>
          <cell r="H903" t="str">
            <v>C94T0954 7</v>
          </cell>
          <cell r="I903" t="str">
            <v>254T</v>
          </cell>
          <cell r="K903" t="str">
            <v>15</v>
          </cell>
          <cell r="L903" t="str">
            <v>1760</v>
          </cell>
          <cell r="M903" t="str">
            <v>RGZESD</v>
          </cell>
          <cell r="N903" t="str">
            <v>256</v>
          </cell>
          <cell r="O903" t="str">
            <v>None</v>
          </cell>
          <cell r="P903" t="str">
            <v>TEFC</v>
          </cell>
          <cell r="Q903" t="str">
            <v>Yes</v>
          </cell>
          <cell r="U903" t="str">
            <v>40</v>
          </cell>
          <cell r="V903" t="str">
            <v>3</v>
          </cell>
          <cell r="W903" t="str">
            <v>60</v>
          </cell>
          <cell r="Y903" t="str">
            <v>19.7</v>
          </cell>
          <cell r="AA903" t="str">
            <v>F1</v>
          </cell>
          <cell r="AG903" t="str">
            <v>HP</v>
          </cell>
          <cell r="AP903" t="str">
            <v>G</v>
          </cell>
          <cell r="AQ903" t="str">
            <v>B</v>
          </cell>
          <cell r="AS903" t="str">
            <v>1.15</v>
          </cell>
          <cell r="AT903" t="str">
            <v>91.7</v>
          </cell>
          <cell r="AV903" t="b">
            <v>0</v>
          </cell>
          <cell r="EX903" t="str">
            <v>PART#1 LA9254-4YK70</v>
          </cell>
          <cell r="HD903" t="str">
            <v>Repair Shop</v>
          </cell>
          <cell r="HT903" t="b">
            <v>0</v>
          </cell>
          <cell r="HU903" t="str">
            <v>VALERO REFINING CO. BENICIA</v>
          </cell>
        </row>
        <row r="904">
          <cell r="A904">
            <v>1867</v>
          </cell>
          <cell r="B904" t="str">
            <v>VEM0797</v>
          </cell>
          <cell r="D904" t="str">
            <v>VALERO</v>
          </cell>
          <cell r="F904" t="str">
            <v>Westinghouse</v>
          </cell>
          <cell r="G904" t="str">
            <v>ABDP</v>
          </cell>
          <cell r="H904" t="str">
            <v>1-68</v>
          </cell>
          <cell r="I904" t="str">
            <v>504-P20</v>
          </cell>
          <cell r="K904" t="str">
            <v>200</v>
          </cell>
          <cell r="L904" t="str">
            <v>1780</v>
          </cell>
          <cell r="O904" t="str">
            <v>None</v>
          </cell>
          <cell r="P904" t="str">
            <v>ODP</v>
          </cell>
          <cell r="R904" t="str">
            <v>Continuous</v>
          </cell>
          <cell r="U904" t="str">
            <v>80</v>
          </cell>
          <cell r="V904" t="str">
            <v>3</v>
          </cell>
          <cell r="W904" t="str">
            <v>60</v>
          </cell>
          <cell r="X904" t="str">
            <v>460</v>
          </cell>
          <cell r="Y904" t="str">
            <v>224</v>
          </cell>
          <cell r="AA904" t="str">
            <v>Vertical</v>
          </cell>
          <cell r="AD904" t="str">
            <v>0</v>
          </cell>
          <cell r="AG904" t="str">
            <v>HP</v>
          </cell>
          <cell r="AQ904" t="str">
            <v>F</v>
          </cell>
          <cell r="AS904" t="str">
            <v>1.0</v>
          </cell>
          <cell r="AV904" t="b">
            <v>0</v>
          </cell>
          <cell r="GK904" t="str">
            <v>FULL JB FOR HEATERS</v>
          </cell>
          <cell r="HD904" t="str">
            <v>Repair Shop</v>
          </cell>
          <cell r="HT904" t="b">
            <v>0</v>
          </cell>
          <cell r="HU904" t="str">
            <v>VALERO REFINING CO. BENICIA</v>
          </cell>
        </row>
        <row r="905">
          <cell r="A905">
            <v>1866</v>
          </cell>
          <cell r="B905" t="str">
            <v>VEM0796</v>
          </cell>
          <cell r="D905" t="str">
            <v>P66</v>
          </cell>
          <cell r="AD905" t="str">
            <v>0</v>
          </cell>
          <cell r="AG905" t="str">
            <v>HP</v>
          </cell>
          <cell r="AV905" t="b">
            <v>0</v>
          </cell>
          <cell r="HD905" t="str">
            <v>Repair Shop</v>
          </cell>
          <cell r="HT905" t="b">
            <v>0</v>
          </cell>
          <cell r="HU905" t="str">
            <v>PHILLIPS 66</v>
          </cell>
        </row>
        <row r="906">
          <cell r="A906">
            <v>1865</v>
          </cell>
          <cell r="B906" t="str">
            <v>VEM0795</v>
          </cell>
          <cell r="D906" t="str">
            <v>CONHAGEN</v>
          </cell>
          <cell r="AV906" t="b">
            <v>0</v>
          </cell>
          <cell r="HD906" t="str">
            <v>Repair Shop</v>
          </cell>
          <cell r="HT906" t="b">
            <v>0</v>
          </cell>
          <cell r="HU906" t="str">
            <v>ALFRED CONHAGEN CO. OF CA</v>
          </cell>
        </row>
        <row r="907">
          <cell r="A907">
            <v>1864</v>
          </cell>
          <cell r="B907" t="str">
            <v>VEM0794</v>
          </cell>
          <cell r="D907" t="str">
            <v>CONHAGEN</v>
          </cell>
          <cell r="F907" t="str">
            <v>GE</v>
          </cell>
          <cell r="G907" t="str">
            <v>5KS254XAE5722A</v>
          </cell>
          <cell r="H907" t="str">
            <v>LLFT332S044</v>
          </cell>
          <cell r="I907" t="str">
            <v>L254LP10Z</v>
          </cell>
          <cell r="K907" t="str">
            <v>15</v>
          </cell>
          <cell r="L907" t="str">
            <v>3600</v>
          </cell>
          <cell r="N907" t="str">
            <v>315</v>
          </cell>
          <cell r="P907" t="str">
            <v>TEFC</v>
          </cell>
          <cell r="R907" t="str">
            <v>Continuous</v>
          </cell>
          <cell r="V907" t="str">
            <v>3</v>
          </cell>
          <cell r="W907" t="str">
            <v>60</v>
          </cell>
          <cell r="X907" t="str">
            <v>460 ONLY</v>
          </cell>
          <cell r="Y907" t="str">
            <v>17.3</v>
          </cell>
          <cell r="AA907" t="str">
            <v>Vertical</v>
          </cell>
          <cell r="AD907" t="str">
            <v>0</v>
          </cell>
          <cell r="AG907" t="str">
            <v>HP</v>
          </cell>
          <cell r="AI907" t="str">
            <v>5211</v>
          </cell>
          <cell r="AJ907" t="str">
            <v>6309-2Z</v>
          </cell>
          <cell r="AO907" t="str">
            <v>B</v>
          </cell>
          <cell r="AS907" t="str">
            <v>1.15</v>
          </cell>
          <cell r="AV907" t="b">
            <v>0</v>
          </cell>
          <cell r="AX907" t="str">
            <v>2</v>
          </cell>
          <cell r="EW907" t="str">
            <v>V772</v>
          </cell>
          <cell r="HD907" t="str">
            <v>Repair Shop</v>
          </cell>
          <cell r="HT907" t="b">
            <v>0</v>
          </cell>
          <cell r="HU907" t="str">
            <v>ALFRED CONHAGEN CO. OF CA</v>
          </cell>
        </row>
        <row r="908">
          <cell r="A908">
            <v>1863</v>
          </cell>
          <cell r="B908" t="str">
            <v>VEM0793</v>
          </cell>
          <cell r="D908" t="str">
            <v>MEYER</v>
          </cell>
          <cell r="AD908" t="str">
            <v>0</v>
          </cell>
          <cell r="AG908" t="str">
            <v>HP</v>
          </cell>
          <cell r="AV908" t="b">
            <v>0</v>
          </cell>
          <cell r="FB908" t="str">
            <v>200</v>
          </cell>
          <cell r="FC908" t="str">
            <v>1800</v>
          </cell>
          <cell r="FD908" t="str">
            <v>277/480</v>
          </cell>
          <cell r="FE908" t="str">
            <v>3</v>
          </cell>
          <cell r="FF908" t="str">
            <v>60</v>
          </cell>
          <cell r="GV908" t="str">
            <v>300.7</v>
          </cell>
          <cell r="HD908" t="str">
            <v>Repair Shop</v>
          </cell>
          <cell r="HT908" t="b">
            <v>0</v>
          </cell>
          <cell r="HU908" t="str">
            <v>MEYER CORP</v>
          </cell>
        </row>
        <row r="909">
          <cell r="A909">
            <v>1862</v>
          </cell>
          <cell r="B909" t="str">
            <v>VEM0792</v>
          </cell>
          <cell r="D909" t="str">
            <v>VALERO</v>
          </cell>
          <cell r="F909" t="str">
            <v>Reliance</v>
          </cell>
          <cell r="I909" t="str">
            <v>286T</v>
          </cell>
          <cell r="K909" t="str">
            <v>30</v>
          </cell>
          <cell r="L909" t="str">
            <v>1770</v>
          </cell>
          <cell r="M909" t="str">
            <v>P</v>
          </cell>
          <cell r="O909" t="str">
            <v>None</v>
          </cell>
          <cell r="P909" t="str">
            <v>TEFC</v>
          </cell>
          <cell r="Q909" t="str">
            <v>Yes</v>
          </cell>
          <cell r="R909" t="str">
            <v>Continuous</v>
          </cell>
          <cell r="S909" t="str">
            <v>Yes</v>
          </cell>
          <cell r="U909" t="str">
            <v>40</v>
          </cell>
          <cell r="V909" t="str">
            <v>3</v>
          </cell>
          <cell r="W909" t="str">
            <v>60</v>
          </cell>
          <cell r="X909" t="str">
            <v>460</v>
          </cell>
          <cell r="Y909" t="str">
            <v>35.6</v>
          </cell>
          <cell r="AA909" t="str">
            <v>F1</v>
          </cell>
          <cell r="AG909" t="str">
            <v>HP</v>
          </cell>
          <cell r="AI909" t="str">
            <v>6310</v>
          </cell>
          <cell r="AJ909" t="str">
            <v>6310</v>
          </cell>
          <cell r="AO909" t="str">
            <v>B</v>
          </cell>
          <cell r="AS909" t="str">
            <v>1.15</v>
          </cell>
          <cell r="AT909" t="str">
            <v>93</v>
          </cell>
          <cell r="AV909" t="b">
            <v>0</v>
          </cell>
          <cell r="EX909" t="str">
            <v>P28G3314F-G25-XK</v>
          </cell>
          <cell r="HD909" t="str">
            <v>Repair Shop</v>
          </cell>
          <cell r="HT909" t="b">
            <v>0</v>
          </cell>
          <cell r="HU909" t="str">
            <v>VALERO REFINING CO. BENICIA</v>
          </cell>
        </row>
        <row r="910">
          <cell r="A910">
            <v>1861</v>
          </cell>
          <cell r="B910" t="str">
            <v>VEM0791</v>
          </cell>
          <cell r="D910" t="str">
            <v>VALERO</v>
          </cell>
          <cell r="F910" t="str">
            <v>Reliance</v>
          </cell>
          <cell r="I910" t="str">
            <v>286T</v>
          </cell>
          <cell r="K910" t="str">
            <v>30</v>
          </cell>
          <cell r="L910" t="str">
            <v>1770</v>
          </cell>
          <cell r="M910" t="str">
            <v>P</v>
          </cell>
          <cell r="O910" t="str">
            <v>None</v>
          </cell>
          <cell r="P910" t="str">
            <v>TEFC</v>
          </cell>
          <cell r="Q910" t="str">
            <v>Yes</v>
          </cell>
          <cell r="R910" t="str">
            <v>Continuous</v>
          </cell>
          <cell r="S910" t="str">
            <v>Yes</v>
          </cell>
          <cell r="U910" t="str">
            <v>40</v>
          </cell>
          <cell r="V910" t="str">
            <v>3</v>
          </cell>
          <cell r="W910" t="str">
            <v>60</v>
          </cell>
          <cell r="X910" t="str">
            <v>460</v>
          </cell>
          <cell r="Y910" t="str">
            <v>35.6</v>
          </cell>
          <cell r="AA910" t="str">
            <v>F1</v>
          </cell>
          <cell r="AD910" t="str">
            <v>-1</v>
          </cell>
          <cell r="AG910" t="str">
            <v>HP</v>
          </cell>
          <cell r="AI910" t="str">
            <v>6310</v>
          </cell>
          <cell r="AJ910" t="str">
            <v>6310</v>
          </cell>
          <cell r="AO910" t="str">
            <v>B</v>
          </cell>
          <cell r="AP910" t="str">
            <v>G</v>
          </cell>
          <cell r="AS910" t="str">
            <v>1.15</v>
          </cell>
          <cell r="AT910" t="str">
            <v>93</v>
          </cell>
          <cell r="AV910" t="b">
            <v>0</v>
          </cell>
          <cell r="EX910" t="str">
            <v>P28G3314F-G09-XK</v>
          </cell>
          <cell r="HD910" t="str">
            <v>Repair Shop</v>
          </cell>
          <cell r="HT910" t="b">
            <v>0</v>
          </cell>
          <cell r="HU910" t="str">
            <v>VALERO REFINING CO. BENICIA</v>
          </cell>
        </row>
        <row r="911">
          <cell r="A911">
            <v>1860</v>
          </cell>
          <cell r="B911" t="str">
            <v>VEM0790</v>
          </cell>
          <cell r="D911" t="str">
            <v>VALERO</v>
          </cell>
          <cell r="F911" t="str">
            <v>Siemens</v>
          </cell>
          <cell r="H911" t="str">
            <v>ORD#1LA02864SE41</v>
          </cell>
          <cell r="I911" t="str">
            <v>286T</v>
          </cell>
          <cell r="K911" t="str">
            <v>30</v>
          </cell>
          <cell r="L911" t="str">
            <v>1765</v>
          </cell>
          <cell r="M911" t="str">
            <v>RGZESD</v>
          </cell>
          <cell r="O911" t="str">
            <v>None</v>
          </cell>
          <cell r="P911" t="str">
            <v>TEFC</v>
          </cell>
          <cell r="R911" t="str">
            <v>Continuous</v>
          </cell>
          <cell r="S911" t="str">
            <v>Yes</v>
          </cell>
          <cell r="T911" t="str">
            <v>NONE NO KEY</v>
          </cell>
          <cell r="U911" t="str">
            <v>40</v>
          </cell>
          <cell r="V911" t="str">
            <v>3</v>
          </cell>
          <cell r="W911" t="str">
            <v>60</v>
          </cell>
          <cell r="X911" t="str">
            <v>460</v>
          </cell>
          <cell r="Y911" t="str">
            <v>34.9</v>
          </cell>
          <cell r="AA911" t="str">
            <v>F1</v>
          </cell>
          <cell r="AG911" t="str">
            <v>HP</v>
          </cell>
          <cell r="AI911" t="str">
            <v>6310</v>
          </cell>
          <cell r="AJ911" t="str">
            <v>6310</v>
          </cell>
          <cell r="AO911" t="str">
            <v>B</v>
          </cell>
          <cell r="AP911" t="str">
            <v>G</v>
          </cell>
          <cell r="AQ911" t="str">
            <v>F</v>
          </cell>
          <cell r="AS911" t="str">
            <v>1.15</v>
          </cell>
          <cell r="AT911" t="str">
            <v>93.6</v>
          </cell>
          <cell r="AV911" t="b">
            <v>0</v>
          </cell>
          <cell r="HD911" t="str">
            <v>Repair Shop</v>
          </cell>
          <cell r="HT911" t="b">
            <v>0</v>
          </cell>
          <cell r="HU911" t="str">
            <v>VALERO REFINING CO. BENICIA</v>
          </cell>
        </row>
        <row r="912">
          <cell r="A912">
            <v>1859</v>
          </cell>
          <cell r="B912" t="str">
            <v>VEM0789</v>
          </cell>
          <cell r="D912" t="str">
            <v>VALERO</v>
          </cell>
          <cell r="F912" t="str">
            <v>Siemens</v>
          </cell>
          <cell r="H912" t="str">
            <v>003 1051IJJ 24</v>
          </cell>
          <cell r="I912" t="str">
            <v>286T</v>
          </cell>
          <cell r="K912" t="str">
            <v>30</v>
          </cell>
          <cell r="L912" t="str">
            <v>1765</v>
          </cell>
          <cell r="M912" t="str">
            <v>RGZESDX</v>
          </cell>
          <cell r="N912" t="str">
            <v>420</v>
          </cell>
          <cell r="O912" t="str">
            <v>None</v>
          </cell>
          <cell r="P912" t="str">
            <v>TEFC</v>
          </cell>
          <cell r="R912" t="str">
            <v>Continuous</v>
          </cell>
          <cell r="S912" t="str">
            <v>Yes</v>
          </cell>
          <cell r="T912" t="str">
            <v>NONE NO KEY</v>
          </cell>
          <cell r="U912" t="str">
            <v>40</v>
          </cell>
          <cell r="V912" t="str">
            <v>3</v>
          </cell>
          <cell r="W912" t="str">
            <v>60</v>
          </cell>
          <cell r="X912" t="str">
            <v>460</v>
          </cell>
          <cell r="Y912" t="str">
            <v>35</v>
          </cell>
          <cell r="AA912" t="str">
            <v>F1</v>
          </cell>
          <cell r="AG912" t="str">
            <v>HP</v>
          </cell>
          <cell r="AO912" t="str">
            <v>B</v>
          </cell>
          <cell r="AP912" t="str">
            <v>G</v>
          </cell>
          <cell r="AQ912" t="str">
            <v>F</v>
          </cell>
          <cell r="AS912" t="str">
            <v>1.15</v>
          </cell>
          <cell r="AT912" t="str">
            <v>93</v>
          </cell>
          <cell r="AV912" t="b">
            <v>0</v>
          </cell>
          <cell r="HD912" t="str">
            <v>Repair Shop</v>
          </cell>
          <cell r="HT912" t="b">
            <v>0</v>
          </cell>
          <cell r="HU912" t="str">
            <v>VALERO REFINING CO. BENICIA</v>
          </cell>
        </row>
        <row r="913">
          <cell r="A913">
            <v>1858</v>
          </cell>
          <cell r="B913" t="str">
            <v>VEM0788</v>
          </cell>
          <cell r="D913" t="str">
            <v>C&amp;H</v>
          </cell>
          <cell r="F913" t="str">
            <v>NUTALL</v>
          </cell>
          <cell r="I913" t="str">
            <v>215TY</v>
          </cell>
          <cell r="K913" t="str">
            <v>10</v>
          </cell>
          <cell r="L913" t="str">
            <v>1750</v>
          </cell>
          <cell r="M913" t="str">
            <v>P</v>
          </cell>
          <cell r="O913" t="str">
            <v>None</v>
          </cell>
          <cell r="P913" t="str">
            <v>TEFC</v>
          </cell>
          <cell r="R913" t="str">
            <v>Continuous</v>
          </cell>
          <cell r="S913" t="str">
            <v>No</v>
          </cell>
          <cell r="T913" t="str">
            <v>NONE NO KEY</v>
          </cell>
          <cell r="U913" t="str">
            <v>40</v>
          </cell>
          <cell r="V913" t="str">
            <v>3</v>
          </cell>
          <cell r="W913" t="str">
            <v>60</v>
          </cell>
          <cell r="X913" t="str">
            <v>230/460</v>
          </cell>
          <cell r="Y913" t="str">
            <v>24.4/12.2</v>
          </cell>
          <cell r="AA913" t="str">
            <v>F1</v>
          </cell>
          <cell r="AD913" t="str">
            <v>0</v>
          </cell>
          <cell r="AG913" t="str">
            <v>HP</v>
          </cell>
          <cell r="AO913" t="str">
            <v>B</v>
          </cell>
          <cell r="AQ913" t="str">
            <v>F</v>
          </cell>
          <cell r="AS913" t="str">
            <v>1.15</v>
          </cell>
          <cell r="AT913" t="str">
            <v>89.5</v>
          </cell>
          <cell r="AV913" t="b">
            <v>0</v>
          </cell>
          <cell r="BY913" t="str">
            <v>25.40</v>
          </cell>
          <cell r="BZ913" t="str">
            <v>1750</v>
          </cell>
          <cell r="CC913" t="str">
            <v>68</v>
          </cell>
          <cell r="CE913" t="str">
            <v>10</v>
          </cell>
          <cell r="CH913" t="str">
            <v>NO</v>
          </cell>
          <cell r="EX913" t="str">
            <v>7213448-001-LJT1</v>
          </cell>
          <cell r="HD913" t="str">
            <v>Repair Shop</v>
          </cell>
          <cell r="HT913" t="b">
            <v>0</v>
          </cell>
          <cell r="HU913" t="str">
            <v>C &amp; H SUGAR CO.</v>
          </cell>
        </row>
        <row r="914">
          <cell r="A914">
            <v>1857</v>
          </cell>
          <cell r="B914" t="str">
            <v>VEM0787</v>
          </cell>
          <cell r="D914" t="str">
            <v>BALLCONTAINER</v>
          </cell>
          <cell r="F914" t="str">
            <v>Marathon</v>
          </cell>
          <cell r="G914" t="str">
            <v>365TTDCA6060</v>
          </cell>
          <cell r="H914" t="str">
            <v>120020</v>
          </cell>
          <cell r="I914" t="str">
            <v>365T</v>
          </cell>
          <cell r="K914" t="str">
            <v>75</v>
          </cell>
          <cell r="L914" t="str">
            <v>1790</v>
          </cell>
          <cell r="N914" t="str">
            <v>1030</v>
          </cell>
          <cell r="O914" t="str">
            <v>None</v>
          </cell>
          <cell r="P914" t="str">
            <v>ODP</v>
          </cell>
          <cell r="R914" t="str">
            <v>Continuous</v>
          </cell>
          <cell r="S914" t="str">
            <v>Yes</v>
          </cell>
          <cell r="T914" t="str">
            <v>NONE NO KEY</v>
          </cell>
          <cell r="U914" t="str">
            <v>40</v>
          </cell>
          <cell r="V914" t="str">
            <v>3</v>
          </cell>
          <cell r="W914" t="str">
            <v>60</v>
          </cell>
          <cell r="X914" t="str">
            <v>208-230/460</v>
          </cell>
          <cell r="Y914" t="str">
            <v>164/82</v>
          </cell>
          <cell r="AA914" t="str">
            <v>F1</v>
          </cell>
          <cell r="AD914" t="str">
            <v>0</v>
          </cell>
          <cell r="AG914" t="str">
            <v>HP</v>
          </cell>
          <cell r="AP914" t="str">
            <v>G</v>
          </cell>
          <cell r="AQ914" t="str">
            <v>F</v>
          </cell>
          <cell r="AS914" t="str">
            <v>1.15</v>
          </cell>
          <cell r="AT914" t="str">
            <v>94.5</v>
          </cell>
          <cell r="AV914" t="b">
            <v>0</v>
          </cell>
          <cell r="EW914" t="str">
            <v>U1783</v>
          </cell>
          <cell r="GK914" t="str">
            <v>WITH GROUNDING RING</v>
          </cell>
          <cell r="HD914" t="str">
            <v>Repair Shop</v>
          </cell>
          <cell r="HT914" t="b">
            <v>0</v>
          </cell>
          <cell r="HU914" t="str">
            <v>BALL CONTAINER</v>
          </cell>
        </row>
        <row r="915">
          <cell r="A915">
            <v>1856</v>
          </cell>
          <cell r="B915" t="str">
            <v>VEM0786</v>
          </cell>
          <cell r="D915" t="str">
            <v>COCACOLA</v>
          </cell>
          <cell r="F915" t="str">
            <v>EMOD</v>
          </cell>
          <cell r="H915" t="str">
            <v>6959236</v>
          </cell>
          <cell r="K915" t="str">
            <v>4.82</v>
          </cell>
          <cell r="L915" t="str">
            <v>3380</v>
          </cell>
          <cell r="O915" t="str">
            <v>Full no Cord</v>
          </cell>
          <cell r="P915" t="str">
            <v>TEFC</v>
          </cell>
          <cell r="R915" t="str">
            <v>Continuous</v>
          </cell>
          <cell r="T915" t="str">
            <v>KEY ONLY</v>
          </cell>
          <cell r="V915" t="str">
            <v>3</v>
          </cell>
          <cell r="W915" t="str">
            <v>60</v>
          </cell>
          <cell r="X915" t="str">
            <v>277/480</v>
          </cell>
          <cell r="Y915" t="str">
            <v>11.6/6.7</v>
          </cell>
          <cell r="AA915" t="str">
            <v>Vertical</v>
          </cell>
          <cell r="AD915" t="str">
            <v>0</v>
          </cell>
          <cell r="AG915" t="str">
            <v>HP</v>
          </cell>
          <cell r="AQ915" t="str">
            <v>F</v>
          </cell>
          <cell r="AV915" t="b">
            <v>0</v>
          </cell>
          <cell r="HD915" t="str">
            <v>Repair Shop</v>
          </cell>
          <cell r="HT915" t="b">
            <v>0</v>
          </cell>
          <cell r="HU915" t="str">
            <v>COCA COLA</v>
          </cell>
        </row>
        <row r="916">
          <cell r="A916">
            <v>1853</v>
          </cell>
          <cell r="B916" t="str">
            <v>VEM0783</v>
          </cell>
          <cell r="D916" t="str">
            <v>CONHAGEN</v>
          </cell>
          <cell r="AG916" t="str">
            <v>HP</v>
          </cell>
          <cell r="AV916" t="b">
            <v>0</v>
          </cell>
          <cell r="HD916" t="str">
            <v>Repair Shop</v>
          </cell>
          <cell r="HT916" t="b">
            <v>0</v>
          </cell>
          <cell r="HU916" t="str">
            <v>ALFRED CONHAGEN CO. OF CA</v>
          </cell>
        </row>
        <row r="917">
          <cell r="A917">
            <v>1852</v>
          </cell>
          <cell r="B917" t="str">
            <v>VEM0782</v>
          </cell>
          <cell r="D917" t="str">
            <v>MOTION</v>
          </cell>
          <cell r="F917" t="str">
            <v>Baldor</v>
          </cell>
          <cell r="H917" t="str">
            <v>W1711304565</v>
          </cell>
          <cell r="I917" t="str">
            <v>184</v>
          </cell>
          <cell r="K917" t="str">
            <v>1.5</v>
          </cell>
          <cell r="L917" t="str">
            <v>1750</v>
          </cell>
          <cell r="M917" t="str">
            <v>3636D</v>
          </cell>
          <cell r="O917" t="str">
            <v>Full no Cord</v>
          </cell>
          <cell r="R917" t="str">
            <v>Continuous</v>
          </cell>
          <cell r="S917" t="str">
            <v>Yes</v>
          </cell>
          <cell r="T917" t="str">
            <v>NONE NO KEY</v>
          </cell>
          <cell r="U917" t="str">
            <v>40</v>
          </cell>
          <cell r="X917" t="str">
            <v>230</v>
          </cell>
          <cell r="Y917" t="str">
            <v>5.8</v>
          </cell>
          <cell r="AA917" t="str">
            <v>F1</v>
          </cell>
          <cell r="AG917" t="str">
            <v>HP</v>
          </cell>
          <cell r="AI917" t="str">
            <v>6206</v>
          </cell>
          <cell r="AJ917" t="str">
            <v>6205</v>
          </cell>
          <cell r="AQ917" t="str">
            <v>F</v>
          </cell>
          <cell r="AU917" t="str">
            <v>36-5313Z114</v>
          </cell>
          <cell r="AV917" t="b">
            <v>0</v>
          </cell>
          <cell r="ER917" t="str">
            <v>230</v>
          </cell>
          <cell r="ES917" t="str">
            <v>.3</v>
          </cell>
          <cell r="EW917" t="str">
            <v>D2305</v>
          </cell>
          <cell r="GK917" t="str">
            <v>BRUSH 2/BP5125A01</v>
          </cell>
          <cell r="HD917" t="str">
            <v>Repair Shop</v>
          </cell>
          <cell r="HT917" t="b">
            <v>0</v>
          </cell>
          <cell r="HU917" t="str">
            <v>MOTION INDUSTRIES</v>
          </cell>
        </row>
        <row r="918">
          <cell r="A918">
            <v>1851</v>
          </cell>
          <cell r="B918" t="str">
            <v>VEM0781</v>
          </cell>
          <cell r="D918" t="str">
            <v>CLEANHARBORS</v>
          </cell>
          <cell r="F918" t="str">
            <v>Baldor</v>
          </cell>
          <cell r="I918" t="str">
            <v>326TS</v>
          </cell>
          <cell r="K918" t="str">
            <v>50</v>
          </cell>
          <cell r="L918" t="str">
            <v>3540</v>
          </cell>
          <cell r="P918" t="str">
            <v>TEFC</v>
          </cell>
          <cell r="R918" t="str">
            <v>Continuous</v>
          </cell>
          <cell r="S918" t="str">
            <v>Yes</v>
          </cell>
          <cell r="T918" t="str">
            <v>NONE NO KEY</v>
          </cell>
          <cell r="U918" t="str">
            <v>40</v>
          </cell>
          <cell r="V918" t="str">
            <v>3</v>
          </cell>
          <cell r="W918" t="str">
            <v>60</v>
          </cell>
          <cell r="X918" t="str">
            <v>230/460</v>
          </cell>
          <cell r="Y918" t="str">
            <v>112/56</v>
          </cell>
          <cell r="AA918" t="str">
            <v>F1</v>
          </cell>
          <cell r="AD918" t="str">
            <v>0</v>
          </cell>
          <cell r="AG918" t="str">
            <v>HP</v>
          </cell>
          <cell r="AO918" t="str">
            <v>B</v>
          </cell>
          <cell r="AS918" t="str">
            <v>1.00</v>
          </cell>
          <cell r="AT918" t="str">
            <v>92.4</v>
          </cell>
          <cell r="AV918" t="b">
            <v>0</v>
          </cell>
          <cell r="HD918" t="str">
            <v>Repair Shop</v>
          </cell>
          <cell r="HT918" t="b">
            <v>0</v>
          </cell>
          <cell r="HU918" t="str">
            <v>CLEAN HARBORS</v>
          </cell>
        </row>
        <row r="919">
          <cell r="A919">
            <v>1850</v>
          </cell>
          <cell r="B919" t="str">
            <v>VEM0780</v>
          </cell>
          <cell r="D919" t="str">
            <v>CLEANHARBORS</v>
          </cell>
          <cell r="AD919" t="str">
            <v>0</v>
          </cell>
          <cell r="AG919" t="str">
            <v>HP</v>
          </cell>
          <cell r="AV919" t="b">
            <v>0</v>
          </cell>
          <cell r="AY919" t="str">
            <v>HYDRATRON</v>
          </cell>
          <cell r="AZ919" t="str">
            <v>AZ-1-5H-V</v>
          </cell>
          <cell r="BA919" t="str">
            <v>23427</v>
          </cell>
          <cell r="HD919" t="str">
            <v>Repair Shop</v>
          </cell>
          <cell r="HT919" t="b">
            <v>0</v>
          </cell>
          <cell r="HU919" t="str">
            <v>CLEAN HARBORS</v>
          </cell>
        </row>
        <row r="920">
          <cell r="A920">
            <v>1849</v>
          </cell>
          <cell r="B920" t="str">
            <v>VEM0779</v>
          </cell>
          <cell r="D920" t="str">
            <v>CLEANHARBORS</v>
          </cell>
          <cell r="AD920" t="str">
            <v>0</v>
          </cell>
          <cell r="AV920" t="b">
            <v>0</v>
          </cell>
          <cell r="AY920" t="str">
            <v>HYDRATRON</v>
          </cell>
          <cell r="AZ920" t="str">
            <v>AZ-2-60H-V</v>
          </cell>
          <cell r="BA920" t="str">
            <v>23428</v>
          </cell>
          <cell r="BL920" t="str">
            <v>6000</v>
          </cell>
          <cell r="HD920" t="str">
            <v>Repair Shop</v>
          </cell>
          <cell r="HT920" t="b">
            <v>0</v>
          </cell>
          <cell r="HU920" t="str">
            <v>CLEAN HARBORS</v>
          </cell>
        </row>
        <row r="921">
          <cell r="A921">
            <v>1848</v>
          </cell>
          <cell r="B921" t="str">
            <v>VEM0778</v>
          </cell>
          <cell r="D921" t="str">
            <v>NATIONALBLENDIN</v>
          </cell>
          <cell r="AD921" t="str">
            <v>0</v>
          </cell>
          <cell r="AG921" t="str">
            <v>HP</v>
          </cell>
          <cell r="AV921" t="b">
            <v>0</v>
          </cell>
          <cell r="HD921" t="str">
            <v>Repair Shop</v>
          </cell>
          <cell r="HT921" t="b">
            <v>0</v>
          </cell>
          <cell r="HU921" t="str">
            <v>NATIONAL BLENDING COMPANY</v>
          </cell>
        </row>
        <row r="922">
          <cell r="A922">
            <v>1847</v>
          </cell>
          <cell r="B922" t="str">
            <v>VEM0777</v>
          </cell>
          <cell r="D922" t="str">
            <v>NATIONALBLENDIN</v>
          </cell>
          <cell r="AD922" t="str">
            <v>0</v>
          </cell>
          <cell r="AG922" t="str">
            <v>HP</v>
          </cell>
          <cell r="AV922" t="b">
            <v>0</v>
          </cell>
          <cell r="HD922" t="str">
            <v>Repair Shop</v>
          </cell>
          <cell r="HT922" t="b">
            <v>0</v>
          </cell>
          <cell r="HU922" t="str">
            <v>NATIONAL BLENDING COMPANY</v>
          </cell>
        </row>
        <row r="923">
          <cell r="A923">
            <v>1846</v>
          </cell>
          <cell r="B923" t="str">
            <v>VEM0776</v>
          </cell>
          <cell r="D923" t="str">
            <v>CONHAGEN</v>
          </cell>
          <cell r="F923" t="str">
            <v>GE</v>
          </cell>
          <cell r="G923" t="str">
            <v>5KS254XAF5722A</v>
          </cell>
          <cell r="H923" t="str">
            <v>BMFT053S024</v>
          </cell>
          <cell r="I923" t="str">
            <v>L254LPZ</v>
          </cell>
          <cell r="K923" t="str">
            <v>15</v>
          </cell>
          <cell r="L923" t="str">
            <v>3550</v>
          </cell>
          <cell r="M923" t="str">
            <v>KS</v>
          </cell>
          <cell r="N923" t="str">
            <v>315</v>
          </cell>
          <cell r="O923" t="str">
            <v>Full no Cord</v>
          </cell>
          <cell r="P923" t="str">
            <v>TEFC</v>
          </cell>
          <cell r="R923" t="str">
            <v>Continuous</v>
          </cell>
          <cell r="S923" t="str">
            <v>No</v>
          </cell>
          <cell r="T923" t="str">
            <v>NONE</v>
          </cell>
          <cell r="U923" t="str">
            <v>40</v>
          </cell>
          <cell r="V923" t="str">
            <v>3</v>
          </cell>
          <cell r="W923" t="str">
            <v>60</v>
          </cell>
          <cell r="X923" t="str">
            <v>460</v>
          </cell>
          <cell r="Y923" t="str">
            <v>17.3</v>
          </cell>
          <cell r="Z923" t="str">
            <v>Yes</v>
          </cell>
          <cell r="AA923" t="str">
            <v>Vertical</v>
          </cell>
          <cell r="AD923" t="str">
            <v>-1</v>
          </cell>
          <cell r="AG923" t="str">
            <v>HP</v>
          </cell>
          <cell r="AH923" t="str">
            <v>WITH JB GASKET</v>
          </cell>
          <cell r="AI923" t="str">
            <v>3211</v>
          </cell>
          <cell r="AJ923" t="str">
            <v>6309</v>
          </cell>
          <cell r="AO923" t="str">
            <v>B</v>
          </cell>
          <cell r="AP923" t="str">
            <v>G</v>
          </cell>
          <cell r="AQ923" t="str">
            <v>H</v>
          </cell>
          <cell r="AR923" t="str">
            <v>89</v>
          </cell>
          <cell r="AS923" t="str">
            <v>1.15</v>
          </cell>
          <cell r="AT923" t="str">
            <v>91</v>
          </cell>
          <cell r="AV923" t="b">
            <v>0</v>
          </cell>
          <cell r="EW923" t="str">
            <v>V772</v>
          </cell>
          <cell r="GK923" t="str">
            <v>Shaft  seal area machined to 1.730</v>
          </cell>
          <cell r="GL923" t="str">
            <v>Register machined to 8.247.</v>
          </cell>
          <cell r="GM923" t="str">
            <v>Register 8.246-.000+.002</v>
          </cell>
          <cell r="HD923" t="str">
            <v>Repair Shop</v>
          </cell>
          <cell r="HT923" t="b">
            <v>0</v>
          </cell>
          <cell r="HU923" t="str">
            <v>ALFRED CONHAGEN CO. OF CA</v>
          </cell>
        </row>
        <row r="924">
          <cell r="A924">
            <v>1845</v>
          </cell>
          <cell r="B924" t="str">
            <v>VEM0775</v>
          </cell>
          <cell r="D924" t="str">
            <v>P66</v>
          </cell>
          <cell r="F924" t="str">
            <v>LOUIS ALLIS</v>
          </cell>
          <cell r="G924" t="str">
            <v>5278018001</v>
          </cell>
          <cell r="I924" t="str">
            <v>324U</v>
          </cell>
          <cell r="K924" t="str">
            <v>25</v>
          </cell>
          <cell r="L924" t="str">
            <v>1770</v>
          </cell>
          <cell r="M924" t="str">
            <v>CJXC</v>
          </cell>
          <cell r="O924" t="str">
            <v>Full w/ Cord</v>
          </cell>
          <cell r="P924" t="str">
            <v>TEFC</v>
          </cell>
          <cell r="R924" t="str">
            <v>Continuous</v>
          </cell>
          <cell r="S924" t="str">
            <v>Yes</v>
          </cell>
          <cell r="T924" t="str">
            <v>KEY ONLY</v>
          </cell>
          <cell r="U924" t="str">
            <v>55</v>
          </cell>
          <cell r="V924" t="str">
            <v>3</v>
          </cell>
          <cell r="W924" t="str">
            <v>60</v>
          </cell>
          <cell r="X924" t="str">
            <v>208-220/440</v>
          </cell>
          <cell r="Y924" t="str">
            <v>64-60/30</v>
          </cell>
          <cell r="AD924" t="str">
            <v>0</v>
          </cell>
          <cell r="AG924" t="str">
            <v>HP</v>
          </cell>
          <cell r="AI924" t="str">
            <v>312</v>
          </cell>
          <cell r="AJ924" t="str">
            <v>212</v>
          </cell>
          <cell r="AP924" t="str">
            <v>F</v>
          </cell>
          <cell r="AS924" t="str">
            <v>1.0</v>
          </cell>
          <cell r="AV924" t="b">
            <v>0</v>
          </cell>
          <cell r="HD924" t="str">
            <v>Repair Shop</v>
          </cell>
          <cell r="HT924" t="b">
            <v>0</v>
          </cell>
          <cell r="HU924" t="str">
            <v>PHILLIPS 66</v>
          </cell>
        </row>
        <row r="925">
          <cell r="A925">
            <v>1843</v>
          </cell>
          <cell r="B925" t="str">
            <v>VEM0773</v>
          </cell>
          <cell r="D925" t="str">
            <v>CONHAGEN</v>
          </cell>
          <cell r="F925" t="str">
            <v>Siemens</v>
          </cell>
          <cell r="H925" t="str">
            <v>H07T1049SE</v>
          </cell>
          <cell r="I925" t="str">
            <v>256T</v>
          </cell>
          <cell r="K925" t="str">
            <v>20</v>
          </cell>
          <cell r="L925" t="str">
            <v>1780</v>
          </cell>
          <cell r="M925" t="str">
            <v>SD 100</v>
          </cell>
          <cell r="N925" t="str">
            <v>341</v>
          </cell>
          <cell r="O925" t="str">
            <v>None</v>
          </cell>
          <cell r="P925" t="str">
            <v>TEFC</v>
          </cell>
          <cell r="R925" t="str">
            <v>Continuous</v>
          </cell>
          <cell r="S925" t="str">
            <v>Yes</v>
          </cell>
          <cell r="T925" t="str">
            <v>NONE NO KEY</v>
          </cell>
          <cell r="U925" t="str">
            <v>40</v>
          </cell>
          <cell r="V925" t="str">
            <v>3</v>
          </cell>
          <cell r="W925" t="str">
            <v>60</v>
          </cell>
          <cell r="X925" t="str">
            <v>460</v>
          </cell>
          <cell r="Y925" t="str">
            <v>25</v>
          </cell>
          <cell r="AA925" t="str">
            <v>Vertical</v>
          </cell>
          <cell r="AD925" t="str">
            <v>-1</v>
          </cell>
          <cell r="AG925" t="str">
            <v>HP</v>
          </cell>
          <cell r="AI925" t="str">
            <v>6309</v>
          </cell>
          <cell r="AJ925" t="str">
            <v>6309</v>
          </cell>
          <cell r="AO925" t="str">
            <v>B</v>
          </cell>
          <cell r="AP925" t="str">
            <v>G</v>
          </cell>
          <cell r="AQ925" t="str">
            <v>F</v>
          </cell>
          <cell r="AS925" t="str">
            <v>1.15</v>
          </cell>
          <cell r="AT925" t="str">
            <v>93.6</v>
          </cell>
          <cell r="AV925" t="b">
            <v>0</v>
          </cell>
          <cell r="HD925" t="str">
            <v>Repair Shop</v>
          </cell>
          <cell r="HT925" t="b">
            <v>0</v>
          </cell>
          <cell r="HU925" t="str">
            <v>ALFRED CONHAGEN CO. OF CA</v>
          </cell>
        </row>
        <row r="926">
          <cell r="A926">
            <v>1840</v>
          </cell>
          <cell r="B926" t="str">
            <v>VEM0772</v>
          </cell>
          <cell r="D926" t="str">
            <v>VALERO</v>
          </cell>
          <cell r="F926" t="str">
            <v>Westinghouse</v>
          </cell>
          <cell r="G926" t="str">
            <v>TAFC</v>
          </cell>
          <cell r="H926" t="str">
            <v>7309</v>
          </cell>
          <cell r="I926" t="str">
            <v>405VP</v>
          </cell>
          <cell r="K926" t="str">
            <v>100</v>
          </cell>
          <cell r="L926" t="str">
            <v>3555</v>
          </cell>
          <cell r="O926" t="str">
            <v>None</v>
          </cell>
          <cell r="P926" t="str">
            <v>TEFC</v>
          </cell>
          <cell r="R926" t="str">
            <v>Continuous</v>
          </cell>
          <cell r="T926" t="str">
            <v>YES</v>
          </cell>
          <cell r="U926" t="str">
            <v>40</v>
          </cell>
          <cell r="V926" t="str">
            <v>3</v>
          </cell>
          <cell r="W926" t="str">
            <v>60</v>
          </cell>
          <cell r="X926" t="str">
            <v>230/460</v>
          </cell>
          <cell r="Y926" t="str">
            <v>224/112</v>
          </cell>
          <cell r="AA926" t="str">
            <v>Vertical</v>
          </cell>
          <cell r="AG926" t="str">
            <v>HP</v>
          </cell>
          <cell r="AO926" t="str">
            <v>A</v>
          </cell>
          <cell r="AP926" t="str">
            <v>H</v>
          </cell>
          <cell r="AS926" t="str">
            <v>1.0</v>
          </cell>
          <cell r="AV926" t="b">
            <v>0</v>
          </cell>
          <cell r="HD926" t="str">
            <v>Repair Shop</v>
          </cell>
          <cell r="HT926" t="b">
            <v>0</v>
          </cell>
          <cell r="HU926" t="str">
            <v>VALERO REFINING CO. BENICIA</v>
          </cell>
        </row>
        <row r="927">
          <cell r="A927">
            <v>1839</v>
          </cell>
          <cell r="B927" t="str">
            <v>VEM0771</v>
          </cell>
          <cell r="D927" t="str">
            <v>CLEANHARBORS</v>
          </cell>
          <cell r="AD927" t="str">
            <v>0</v>
          </cell>
          <cell r="AG927" t="str">
            <v>HP</v>
          </cell>
          <cell r="AV927" t="b">
            <v>0</v>
          </cell>
          <cell r="HD927" t="str">
            <v>Repair Shop</v>
          </cell>
          <cell r="HT927" t="b">
            <v>0</v>
          </cell>
          <cell r="HU927" t="str">
            <v>CLEAN HARBORS</v>
          </cell>
        </row>
        <row r="928">
          <cell r="A928">
            <v>1838</v>
          </cell>
          <cell r="B928" t="str">
            <v>VEM0770</v>
          </cell>
          <cell r="D928" t="str">
            <v>VALERO</v>
          </cell>
          <cell r="F928" t="str">
            <v>BALDOR-RELIANCE</v>
          </cell>
          <cell r="H928" t="str">
            <v>B675900-010001 CP</v>
          </cell>
          <cell r="I928" t="str">
            <v>213HP</v>
          </cell>
          <cell r="K928" t="str">
            <v>7.5</v>
          </cell>
          <cell r="L928" t="str">
            <v>1770</v>
          </cell>
          <cell r="M928" t="str">
            <v>P</v>
          </cell>
          <cell r="N928" t="str">
            <v>80.7</v>
          </cell>
          <cell r="O928" t="str">
            <v>Full no Cord</v>
          </cell>
          <cell r="P928" t="str">
            <v>TEFC</v>
          </cell>
          <cell r="R928" t="str">
            <v>Continuous</v>
          </cell>
          <cell r="S928" t="str">
            <v>Yes</v>
          </cell>
          <cell r="T928" t="str">
            <v>NONE</v>
          </cell>
          <cell r="U928" t="str">
            <v>40C</v>
          </cell>
          <cell r="V928" t="str">
            <v>3</v>
          </cell>
          <cell r="W928" t="str">
            <v>60</v>
          </cell>
          <cell r="X928" t="str">
            <v>460</v>
          </cell>
          <cell r="Y928" t="str">
            <v>9.5</v>
          </cell>
          <cell r="Z928" t="str">
            <v>Yes</v>
          </cell>
          <cell r="AA928" t="str">
            <v>Vertical</v>
          </cell>
          <cell r="AD928" t="str">
            <v>0</v>
          </cell>
          <cell r="AG928" t="str">
            <v>HP</v>
          </cell>
          <cell r="AO928" t="str">
            <v>B</v>
          </cell>
          <cell r="AP928" t="str">
            <v>H</v>
          </cell>
          <cell r="AQ928" t="str">
            <v>F</v>
          </cell>
          <cell r="AS928" t="str">
            <v>1.15</v>
          </cell>
          <cell r="AT928" t="str">
            <v>91.7</v>
          </cell>
          <cell r="AU928" t="str">
            <v>B675900</v>
          </cell>
          <cell r="AV928" t="b">
            <v>0</v>
          </cell>
          <cell r="AW928" t="str">
            <v>9.5</v>
          </cell>
          <cell r="HD928" t="str">
            <v>Repair Shop</v>
          </cell>
          <cell r="HT928" t="b">
            <v>0</v>
          </cell>
          <cell r="HU928" t="str">
            <v>VALERO REFINING CO. BENICIA</v>
          </cell>
        </row>
        <row r="929">
          <cell r="A929">
            <v>1837</v>
          </cell>
          <cell r="B929" t="str">
            <v>VEM0769</v>
          </cell>
          <cell r="D929" t="str">
            <v>CONHAGEN</v>
          </cell>
          <cell r="AG929" t="str">
            <v>HP</v>
          </cell>
          <cell r="AV929" t="b">
            <v>0</v>
          </cell>
          <cell r="HD929" t="str">
            <v>Repair Shop</v>
          </cell>
          <cell r="HT929" t="b">
            <v>0</v>
          </cell>
          <cell r="HU929" t="str">
            <v>ALFRED CONHAGEN CO. OF CA</v>
          </cell>
        </row>
        <row r="930">
          <cell r="A930">
            <v>1836</v>
          </cell>
          <cell r="B930" t="str">
            <v>VEM0768</v>
          </cell>
          <cell r="D930" t="str">
            <v>CLEANHARBORS</v>
          </cell>
          <cell r="AG930" t="str">
            <v>HP</v>
          </cell>
          <cell r="AV930" t="b">
            <v>0</v>
          </cell>
          <cell r="HD930" t="str">
            <v>Repair Shop</v>
          </cell>
          <cell r="HT930" t="b">
            <v>0</v>
          </cell>
          <cell r="HU930" t="str">
            <v>CLEAN HARBORS</v>
          </cell>
        </row>
        <row r="931">
          <cell r="A931">
            <v>1835</v>
          </cell>
          <cell r="B931" t="str">
            <v>VEM0767</v>
          </cell>
          <cell r="D931" t="str">
            <v>CONHAGEN</v>
          </cell>
          <cell r="F931" t="str">
            <v>GE</v>
          </cell>
          <cell r="G931" t="str">
            <v>5KS254XAES722A</v>
          </cell>
          <cell r="H931" t="str">
            <v>LLFT332S044</v>
          </cell>
          <cell r="I931" t="str">
            <v>L254LP10Z</v>
          </cell>
          <cell r="K931" t="str">
            <v>15</v>
          </cell>
          <cell r="L931" t="str">
            <v>3550</v>
          </cell>
          <cell r="M931" t="str">
            <v>KS</v>
          </cell>
          <cell r="N931" t="str">
            <v>315</v>
          </cell>
          <cell r="O931" t="str">
            <v>Full no Cord</v>
          </cell>
          <cell r="P931" t="str">
            <v>TEFC</v>
          </cell>
          <cell r="R931" t="str">
            <v>Continuous</v>
          </cell>
          <cell r="T931" t="str">
            <v>NO KEY</v>
          </cell>
          <cell r="U931" t="str">
            <v>40</v>
          </cell>
          <cell r="V931" t="str">
            <v>3</v>
          </cell>
          <cell r="W931" t="str">
            <v>60</v>
          </cell>
          <cell r="X931" t="str">
            <v>460</v>
          </cell>
          <cell r="Y931" t="str">
            <v>17.3</v>
          </cell>
          <cell r="AA931" t="str">
            <v>Vertical</v>
          </cell>
          <cell r="AD931" t="str">
            <v>0</v>
          </cell>
          <cell r="AG931" t="str">
            <v>HP</v>
          </cell>
          <cell r="AI931" t="str">
            <v>5211</v>
          </cell>
          <cell r="AJ931" t="str">
            <v>6309</v>
          </cell>
          <cell r="AO931" t="str">
            <v>B</v>
          </cell>
          <cell r="AP931" t="str">
            <v>G</v>
          </cell>
          <cell r="AQ931" t="str">
            <v>H</v>
          </cell>
          <cell r="AR931" t="str">
            <v>89.0</v>
          </cell>
          <cell r="AS931" t="str">
            <v>1.15</v>
          </cell>
          <cell r="AT931" t="str">
            <v>91</v>
          </cell>
          <cell r="AV931" t="b">
            <v>0</v>
          </cell>
          <cell r="HD931" t="str">
            <v>Repair Shop</v>
          </cell>
          <cell r="HT931" t="b">
            <v>0</v>
          </cell>
          <cell r="HU931" t="str">
            <v>ALFRED CONHAGEN CO. OF CA</v>
          </cell>
        </row>
        <row r="932">
          <cell r="A932">
            <v>1834</v>
          </cell>
          <cell r="B932" t="str">
            <v>VEM0766</v>
          </cell>
          <cell r="D932" t="str">
            <v>CONHAGEN</v>
          </cell>
          <cell r="AG932" t="str">
            <v>HP</v>
          </cell>
          <cell r="AV932" t="b">
            <v>0</v>
          </cell>
          <cell r="HD932" t="str">
            <v>Repair Shop</v>
          </cell>
          <cell r="HT932" t="b">
            <v>0</v>
          </cell>
          <cell r="HU932" t="str">
            <v>ALFRED CONHAGEN CO. OF CA</v>
          </cell>
        </row>
        <row r="933">
          <cell r="A933">
            <v>1833</v>
          </cell>
          <cell r="B933" t="str">
            <v>VEM0765</v>
          </cell>
          <cell r="D933" t="str">
            <v>VALLEJOSAN</v>
          </cell>
          <cell r="F933" t="str">
            <v>WEG</v>
          </cell>
          <cell r="G933" t="str">
            <v>00718EP3E213T</v>
          </cell>
          <cell r="I933" t="str">
            <v>231T</v>
          </cell>
          <cell r="K933" t="str">
            <v>7.5</v>
          </cell>
          <cell r="L933" t="str">
            <v>1765</v>
          </cell>
          <cell r="M933" t="str">
            <v>ET</v>
          </cell>
          <cell r="O933" t="str">
            <v>Full no Cord</v>
          </cell>
          <cell r="P933" t="str">
            <v>TEFC</v>
          </cell>
          <cell r="R933" t="str">
            <v>Continuous</v>
          </cell>
          <cell r="S933" t="str">
            <v>Yes</v>
          </cell>
          <cell r="T933" t="str">
            <v>KEY ONLY</v>
          </cell>
          <cell r="U933" t="str">
            <v>40</v>
          </cell>
          <cell r="V933" t="str">
            <v>3</v>
          </cell>
          <cell r="W933" t="str">
            <v>60</v>
          </cell>
          <cell r="X933" t="str">
            <v>208-230/460</v>
          </cell>
          <cell r="Y933" t="str">
            <v>19.1/9.53</v>
          </cell>
          <cell r="AA933" t="str">
            <v>F1</v>
          </cell>
          <cell r="AD933" t="str">
            <v>0</v>
          </cell>
          <cell r="AG933" t="str">
            <v>HP</v>
          </cell>
          <cell r="AO933" t="str">
            <v>B</v>
          </cell>
          <cell r="AP933" t="str">
            <v>H</v>
          </cell>
          <cell r="AQ933" t="str">
            <v>F</v>
          </cell>
          <cell r="AR933" t="str">
            <v>.81</v>
          </cell>
          <cell r="AS933" t="str">
            <v>1.25</v>
          </cell>
          <cell r="AT933" t="str">
            <v>89.5</v>
          </cell>
          <cell r="AV933" t="b">
            <v>0</v>
          </cell>
          <cell r="HD933" t="str">
            <v>Repair Shop</v>
          </cell>
          <cell r="HT933" t="b">
            <v>0</v>
          </cell>
          <cell r="HU933" t="str">
            <v>VALLEJO FLOOD &amp; WASTEWATER DISTRICT</v>
          </cell>
        </row>
        <row r="934">
          <cell r="A934">
            <v>1832</v>
          </cell>
          <cell r="B934" t="str">
            <v>VEM0764</v>
          </cell>
          <cell r="D934" t="str">
            <v>TURBO</v>
          </cell>
          <cell r="F934" t="str">
            <v>WEG</v>
          </cell>
          <cell r="H934" t="str">
            <v>0797 AL63276</v>
          </cell>
          <cell r="I934" t="str">
            <v>365T</v>
          </cell>
          <cell r="K934" t="str">
            <v>75</v>
          </cell>
          <cell r="L934" t="str">
            <v>3560</v>
          </cell>
          <cell r="M934" t="str">
            <v>ET</v>
          </cell>
          <cell r="N934" t="str">
            <v>915</v>
          </cell>
          <cell r="O934" t="str">
            <v>Full no Cord</v>
          </cell>
          <cell r="P934" t="str">
            <v>TEFC</v>
          </cell>
          <cell r="R934" t="str">
            <v>Continuous</v>
          </cell>
          <cell r="S934" t="str">
            <v>Yes</v>
          </cell>
          <cell r="T934" t="str">
            <v>NONE NO KEY</v>
          </cell>
          <cell r="V934" t="str">
            <v>3</v>
          </cell>
          <cell r="W934" t="str">
            <v>60</v>
          </cell>
          <cell r="X934" t="str">
            <v>460</v>
          </cell>
          <cell r="Y934" t="str">
            <v>86.3</v>
          </cell>
          <cell r="AA934" t="str">
            <v>F1</v>
          </cell>
          <cell r="AD934" t="str">
            <v>0</v>
          </cell>
          <cell r="AG934" t="str">
            <v>HP</v>
          </cell>
          <cell r="AI934" t="str">
            <v>6314</v>
          </cell>
          <cell r="AJ934" t="str">
            <v>6314</v>
          </cell>
          <cell r="AO934" t="str">
            <v>B</v>
          </cell>
          <cell r="AP934" t="str">
            <v>G</v>
          </cell>
          <cell r="AR934" t="str">
            <v>.91</v>
          </cell>
          <cell r="AS934" t="str">
            <v>1.15</v>
          </cell>
          <cell r="AT934" t="str">
            <v>93</v>
          </cell>
          <cell r="AV934" t="b">
            <v>0</v>
          </cell>
          <cell r="HD934" t="str">
            <v>Repair Shop</v>
          </cell>
          <cell r="HT934" t="b">
            <v>0</v>
          </cell>
          <cell r="HU934" t="str">
            <v>TURBO MACHINE</v>
          </cell>
        </row>
        <row r="935">
          <cell r="A935">
            <v>1831</v>
          </cell>
          <cell r="B935" t="str">
            <v>VEM0763</v>
          </cell>
          <cell r="D935" t="str">
            <v>LINDMARINE</v>
          </cell>
          <cell r="AG935" t="str">
            <v>HP</v>
          </cell>
          <cell r="AV935" t="b">
            <v>0</v>
          </cell>
          <cell r="HD935" t="str">
            <v>Repair Shop</v>
          </cell>
          <cell r="HT935" t="b">
            <v>0</v>
          </cell>
          <cell r="HU935" t="str">
            <v>LIND MARINE</v>
          </cell>
        </row>
        <row r="936">
          <cell r="A936">
            <v>1830</v>
          </cell>
          <cell r="B936" t="str">
            <v>VEM0762</v>
          </cell>
          <cell r="D936" t="str">
            <v>CLEANHARBORS</v>
          </cell>
          <cell r="AD936" t="str">
            <v>0</v>
          </cell>
          <cell r="AG936" t="str">
            <v>HP</v>
          </cell>
          <cell r="AV936" t="b">
            <v>0</v>
          </cell>
          <cell r="HD936" t="str">
            <v>Repair Shop</v>
          </cell>
          <cell r="HT936" t="b">
            <v>0</v>
          </cell>
          <cell r="HU936" t="str">
            <v>CLEAN HARBORS</v>
          </cell>
        </row>
        <row r="937">
          <cell r="A937">
            <v>1829</v>
          </cell>
          <cell r="B937" t="str">
            <v>VEM0761</v>
          </cell>
          <cell r="D937" t="str">
            <v>CONHAGEN</v>
          </cell>
          <cell r="F937" t="str">
            <v>Reliance</v>
          </cell>
          <cell r="I937" t="str">
            <v>284HPZ</v>
          </cell>
          <cell r="K937" t="str">
            <v>25</v>
          </cell>
          <cell r="L937" t="str">
            <v>3550</v>
          </cell>
          <cell r="N937" t="str">
            <v>510</v>
          </cell>
          <cell r="O937" t="str">
            <v>Full no Cord</v>
          </cell>
          <cell r="P937" t="str">
            <v>TEFC</v>
          </cell>
          <cell r="R937" t="str">
            <v>Continuous</v>
          </cell>
          <cell r="T937" t="str">
            <v>NONE NO KEY</v>
          </cell>
          <cell r="U937" t="str">
            <v>40</v>
          </cell>
          <cell r="V937" t="str">
            <v>3</v>
          </cell>
          <cell r="W937" t="str">
            <v>60</v>
          </cell>
          <cell r="X937" t="str">
            <v>460</v>
          </cell>
          <cell r="Y937" t="str">
            <v>28.1</v>
          </cell>
          <cell r="AA937" t="str">
            <v>Vertical</v>
          </cell>
          <cell r="AD937" t="str">
            <v>0</v>
          </cell>
          <cell r="AG937" t="str">
            <v>HP</v>
          </cell>
          <cell r="AH937" t="str">
            <v>JB FOR HEATER COMPLETE</v>
          </cell>
          <cell r="AP937" t="str">
            <v>G</v>
          </cell>
          <cell r="AQ937" t="str">
            <v>F</v>
          </cell>
          <cell r="AR937" t="str">
            <v>89</v>
          </cell>
          <cell r="AT937" t="str">
            <v>93</v>
          </cell>
          <cell r="AV937" t="b">
            <v>0</v>
          </cell>
          <cell r="EX937" t="str">
            <v>6171294 G002 KE</v>
          </cell>
          <cell r="HD937" t="str">
            <v>Repair Shop</v>
          </cell>
          <cell r="HT937" t="b">
            <v>0</v>
          </cell>
          <cell r="HU937" t="str">
            <v>ALFRED CONHAGEN CO. OF CA</v>
          </cell>
        </row>
        <row r="938">
          <cell r="A938">
            <v>1828</v>
          </cell>
          <cell r="B938" t="str">
            <v>VEM0760</v>
          </cell>
          <cell r="D938" t="str">
            <v>VALERO</v>
          </cell>
          <cell r="F938" t="str">
            <v>ROPER</v>
          </cell>
          <cell r="G938" t="str">
            <v>SPEC#10963</v>
          </cell>
          <cell r="I938" t="str">
            <v>56C</v>
          </cell>
          <cell r="K938" t="str">
            <v>1</v>
          </cell>
          <cell r="L938" t="str">
            <v>1800</v>
          </cell>
          <cell r="P938" t="str">
            <v>EXP</v>
          </cell>
          <cell r="AD938" t="str">
            <v>0</v>
          </cell>
          <cell r="AG938" t="str">
            <v>HP</v>
          </cell>
          <cell r="AV938" t="b">
            <v>0</v>
          </cell>
          <cell r="AX938" t="str">
            <v>4</v>
          </cell>
          <cell r="AY938" t="str">
            <v>ROPER</v>
          </cell>
          <cell r="AZ938" t="str">
            <v>SPEC#10963</v>
          </cell>
          <cell r="BA938" t="str">
            <v>G442378</v>
          </cell>
          <cell r="BD938" t="str">
            <v>FIGURE#17AM02</v>
          </cell>
          <cell r="HD938" t="str">
            <v>Repair Shop</v>
          </cell>
          <cell r="HT938" t="b">
            <v>0</v>
          </cell>
          <cell r="HU938" t="str">
            <v>VALERO REFINING CO. BENICIA</v>
          </cell>
        </row>
        <row r="939">
          <cell r="A939">
            <v>1827</v>
          </cell>
          <cell r="B939" t="str">
            <v>VEM0759</v>
          </cell>
          <cell r="D939" t="str">
            <v>CITYOFNAPA</v>
          </cell>
          <cell r="F939" t="str">
            <v>Franklin</v>
          </cell>
          <cell r="G939" t="str">
            <v>2366114020</v>
          </cell>
          <cell r="K939" t="str">
            <v>7.5</v>
          </cell>
          <cell r="L939" t="str">
            <v>3450</v>
          </cell>
          <cell r="P939" t="str">
            <v>SUB</v>
          </cell>
          <cell r="R939" t="str">
            <v>Continuous</v>
          </cell>
          <cell r="V939" t="str">
            <v>3</v>
          </cell>
          <cell r="W939" t="str">
            <v>60</v>
          </cell>
          <cell r="X939" t="str">
            <v>460</v>
          </cell>
          <cell r="Y939" t="str">
            <v>12.3</v>
          </cell>
          <cell r="AA939" t="str">
            <v>Other</v>
          </cell>
          <cell r="AD939" t="str">
            <v>0</v>
          </cell>
          <cell r="AG939" t="str">
            <v>HP</v>
          </cell>
          <cell r="AS939" t="str">
            <v>1.15</v>
          </cell>
          <cell r="AV939" t="b">
            <v>0</v>
          </cell>
          <cell r="HD939" t="str">
            <v>Repair Shop</v>
          </cell>
          <cell r="HT939" t="b">
            <v>0</v>
          </cell>
          <cell r="HU939" t="str">
            <v>CITY OF NAPA, PUBLIC WORKS DEPT</v>
          </cell>
        </row>
        <row r="940">
          <cell r="A940">
            <v>1826</v>
          </cell>
          <cell r="B940" t="str">
            <v>VEM0758</v>
          </cell>
          <cell r="D940" t="str">
            <v>TENCATE</v>
          </cell>
          <cell r="F940" t="str">
            <v>Ingersoll-Rand</v>
          </cell>
          <cell r="G940" t="str">
            <v>IR PART# 22179261</v>
          </cell>
          <cell r="H940" t="str">
            <v>21SET10 1009211738</v>
          </cell>
          <cell r="I940" t="str">
            <v>145T</v>
          </cell>
          <cell r="K940" t="str">
            <v>1.5</v>
          </cell>
          <cell r="L940" t="str">
            <v>1120</v>
          </cell>
          <cell r="M940" t="str">
            <v>ET</v>
          </cell>
          <cell r="O940" t="str">
            <v>Full no Cord</v>
          </cell>
          <cell r="P940" t="str">
            <v>TEFC</v>
          </cell>
          <cell r="Q940" t="str">
            <v>none</v>
          </cell>
          <cell r="R940" t="str">
            <v>Continuous</v>
          </cell>
          <cell r="S940" t="str">
            <v>none</v>
          </cell>
          <cell r="T940" t="str">
            <v>none</v>
          </cell>
          <cell r="U940" t="str">
            <v>50C</v>
          </cell>
          <cell r="V940" t="str">
            <v>3</v>
          </cell>
          <cell r="W940" t="str">
            <v>60</v>
          </cell>
          <cell r="X940" t="str">
            <v>230/460</v>
          </cell>
          <cell r="Z940" t="str">
            <v>none</v>
          </cell>
          <cell r="AA940" t="str">
            <v>F2</v>
          </cell>
          <cell r="AD940" t="str">
            <v>0</v>
          </cell>
          <cell r="AG940" t="str">
            <v>HP</v>
          </cell>
          <cell r="AI940" t="str">
            <v>6205</v>
          </cell>
          <cell r="AJ940" t="str">
            <v>6204</v>
          </cell>
          <cell r="AO940" t="str">
            <v>B</v>
          </cell>
          <cell r="AP940" t="str">
            <v>H</v>
          </cell>
          <cell r="AQ940" t="str">
            <v>F</v>
          </cell>
          <cell r="AR940" t="str">
            <v>.80</v>
          </cell>
          <cell r="AS940" t="str">
            <v>1.15</v>
          </cell>
          <cell r="AT940" t="str">
            <v>77</v>
          </cell>
          <cell r="AV940" t="b">
            <v>0</v>
          </cell>
          <cell r="AW940" t="str">
            <v>4.85/2.43</v>
          </cell>
          <cell r="HD940" t="str">
            <v>Repair Shop</v>
          </cell>
          <cell r="HT940" t="b">
            <v>0</v>
          </cell>
          <cell r="HU940" t="str">
            <v>TENCATE</v>
          </cell>
        </row>
        <row r="941">
          <cell r="A941">
            <v>1825</v>
          </cell>
          <cell r="B941" t="str">
            <v>VEM0757</v>
          </cell>
          <cell r="D941" t="str">
            <v>CASHSALES</v>
          </cell>
          <cell r="F941" t="str">
            <v>STERLING</v>
          </cell>
          <cell r="H941" t="str">
            <v>S10228</v>
          </cell>
          <cell r="I941" t="str">
            <v>256U</v>
          </cell>
          <cell r="K941" t="str">
            <v>10</v>
          </cell>
          <cell r="L941" t="str">
            <v>1800</v>
          </cell>
          <cell r="M941" t="str">
            <v>ABDF</v>
          </cell>
          <cell r="O941" t="str">
            <v>Half no Cord</v>
          </cell>
          <cell r="P941" t="str">
            <v>ODP</v>
          </cell>
          <cell r="Q941" t="str">
            <v>Yes</v>
          </cell>
          <cell r="R941" t="str">
            <v>Continuous</v>
          </cell>
          <cell r="S941" t="str">
            <v>Yes</v>
          </cell>
          <cell r="U941" t="str">
            <v>40</v>
          </cell>
          <cell r="V941" t="str">
            <v>3</v>
          </cell>
          <cell r="W941" t="str">
            <v>60</v>
          </cell>
          <cell r="X941" t="str">
            <v>208/416</v>
          </cell>
          <cell r="Y941" t="str">
            <v>27.4/13.7</v>
          </cell>
          <cell r="AA941" t="str">
            <v>F1</v>
          </cell>
          <cell r="AG941" t="str">
            <v>HP</v>
          </cell>
          <cell r="AV941" t="b">
            <v>0</v>
          </cell>
          <cell r="HD941" t="str">
            <v>Repair Shop</v>
          </cell>
          <cell r="HT941" t="b">
            <v>0</v>
          </cell>
          <cell r="HU941" t="str">
            <v>CASH SALES</v>
          </cell>
        </row>
        <row r="942">
          <cell r="A942">
            <v>1824</v>
          </cell>
          <cell r="B942" t="str">
            <v>VEM0756</v>
          </cell>
          <cell r="D942" t="str">
            <v>CLEANHARBORS</v>
          </cell>
          <cell r="AG942" t="str">
            <v>HP</v>
          </cell>
          <cell r="AV942" t="b">
            <v>0</v>
          </cell>
          <cell r="HD942" t="str">
            <v>Sales</v>
          </cell>
          <cell r="HT942" t="b">
            <v>0</v>
          </cell>
          <cell r="HU942" t="str">
            <v>CLEAN HARBORS</v>
          </cell>
        </row>
        <row r="943">
          <cell r="A943">
            <v>1823</v>
          </cell>
          <cell r="B943" t="str">
            <v>FE1027</v>
          </cell>
          <cell r="D943" t="str">
            <v>MEYER</v>
          </cell>
          <cell r="AG943" t="str">
            <v>HP</v>
          </cell>
          <cell r="AV943" t="b">
            <v>0</v>
          </cell>
          <cell r="HD943" t="str">
            <v>Field Service</v>
          </cell>
          <cell r="HT943" t="b">
            <v>0</v>
          </cell>
          <cell r="HU943" t="str">
            <v>MEYER CORP</v>
          </cell>
        </row>
        <row r="944">
          <cell r="A944">
            <v>1822</v>
          </cell>
          <cell r="B944" t="str">
            <v>VEM0755</v>
          </cell>
          <cell r="D944" t="str">
            <v>P66CARBON</v>
          </cell>
          <cell r="F944" t="str">
            <v>WILSON</v>
          </cell>
          <cell r="AD944" t="str">
            <v>0</v>
          </cell>
          <cell r="AV944" t="b">
            <v>0</v>
          </cell>
          <cell r="HD944" t="str">
            <v>Repair Shop</v>
          </cell>
          <cell r="HT944" t="b">
            <v>0</v>
          </cell>
          <cell r="HU944" t="str">
            <v>PHILLIPS 66 CARBON PLANT</v>
          </cell>
        </row>
        <row r="945">
          <cell r="A945">
            <v>1821</v>
          </cell>
          <cell r="B945" t="str">
            <v>VEM0754</v>
          </cell>
          <cell r="D945" t="str">
            <v>EURO</v>
          </cell>
          <cell r="F945" t="str">
            <v>EBERHARD BAUER</v>
          </cell>
          <cell r="G945" t="str">
            <v>1859003</v>
          </cell>
          <cell r="K945" t="str">
            <v>.4</v>
          </cell>
          <cell r="O945" t="str">
            <v>Full w/ Cord</v>
          </cell>
          <cell r="R945" t="str">
            <v>Continuous</v>
          </cell>
          <cell r="V945" t="str">
            <v>3</v>
          </cell>
          <cell r="W945" t="str">
            <v>60</v>
          </cell>
          <cell r="Y945" t="str">
            <v>3.42/1.71</v>
          </cell>
          <cell r="AA945" t="str">
            <v>F2</v>
          </cell>
          <cell r="AD945" t="str">
            <v>0</v>
          </cell>
          <cell r="AG945" t="str">
            <v>KW</v>
          </cell>
          <cell r="AV945" t="b">
            <v>0</v>
          </cell>
          <cell r="HD945" t="str">
            <v>Repair Shop</v>
          </cell>
          <cell r="HT945" t="b">
            <v>0</v>
          </cell>
          <cell r="HU945" t="str">
            <v>EURO-MACHINES, INC.</v>
          </cell>
        </row>
        <row r="946">
          <cell r="A946">
            <v>1820</v>
          </cell>
          <cell r="B946" t="str">
            <v>VEM0753</v>
          </cell>
          <cell r="D946" t="str">
            <v>P66</v>
          </cell>
          <cell r="F946" t="str">
            <v>LOUIS ALLIS</v>
          </cell>
          <cell r="H946" t="str">
            <v>2461849</v>
          </cell>
          <cell r="I946" t="str">
            <v>324</v>
          </cell>
          <cell r="K946" t="str">
            <v>7.5</v>
          </cell>
          <cell r="L946" t="str">
            <v>1750/1160</v>
          </cell>
          <cell r="M946" t="str">
            <v>OGMX</v>
          </cell>
          <cell r="O946" t="str">
            <v>Half no Cord</v>
          </cell>
          <cell r="P946" t="str">
            <v>ODP</v>
          </cell>
          <cell r="R946" t="str">
            <v>Continuous</v>
          </cell>
          <cell r="S946" t="str">
            <v>Yes</v>
          </cell>
          <cell r="T946" t="str">
            <v>NONE NO KEY</v>
          </cell>
          <cell r="U946" t="str">
            <v>40</v>
          </cell>
          <cell r="V946" t="str">
            <v>3</v>
          </cell>
          <cell r="W946" t="str">
            <v>60</v>
          </cell>
          <cell r="X946" t="str">
            <v>440</v>
          </cell>
          <cell r="Y946" t="str">
            <v>9.5/6.8</v>
          </cell>
          <cell r="AA946" t="str">
            <v>F2</v>
          </cell>
          <cell r="AD946" t="str">
            <v>0</v>
          </cell>
          <cell r="AG946" t="str">
            <v>HP</v>
          </cell>
          <cell r="AP946" t="str">
            <v>H</v>
          </cell>
          <cell r="AV946" t="b">
            <v>0</v>
          </cell>
          <cell r="HD946" t="str">
            <v>Repair Shop</v>
          </cell>
          <cell r="HT946" t="b">
            <v>0</v>
          </cell>
          <cell r="HU946" t="str">
            <v>PHILLIPS 66</v>
          </cell>
        </row>
        <row r="947">
          <cell r="A947">
            <v>1819</v>
          </cell>
          <cell r="B947" t="str">
            <v>VEM0752</v>
          </cell>
          <cell r="D947" t="str">
            <v>CONHAGEN</v>
          </cell>
          <cell r="AD947" t="str">
            <v>0</v>
          </cell>
          <cell r="AG947" t="str">
            <v>HP</v>
          </cell>
          <cell r="AV947" t="b">
            <v>0</v>
          </cell>
          <cell r="HD947" t="str">
            <v>Repair Shop</v>
          </cell>
          <cell r="HT947" t="b">
            <v>0</v>
          </cell>
          <cell r="HU947" t="str">
            <v>ALFRED CONHAGEN CO. OF CA</v>
          </cell>
        </row>
        <row r="948">
          <cell r="A948">
            <v>1818</v>
          </cell>
          <cell r="B948" t="str">
            <v>VEM0751</v>
          </cell>
          <cell r="D948" t="str">
            <v>CONCO</v>
          </cell>
          <cell r="F948" t="str">
            <v>REULAND</v>
          </cell>
          <cell r="G948" t="str">
            <v>44B1</v>
          </cell>
          <cell r="H948" t="str">
            <v>790162A-6</v>
          </cell>
          <cell r="I948" t="str">
            <v>AVL-256U</v>
          </cell>
          <cell r="K948" t="str">
            <v>5</v>
          </cell>
          <cell r="L948" t="str">
            <v>1800</v>
          </cell>
          <cell r="M948" t="str">
            <v>LOAR-7A</v>
          </cell>
          <cell r="O948" t="str">
            <v>Half no Cord</v>
          </cell>
          <cell r="R948" t="str">
            <v>Continuous</v>
          </cell>
          <cell r="T948" t="str">
            <v>NONE NO KEY</v>
          </cell>
          <cell r="U948" t="str">
            <v>40</v>
          </cell>
          <cell r="V948" t="str">
            <v>3</v>
          </cell>
          <cell r="W948" t="str">
            <v>60</v>
          </cell>
          <cell r="X948" t="str">
            <v>440</v>
          </cell>
          <cell r="Y948" t="str">
            <v>5.3</v>
          </cell>
          <cell r="AA948" t="str">
            <v>Vertical</v>
          </cell>
          <cell r="AG948" t="str">
            <v>HP</v>
          </cell>
          <cell r="AP948" t="str">
            <v>K</v>
          </cell>
          <cell r="AV948" t="b">
            <v>0</v>
          </cell>
          <cell r="CJ948" t="str">
            <v>REULAND</v>
          </cell>
          <cell r="CK948" t="str">
            <v>44B1</v>
          </cell>
          <cell r="CL948" t="str">
            <v>H14-2230A-1</v>
          </cell>
          <cell r="CM948" t="str">
            <v>35</v>
          </cell>
          <cell r="CN948" t="str">
            <v>480</v>
          </cell>
          <cell r="CO948" t="str">
            <v>.37</v>
          </cell>
          <cell r="CQ948" t="str">
            <v>60</v>
          </cell>
          <cell r="CR948" t="str">
            <v>OLDA</v>
          </cell>
          <cell r="HD948" t="str">
            <v>Repair Shop</v>
          </cell>
          <cell r="HT948" t="b">
            <v>0</v>
          </cell>
          <cell r="HU948" t="str">
            <v>CONCO</v>
          </cell>
        </row>
        <row r="949">
          <cell r="A949">
            <v>1817</v>
          </cell>
          <cell r="B949" t="str">
            <v>VEM0750</v>
          </cell>
          <cell r="D949" t="str">
            <v>CONHAGEN</v>
          </cell>
          <cell r="F949" t="str">
            <v>US Motors</v>
          </cell>
          <cell r="I949" t="str">
            <v>254TC</v>
          </cell>
          <cell r="K949" t="str">
            <v>15</v>
          </cell>
          <cell r="L949" t="str">
            <v>3540</v>
          </cell>
          <cell r="O949" t="str">
            <v>None</v>
          </cell>
          <cell r="P949" t="str">
            <v>TEFC</v>
          </cell>
          <cell r="R949" t="str">
            <v>Continuous</v>
          </cell>
          <cell r="S949" t="str">
            <v>Yes</v>
          </cell>
          <cell r="T949" t="str">
            <v>NONE NO KEY</v>
          </cell>
          <cell r="U949" t="str">
            <v>40</v>
          </cell>
          <cell r="V949" t="str">
            <v>3</v>
          </cell>
          <cell r="W949" t="str">
            <v>60</v>
          </cell>
          <cell r="X949" t="str">
            <v>460</v>
          </cell>
          <cell r="Y949" t="str">
            <v>17.9</v>
          </cell>
          <cell r="AA949" t="str">
            <v>Vertical</v>
          </cell>
          <cell r="AG949" t="str">
            <v>HP</v>
          </cell>
          <cell r="AI949" t="str">
            <v>6310</v>
          </cell>
          <cell r="AJ949" t="str">
            <v>6207</v>
          </cell>
          <cell r="AO949" t="str">
            <v>B</v>
          </cell>
          <cell r="AP949" t="str">
            <v>G</v>
          </cell>
          <cell r="AQ949" t="str">
            <v>F</v>
          </cell>
          <cell r="AS949" t="str">
            <v>1.15</v>
          </cell>
          <cell r="AV949" t="b">
            <v>0</v>
          </cell>
          <cell r="HD949" t="str">
            <v>Repair Shop</v>
          </cell>
          <cell r="HT949" t="b">
            <v>0</v>
          </cell>
          <cell r="HU949" t="str">
            <v>ALFRED CONHAGEN CO. OF CA</v>
          </cell>
        </row>
        <row r="950">
          <cell r="A950">
            <v>1816</v>
          </cell>
          <cell r="B950" t="str">
            <v>VEM0749</v>
          </cell>
          <cell r="D950" t="str">
            <v>TURBO</v>
          </cell>
          <cell r="F950" t="str">
            <v>WEG</v>
          </cell>
          <cell r="I950" t="str">
            <v>365T</v>
          </cell>
          <cell r="K950" t="str">
            <v>75</v>
          </cell>
          <cell r="L950" t="str">
            <v>3560</v>
          </cell>
          <cell r="O950" t="str">
            <v>Full no Cord</v>
          </cell>
          <cell r="P950" t="str">
            <v>TEFC</v>
          </cell>
          <cell r="R950" t="str">
            <v>Continuous</v>
          </cell>
          <cell r="S950" t="str">
            <v>Yes</v>
          </cell>
          <cell r="T950" t="str">
            <v>NONE NO KEY</v>
          </cell>
          <cell r="V950" t="str">
            <v>3</v>
          </cell>
          <cell r="W950" t="str">
            <v>60</v>
          </cell>
          <cell r="X950" t="str">
            <v>460</v>
          </cell>
          <cell r="Y950" t="str">
            <v>86.3</v>
          </cell>
          <cell r="AA950" t="str">
            <v>F1</v>
          </cell>
          <cell r="AD950" t="str">
            <v>0</v>
          </cell>
          <cell r="AG950" t="str">
            <v>HP</v>
          </cell>
          <cell r="AI950" t="str">
            <v>6314</v>
          </cell>
          <cell r="AJ950" t="str">
            <v>6314</v>
          </cell>
          <cell r="AO950" t="str">
            <v>B</v>
          </cell>
          <cell r="AP950" t="str">
            <v>G</v>
          </cell>
          <cell r="AV950" t="b">
            <v>0</v>
          </cell>
          <cell r="HD950" t="str">
            <v>Repair Shop</v>
          </cell>
          <cell r="HT950" t="b">
            <v>0</v>
          </cell>
          <cell r="HU950" t="str">
            <v>TURBO MACHINE</v>
          </cell>
        </row>
        <row r="951">
          <cell r="A951">
            <v>1815</v>
          </cell>
          <cell r="B951" t="str">
            <v>VEM0748</v>
          </cell>
          <cell r="D951" t="str">
            <v>CONHAGEN</v>
          </cell>
          <cell r="F951" t="str">
            <v>YUEMA</v>
          </cell>
          <cell r="H951" t="str">
            <v>955216</v>
          </cell>
          <cell r="K951" t="str">
            <v>7.5</v>
          </cell>
          <cell r="L951" t="str">
            <v>1740</v>
          </cell>
          <cell r="O951" t="str">
            <v>Full no Cord</v>
          </cell>
          <cell r="P951" t="str">
            <v>TEFC</v>
          </cell>
          <cell r="R951" t="str">
            <v>Continuous</v>
          </cell>
          <cell r="T951" t="str">
            <v>YES</v>
          </cell>
          <cell r="V951" t="str">
            <v>3</v>
          </cell>
          <cell r="W951" t="str">
            <v>60</v>
          </cell>
          <cell r="X951" t="str">
            <v>460</v>
          </cell>
          <cell r="Y951" t="str">
            <v>12.73</v>
          </cell>
          <cell r="AA951" t="str">
            <v>Vertical</v>
          </cell>
          <cell r="AD951" t="str">
            <v>0</v>
          </cell>
          <cell r="AG951" t="str">
            <v>KW</v>
          </cell>
          <cell r="AV951" t="b">
            <v>0</v>
          </cell>
          <cell r="HD951" t="str">
            <v>Repair Shop</v>
          </cell>
          <cell r="HT951" t="b">
            <v>0</v>
          </cell>
          <cell r="HU951" t="str">
            <v>ALFRED CONHAGEN CO. OF CA</v>
          </cell>
        </row>
        <row r="952">
          <cell r="A952">
            <v>1814</v>
          </cell>
          <cell r="B952" t="str">
            <v>VEM0747</v>
          </cell>
          <cell r="D952" t="str">
            <v>SACWASTEPLANT</v>
          </cell>
          <cell r="F952" t="str">
            <v>US Motors</v>
          </cell>
          <cell r="I952" t="str">
            <v>7009VPH</v>
          </cell>
          <cell r="K952" t="str">
            <v>800</v>
          </cell>
          <cell r="L952" t="str">
            <v>505</v>
          </cell>
          <cell r="N952" t="str">
            <v>15,000</v>
          </cell>
          <cell r="P952" t="str">
            <v>WP1</v>
          </cell>
          <cell r="R952" t="str">
            <v>Continuous</v>
          </cell>
          <cell r="V952" t="str">
            <v>3</v>
          </cell>
          <cell r="W952" t="str">
            <v>60</v>
          </cell>
          <cell r="X952" t="str">
            <v>575</v>
          </cell>
          <cell r="Y952" t="str">
            <v>825</v>
          </cell>
          <cell r="AA952" t="str">
            <v>Vertical</v>
          </cell>
          <cell r="AG952" t="str">
            <v>HP</v>
          </cell>
          <cell r="AI952" t="str">
            <v>6234</v>
          </cell>
          <cell r="AJ952" t="str">
            <v>7238</v>
          </cell>
          <cell r="AP952" t="str">
            <v>E</v>
          </cell>
          <cell r="AV952" t="b">
            <v>0</v>
          </cell>
          <cell r="AW952" t="str">
            <v>825</v>
          </cell>
          <cell r="EX952" t="str">
            <v>T12T1340429R-1</v>
          </cell>
          <cell r="HD952" t="str">
            <v>Repair Shop</v>
          </cell>
          <cell r="HT952" t="b">
            <v>0</v>
          </cell>
          <cell r="HU952" t="str">
            <v>SACRAMENTO REGIONAL WASTE WATER TREATMENT PLANT</v>
          </cell>
        </row>
        <row r="953">
          <cell r="A953">
            <v>1813</v>
          </cell>
          <cell r="B953" t="str">
            <v>VEM0746</v>
          </cell>
          <cell r="D953" t="str">
            <v>CONHAGEN</v>
          </cell>
          <cell r="AG953" t="str">
            <v>HP</v>
          </cell>
          <cell r="AV953" t="b">
            <v>0</v>
          </cell>
          <cell r="HD953" t="str">
            <v>Repair Shop</v>
          </cell>
          <cell r="HT953" t="b">
            <v>0</v>
          </cell>
          <cell r="HU953" t="str">
            <v>ALFRED CONHAGEN CO. OF CA</v>
          </cell>
        </row>
        <row r="954">
          <cell r="A954">
            <v>1812</v>
          </cell>
          <cell r="B954" t="str">
            <v>VEM0745</v>
          </cell>
          <cell r="D954" t="str">
            <v>OAKVILLE</v>
          </cell>
          <cell r="O954" t="str">
            <v>Full no Cord</v>
          </cell>
          <cell r="P954" t="str">
            <v>TEFC</v>
          </cell>
          <cell r="R954" t="str">
            <v>Continuous</v>
          </cell>
          <cell r="V954" t="str">
            <v>3</v>
          </cell>
          <cell r="W954" t="str">
            <v>60</v>
          </cell>
          <cell r="AA954" t="str">
            <v>Vertical</v>
          </cell>
          <cell r="AD954" t="str">
            <v>-1</v>
          </cell>
          <cell r="AV954" t="b">
            <v>0</v>
          </cell>
          <cell r="HD954" t="str">
            <v>Repair Shop</v>
          </cell>
          <cell r="HT954" t="b">
            <v>0</v>
          </cell>
          <cell r="HU954" t="str">
            <v>OAKVILLE PUMP</v>
          </cell>
        </row>
        <row r="955">
          <cell r="A955">
            <v>1811</v>
          </cell>
          <cell r="B955" t="str">
            <v>VEM0744</v>
          </cell>
          <cell r="D955" t="str">
            <v>OAKVILLE</v>
          </cell>
          <cell r="F955" t="str">
            <v>US Motors</v>
          </cell>
          <cell r="O955" t="str">
            <v>Full no Cord</v>
          </cell>
          <cell r="R955" t="str">
            <v>Continuous</v>
          </cell>
          <cell r="V955" t="str">
            <v>3</v>
          </cell>
          <cell r="AA955" t="str">
            <v>Vertical</v>
          </cell>
          <cell r="AV955" t="b">
            <v>0</v>
          </cell>
          <cell r="HD955" t="str">
            <v>Repair Shop</v>
          </cell>
          <cell r="HT955" t="b">
            <v>0</v>
          </cell>
          <cell r="HU955" t="str">
            <v>OAKVILLE PUMP</v>
          </cell>
        </row>
        <row r="956">
          <cell r="A956">
            <v>1810</v>
          </cell>
          <cell r="B956" t="str">
            <v>VEM0743</v>
          </cell>
          <cell r="D956" t="str">
            <v>CONHAGEN</v>
          </cell>
          <cell r="AG956" t="str">
            <v>HP</v>
          </cell>
          <cell r="AV956" t="b">
            <v>0</v>
          </cell>
          <cell r="HD956" t="str">
            <v>Repair Shop</v>
          </cell>
          <cell r="HT956" t="b">
            <v>0</v>
          </cell>
          <cell r="HU956" t="str">
            <v>ALFRED CONHAGEN CO. OF CA</v>
          </cell>
        </row>
        <row r="957">
          <cell r="A957">
            <v>1809</v>
          </cell>
          <cell r="B957" t="str">
            <v>VEM0742</v>
          </cell>
          <cell r="D957" t="str">
            <v>VALERO</v>
          </cell>
          <cell r="AG957" t="str">
            <v>HP</v>
          </cell>
          <cell r="AV957" t="b">
            <v>0</v>
          </cell>
          <cell r="HD957" t="str">
            <v>Repair Shop</v>
          </cell>
          <cell r="HT957" t="b">
            <v>0</v>
          </cell>
          <cell r="HU957" t="str">
            <v>VALERO REFINING CO. BENICIA</v>
          </cell>
        </row>
        <row r="958">
          <cell r="A958">
            <v>1808</v>
          </cell>
          <cell r="B958" t="str">
            <v>VEM0741</v>
          </cell>
          <cell r="D958" t="str">
            <v>CONHAGEN</v>
          </cell>
          <cell r="F958" t="str">
            <v>WEIL</v>
          </cell>
          <cell r="G958" t="str">
            <v>W-9709-4T30G61</v>
          </cell>
          <cell r="H958" t="str">
            <v>S.0. NUMBER  519.534  H14</v>
          </cell>
          <cell r="K958" t="str">
            <v>3</v>
          </cell>
          <cell r="L958" t="str">
            <v>1750</v>
          </cell>
          <cell r="M958" t="str">
            <v>SUBMERSIBLE</v>
          </cell>
          <cell r="R958" t="str">
            <v>Continuous</v>
          </cell>
          <cell r="T958" t="str">
            <v>NONE NO KEY</v>
          </cell>
          <cell r="V958" t="str">
            <v>3</v>
          </cell>
          <cell r="W958" t="str">
            <v>60</v>
          </cell>
          <cell r="X958" t="str">
            <v>460</v>
          </cell>
          <cell r="Y958" t="str">
            <v>5.8</v>
          </cell>
          <cell r="AA958" t="str">
            <v>Vertical</v>
          </cell>
          <cell r="AG958" t="str">
            <v>HP</v>
          </cell>
          <cell r="AV958" t="b">
            <v>0</v>
          </cell>
          <cell r="HD958" t="str">
            <v>Repair Shop</v>
          </cell>
          <cell r="HT958" t="b">
            <v>0</v>
          </cell>
          <cell r="HU958" t="str">
            <v>ALFRED CONHAGEN CO. OF CA</v>
          </cell>
        </row>
        <row r="959">
          <cell r="A959">
            <v>1807</v>
          </cell>
          <cell r="B959" t="str">
            <v>VEM0740</v>
          </cell>
          <cell r="D959" t="str">
            <v>CONHAGEN</v>
          </cell>
          <cell r="F959" t="str">
            <v>WEIL</v>
          </cell>
          <cell r="G959" t="str">
            <v>W-9709-4T30G61</v>
          </cell>
          <cell r="H959" t="str">
            <v>S.0. NUMBER  519.552  H14</v>
          </cell>
          <cell r="K959" t="str">
            <v>3</v>
          </cell>
          <cell r="L959" t="str">
            <v>1750</v>
          </cell>
          <cell r="M959" t="str">
            <v>SUBMERSIBLE</v>
          </cell>
          <cell r="R959" t="str">
            <v>Continuous</v>
          </cell>
          <cell r="T959" t="str">
            <v>NONE NO KEY</v>
          </cell>
          <cell r="V959" t="str">
            <v>3</v>
          </cell>
          <cell r="W959" t="str">
            <v>60</v>
          </cell>
          <cell r="X959" t="str">
            <v>460</v>
          </cell>
          <cell r="Y959" t="str">
            <v>5.8</v>
          </cell>
          <cell r="AA959" t="str">
            <v>Vertical</v>
          </cell>
          <cell r="AD959" t="str">
            <v>0</v>
          </cell>
          <cell r="AG959" t="str">
            <v>HP</v>
          </cell>
          <cell r="AV959" t="b">
            <v>0</v>
          </cell>
          <cell r="HD959" t="str">
            <v>Repair Shop</v>
          </cell>
          <cell r="HT959" t="b">
            <v>0</v>
          </cell>
          <cell r="HU959" t="str">
            <v>ALFRED CONHAGEN CO. OF CA</v>
          </cell>
        </row>
        <row r="960">
          <cell r="A960">
            <v>1806</v>
          </cell>
          <cell r="B960" t="str">
            <v>VEM0739</v>
          </cell>
          <cell r="D960" t="str">
            <v>CONHAGEN</v>
          </cell>
          <cell r="F960" t="str">
            <v>WEIL</v>
          </cell>
          <cell r="G960" t="str">
            <v>W-9709-4T30G61</v>
          </cell>
          <cell r="H960" t="str">
            <v>S.O. NUMBER 519.537S   J17</v>
          </cell>
          <cell r="K960" t="str">
            <v>3</v>
          </cell>
          <cell r="L960" t="str">
            <v>1750</v>
          </cell>
          <cell r="M960" t="str">
            <v>SUBMERSIBLE</v>
          </cell>
          <cell r="R960" t="str">
            <v>Continuous</v>
          </cell>
          <cell r="T960" t="str">
            <v>NONE NO KEY</v>
          </cell>
          <cell r="V960" t="str">
            <v>3</v>
          </cell>
          <cell r="W960" t="str">
            <v>60</v>
          </cell>
          <cell r="X960" t="str">
            <v>460</v>
          </cell>
          <cell r="Y960" t="str">
            <v>5.8</v>
          </cell>
          <cell r="AA960" t="str">
            <v>Vertical</v>
          </cell>
          <cell r="AG960" t="str">
            <v>HP</v>
          </cell>
          <cell r="AV960" t="b">
            <v>0</v>
          </cell>
          <cell r="HD960" t="str">
            <v>Repair Shop</v>
          </cell>
          <cell r="HT960" t="b">
            <v>0</v>
          </cell>
          <cell r="HU960" t="str">
            <v>ALFRED CONHAGEN CO. OF CA</v>
          </cell>
        </row>
        <row r="961">
          <cell r="A961">
            <v>1805</v>
          </cell>
          <cell r="B961" t="str">
            <v>VEM0738</v>
          </cell>
          <cell r="D961" t="str">
            <v>C&amp;H</v>
          </cell>
          <cell r="F961" t="str">
            <v>Westinghouse</v>
          </cell>
          <cell r="G961" t="str">
            <v>TBFC</v>
          </cell>
          <cell r="H961" t="str">
            <v>8201</v>
          </cell>
          <cell r="I961" t="str">
            <v>215TY</v>
          </cell>
          <cell r="K961" t="str">
            <v>10</v>
          </cell>
          <cell r="L961" t="str">
            <v>1760</v>
          </cell>
          <cell r="O961" t="str">
            <v>None</v>
          </cell>
          <cell r="P961" t="str">
            <v>TEFC</v>
          </cell>
          <cell r="R961" t="str">
            <v>Continuous</v>
          </cell>
          <cell r="T961" t="str">
            <v>NONE</v>
          </cell>
          <cell r="U961" t="str">
            <v>40</v>
          </cell>
          <cell r="V961" t="str">
            <v>3</v>
          </cell>
          <cell r="W961" t="str">
            <v>60</v>
          </cell>
          <cell r="X961" t="str">
            <v>460</v>
          </cell>
          <cell r="Y961" t="str">
            <v>13</v>
          </cell>
          <cell r="AA961" t="str">
            <v>F1</v>
          </cell>
          <cell r="AG961" t="str">
            <v>HP</v>
          </cell>
          <cell r="AS961" t="str">
            <v>1.15</v>
          </cell>
          <cell r="AV961" t="b">
            <v>0</v>
          </cell>
          <cell r="HD961" t="str">
            <v>Repair Shop</v>
          </cell>
          <cell r="HT961" t="b">
            <v>0</v>
          </cell>
          <cell r="HU961" t="str">
            <v>C &amp; H SUGAR CO.</v>
          </cell>
        </row>
        <row r="962">
          <cell r="A962">
            <v>1804</v>
          </cell>
          <cell r="B962" t="str">
            <v>VEM0737</v>
          </cell>
          <cell r="D962" t="str">
            <v>LINDMARINE</v>
          </cell>
          <cell r="F962" t="str">
            <v>Baldor</v>
          </cell>
          <cell r="H962" t="str">
            <v>F1712055503</v>
          </cell>
          <cell r="I962" t="str">
            <v>215JM</v>
          </cell>
          <cell r="K962" t="str">
            <v>10</v>
          </cell>
          <cell r="L962" t="str">
            <v>3490</v>
          </cell>
          <cell r="O962" t="str">
            <v>Full no Cord</v>
          </cell>
          <cell r="P962" t="str">
            <v>TEFC</v>
          </cell>
          <cell r="R962" t="str">
            <v>Continuous</v>
          </cell>
          <cell r="S962" t="str">
            <v>Yes</v>
          </cell>
          <cell r="U962" t="str">
            <v>40</v>
          </cell>
          <cell r="V962" t="str">
            <v>3</v>
          </cell>
          <cell r="W962" t="str">
            <v>60</v>
          </cell>
          <cell r="X962" t="str">
            <v>230/460</v>
          </cell>
          <cell r="Y962" t="str">
            <v>23.6/11.8</v>
          </cell>
          <cell r="AA962" t="str">
            <v>F1</v>
          </cell>
          <cell r="AD962" t="str">
            <v>0</v>
          </cell>
          <cell r="AG962" t="str">
            <v>HP</v>
          </cell>
          <cell r="AI962" t="str">
            <v>6309</v>
          </cell>
          <cell r="AJ962" t="str">
            <v>6206</v>
          </cell>
          <cell r="AO962" t="str">
            <v>B</v>
          </cell>
          <cell r="AP962" t="str">
            <v>G</v>
          </cell>
          <cell r="AQ962" t="str">
            <v>F</v>
          </cell>
          <cell r="AR962" t="str">
            <v>87</v>
          </cell>
          <cell r="AS962" t="str">
            <v>1.15</v>
          </cell>
          <cell r="AT962" t="str">
            <v>90.2</v>
          </cell>
          <cell r="AU962" t="str">
            <v>37M031S864G1</v>
          </cell>
          <cell r="AV962" t="b">
            <v>0</v>
          </cell>
          <cell r="AY962" t="str">
            <v>GOULDS</v>
          </cell>
          <cell r="AZ962" t="str">
            <v>3656</v>
          </cell>
          <cell r="BA962" t="str">
            <v>INDEX#4BF1L9D0</v>
          </cell>
          <cell r="BB962" t="str">
            <v>6</v>
          </cell>
          <cell r="BD962" t="str">
            <v>2 1/2 X3-7</v>
          </cell>
          <cell r="EW962" t="str">
            <v>EJMM3711T</v>
          </cell>
          <cell r="HD962" t="str">
            <v>Repair Shop</v>
          </cell>
          <cell r="HT962" t="b">
            <v>0</v>
          </cell>
          <cell r="HU962" t="str">
            <v>LIND MARINE</v>
          </cell>
        </row>
        <row r="963">
          <cell r="A963">
            <v>1803</v>
          </cell>
          <cell r="B963" t="str">
            <v>FE1026</v>
          </cell>
          <cell r="D963" t="str">
            <v>CBRE</v>
          </cell>
          <cell r="AG963" t="str">
            <v>HP</v>
          </cell>
          <cell r="AV963" t="b">
            <v>0</v>
          </cell>
          <cell r="HD963" t="str">
            <v>Field Service</v>
          </cell>
          <cell r="HT963" t="b">
            <v>0</v>
          </cell>
          <cell r="HU963" t="str">
            <v>CBRE ASSET SERVICES</v>
          </cell>
        </row>
        <row r="964">
          <cell r="A964">
            <v>1802</v>
          </cell>
          <cell r="B964" t="str">
            <v>VEM0736</v>
          </cell>
          <cell r="D964" t="str">
            <v>LINDMARINE</v>
          </cell>
          <cell r="F964" t="str">
            <v>US Motors</v>
          </cell>
          <cell r="G964" t="str">
            <v>DP24</v>
          </cell>
          <cell r="I964" t="str">
            <v>405TC</v>
          </cell>
          <cell r="K964" t="str">
            <v>100</v>
          </cell>
          <cell r="L964" t="str">
            <v>1780</v>
          </cell>
          <cell r="M964" t="str">
            <v>CTE</v>
          </cell>
          <cell r="N964" t="str">
            <v>1180</v>
          </cell>
          <cell r="O964" t="str">
            <v>None</v>
          </cell>
          <cell r="P964" t="str">
            <v>TEFC</v>
          </cell>
          <cell r="R964" t="str">
            <v>Continuous</v>
          </cell>
          <cell r="S964" t="str">
            <v>Yes</v>
          </cell>
          <cell r="T964" t="str">
            <v>YES</v>
          </cell>
          <cell r="U964" t="str">
            <v>40</v>
          </cell>
          <cell r="V964" t="str">
            <v>3</v>
          </cell>
          <cell r="W964" t="str">
            <v>60</v>
          </cell>
          <cell r="X964" t="str">
            <v>230/460</v>
          </cell>
          <cell r="Y964" t="str">
            <v>225/113</v>
          </cell>
          <cell r="AA964" t="str">
            <v>F1</v>
          </cell>
          <cell r="AD964" t="str">
            <v>0</v>
          </cell>
          <cell r="AG964" t="str">
            <v>HP</v>
          </cell>
          <cell r="AI964" t="str">
            <v>6316</v>
          </cell>
          <cell r="AJ964" t="str">
            <v>6316</v>
          </cell>
          <cell r="AO964" t="str">
            <v>B</v>
          </cell>
          <cell r="AP964" t="str">
            <v>G</v>
          </cell>
          <cell r="AS964" t="str">
            <v>1.15</v>
          </cell>
          <cell r="AT964" t="str">
            <v>95.4</v>
          </cell>
          <cell r="AV964" t="b">
            <v>0</v>
          </cell>
          <cell r="EW964" t="str">
            <v>H100P2EC</v>
          </cell>
          <cell r="EX964" t="str">
            <v>Y 10 7681915-0019</v>
          </cell>
          <cell r="HD964" t="str">
            <v>Repair Shop</v>
          </cell>
          <cell r="HT964" t="b">
            <v>0</v>
          </cell>
          <cell r="HU964" t="str">
            <v>LIND MARINE</v>
          </cell>
        </row>
        <row r="965">
          <cell r="A965">
            <v>1801</v>
          </cell>
          <cell r="B965" t="str">
            <v>VEM0735</v>
          </cell>
          <cell r="D965" t="str">
            <v>LINDMARINE</v>
          </cell>
          <cell r="F965" t="str">
            <v>HYUNDAI</v>
          </cell>
          <cell r="G965" t="str">
            <v>PKP215PR2388</v>
          </cell>
          <cell r="I965" t="str">
            <v>215TC</v>
          </cell>
          <cell r="K965" t="str">
            <v>10</v>
          </cell>
          <cell r="L965" t="str">
            <v>1760</v>
          </cell>
          <cell r="N965" t="str">
            <v>165</v>
          </cell>
          <cell r="O965" t="str">
            <v>Full no Cord</v>
          </cell>
          <cell r="P965" t="str">
            <v>TEFC</v>
          </cell>
          <cell r="R965" t="str">
            <v>Continuous</v>
          </cell>
          <cell r="T965" t="str">
            <v>YES</v>
          </cell>
          <cell r="U965" t="str">
            <v>40</v>
          </cell>
          <cell r="V965" t="str">
            <v>3</v>
          </cell>
          <cell r="W965" t="str">
            <v>60</v>
          </cell>
          <cell r="X965" t="str">
            <v>460</v>
          </cell>
          <cell r="Y965" t="str">
            <v>12.8</v>
          </cell>
          <cell r="AA965" t="str">
            <v>F1</v>
          </cell>
          <cell r="AD965" t="str">
            <v>0</v>
          </cell>
          <cell r="AG965" t="str">
            <v>HP</v>
          </cell>
          <cell r="AI965" t="str">
            <v>6307</v>
          </cell>
          <cell r="AJ965" t="str">
            <v>6307</v>
          </cell>
          <cell r="AP965" t="str">
            <v>J</v>
          </cell>
          <cell r="AS965" t="str">
            <v>1.15</v>
          </cell>
          <cell r="AT965" t="str">
            <v>91.7</v>
          </cell>
          <cell r="AV965" t="b">
            <v>0</v>
          </cell>
          <cell r="HD965" t="str">
            <v>Repair Shop</v>
          </cell>
          <cell r="HT965" t="b">
            <v>0</v>
          </cell>
          <cell r="HU965" t="str">
            <v>LIND MARINE</v>
          </cell>
        </row>
        <row r="966">
          <cell r="A966">
            <v>1797</v>
          </cell>
          <cell r="B966" t="str">
            <v>VEM0734</v>
          </cell>
          <cell r="D966" t="str">
            <v>CONHAGEN</v>
          </cell>
          <cell r="F966" t="str">
            <v>Siemens</v>
          </cell>
          <cell r="K966" t="str">
            <v>20</v>
          </cell>
          <cell r="L966" t="str">
            <v>1765</v>
          </cell>
          <cell r="O966" t="str">
            <v>Full no Cord</v>
          </cell>
          <cell r="P966" t="str">
            <v>TEFC</v>
          </cell>
          <cell r="R966" t="str">
            <v>Continuous</v>
          </cell>
          <cell r="S966" t="str">
            <v>No</v>
          </cell>
          <cell r="T966" t="str">
            <v>NONE NO KEY</v>
          </cell>
          <cell r="U966" t="str">
            <v>40</v>
          </cell>
          <cell r="V966" t="str">
            <v>3</v>
          </cell>
          <cell r="W966" t="str">
            <v>60</v>
          </cell>
          <cell r="X966" t="str">
            <v>230/460</v>
          </cell>
          <cell r="Y966" t="str">
            <v>49/24.5</v>
          </cell>
          <cell r="AA966" t="str">
            <v>F2</v>
          </cell>
          <cell r="AG966" t="str">
            <v>HP</v>
          </cell>
          <cell r="AO966" t="str">
            <v>A</v>
          </cell>
          <cell r="AP966" t="str">
            <v>J</v>
          </cell>
          <cell r="AR966" t="str">
            <v>.86</v>
          </cell>
          <cell r="AS966" t="str">
            <v>1.15</v>
          </cell>
          <cell r="AT966" t="str">
            <v>90.6</v>
          </cell>
          <cell r="AV966" t="b">
            <v>0</v>
          </cell>
          <cell r="HD966" t="str">
            <v>Repair Shop</v>
          </cell>
          <cell r="HT966" t="b">
            <v>0</v>
          </cell>
          <cell r="HU966" t="str">
            <v>ALFRED CONHAGEN CO. OF CA</v>
          </cell>
        </row>
        <row r="967">
          <cell r="A967">
            <v>1796</v>
          </cell>
          <cell r="B967" t="str">
            <v>VEM0733</v>
          </cell>
          <cell r="D967" t="str">
            <v>CONHAGEN</v>
          </cell>
          <cell r="F967" t="str">
            <v>Baldor</v>
          </cell>
          <cell r="H967" t="str">
            <v>B599099918</v>
          </cell>
          <cell r="I967" t="str">
            <v>56C</v>
          </cell>
          <cell r="K967" t="str">
            <v>.5</v>
          </cell>
          <cell r="L967" t="str">
            <v>1725</v>
          </cell>
          <cell r="O967" t="str">
            <v>Full no Cord</v>
          </cell>
          <cell r="P967" t="str">
            <v>EXP</v>
          </cell>
          <cell r="R967" t="str">
            <v>Continuous</v>
          </cell>
          <cell r="S967" t="str">
            <v>No</v>
          </cell>
          <cell r="T967" t="str">
            <v>NONE NO KEY</v>
          </cell>
          <cell r="U967" t="str">
            <v>40</v>
          </cell>
          <cell r="V967" t="str">
            <v>1</v>
          </cell>
          <cell r="W967" t="str">
            <v>60</v>
          </cell>
          <cell r="X967" t="str">
            <v>115/208-230</v>
          </cell>
          <cell r="AA967" t="str">
            <v>Vertical</v>
          </cell>
          <cell r="AD967" t="str">
            <v>0</v>
          </cell>
          <cell r="AG967" t="str">
            <v>HP</v>
          </cell>
          <cell r="AO967" t="str">
            <v>N</v>
          </cell>
          <cell r="AP967" t="str">
            <v>J</v>
          </cell>
          <cell r="AQ967" t="str">
            <v>B</v>
          </cell>
          <cell r="AR967" t="str">
            <v>66</v>
          </cell>
          <cell r="AS967" t="str">
            <v>1.00</v>
          </cell>
          <cell r="AT967" t="str">
            <v>64</v>
          </cell>
          <cell r="AU967" t="str">
            <v>34-5335W369</v>
          </cell>
          <cell r="AV967" t="b">
            <v>0</v>
          </cell>
          <cell r="EW967" t="str">
            <v>VL5004A</v>
          </cell>
          <cell r="GK967" t="str">
            <v>JB ADAPTER</v>
          </cell>
          <cell r="HD967" t="str">
            <v>Repair Shop</v>
          </cell>
          <cell r="HT967" t="b">
            <v>0</v>
          </cell>
          <cell r="HU967" t="str">
            <v>ALFRED CONHAGEN CO. OF CA</v>
          </cell>
        </row>
        <row r="968">
          <cell r="A968">
            <v>1795</v>
          </cell>
          <cell r="B968" t="str">
            <v>VEM0732</v>
          </cell>
          <cell r="D968" t="str">
            <v>CONHAGEN</v>
          </cell>
          <cell r="F968" t="str">
            <v>Baldor</v>
          </cell>
          <cell r="I968" t="str">
            <v>56C</v>
          </cell>
          <cell r="K968" t="str">
            <v>1.5</v>
          </cell>
          <cell r="L968" t="str">
            <v>1735</v>
          </cell>
          <cell r="O968" t="str">
            <v>Full no Cord</v>
          </cell>
          <cell r="P968" t="str">
            <v>EXP</v>
          </cell>
          <cell r="R968" t="str">
            <v>Continuous</v>
          </cell>
          <cell r="S968" t="str">
            <v>No</v>
          </cell>
          <cell r="T968" t="str">
            <v>NONE NO KEY</v>
          </cell>
          <cell r="U968" t="str">
            <v>40</v>
          </cell>
          <cell r="V968" t="str">
            <v>3</v>
          </cell>
          <cell r="W968" t="str">
            <v>60</v>
          </cell>
          <cell r="X968" t="str">
            <v>208-230/460</v>
          </cell>
          <cell r="Y968" t="str">
            <v>5-4.6/2.3</v>
          </cell>
          <cell r="AA968" t="str">
            <v>F1</v>
          </cell>
          <cell r="AD968" t="str">
            <v>0</v>
          </cell>
          <cell r="AG968" t="str">
            <v>HP</v>
          </cell>
          <cell r="AO968" t="str">
            <v>B</v>
          </cell>
          <cell r="AP968" t="str">
            <v>L</v>
          </cell>
          <cell r="AQ968" t="str">
            <v>B</v>
          </cell>
          <cell r="AR968" t="str">
            <v>74</v>
          </cell>
          <cell r="AT968" t="str">
            <v>81.5</v>
          </cell>
          <cell r="AU968" t="str">
            <v>35E374P801G1</v>
          </cell>
          <cell r="AV968" t="b">
            <v>0</v>
          </cell>
          <cell r="EW968" t="str">
            <v>VM 7034</v>
          </cell>
          <cell r="GK968" t="str">
            <v>JB CONDUIT ADAPTER</v>
          </cell>
          <cell r="HD968" t="str">
            <v>Repair Shop</v>
          </cell>
          <cell r="HT968" t="b">
            <v>0</v>
          </cell>
          <cell r="HU968" t="str">
            <v>ALFRED CONHAGEN CO. OF CA</v>
          </cell>
        </row>
        <row r="969">
          <cell r="A969">
            <v>1794</v>
          </cell>
          <cell r="B969" t="str">
            <v>VEM0731</v>
          </cell>
          <cell r="D969" t="str">
            <v>VALERO</v>
          </cell>
          <cell r="F969" t="str">
            <v>Siemens</v>
          </cell>
          <cell r="H969" t="str">
            <v>F94</v>
          </cell>
          <cell r="I969" t="str">
            <v>256T</v>
          </cell>
          <cell r="K969" t="str">
            <v>20</v>
          </cell>
          <cell r="L969" t="str">
            <v>3525</v>
          </cell>
          <cell r="M969" t="str">
            <v>RGZESD</v>
          </cell>
          <cell r="O969" t="str">
            <v>Full no Cord</v>
          </cell>
          <cell r="P969" t="str">
            <v>TEFC</v>
          </cell>
          <cell r="R969" t="str">
            <v>Continuous</v>
          </cell>
          <cell r="S969" t="str">
            <v>Yes</v>
          </cell>
          <cell r="T969" t="str">
            <v>YES</v>
          </cell>
          <cell r="U969" t="str">
            <v>40</v>
          </cell>
          <cell r="V969" t="str">
            <v>3</v>
          </cell>
          <cell r="W969" t="str">
            <v>60</v>
          </cell>
          <cell r="X969" t="str">
            <v>460</v>
          </cell>
          <cell r="Y969" t="str">
            <v>23</v>
          </cell>
          <cell r="AA969" t="str">
            <v>F1</v>
          </cell>
          <cell r="AD969" t="str">
            <v>0</v>
          </cell>
          <cell r="AG969" t="str">
            <v>HP</v>
          </cell>
          <cell r="AO969" t="str">
            <v>B</v>
          </cell>
          <cell r="AP969" t="str">
            <v>G</v>
          </cell>
          <cell r="AQ969" t="str">
            <v>F</v>
          </cell>
          <cell r="AS969" t="str">
            <v>1.15</v>
          </cell>
          <cell r="AT969" t="str">
            <v>90.2</v>
          </cell>
          <cell r="AV969" t="b">
            <v>0</v>
          </cell>
          <cell r="HD969" t="str">
            <v>Repair Shop</v>
          </cell>
          <cell r="HT969" t="b">
            <v>0</v>
          </cell>
          <cell r="HU969" t="str">
            <v>VALERO REFINING CO. BENICIA</v>
          </cell>
        </row>
        <row r="970">
          <cell r="A970">
            <v>1793</v>
          </cell>
          <cell r="B970" t="str">
            <v>VEM0730</v>
          </cell>
          <cell r="D970" t="str">
            <v>TURBO</v>
          </cell>
          <cell r="F970" t="str">
            <v>Siemens</v>
          </cell>
          <cell r="I970" t="str">
            <v>365LP</v>
          </cell>
          <cell r="K970" t="str">
            <v>75</v>
          </cell>
          <cell r="L970" t="str">
            <v>1775</v>
          </cell>
          <cell r="M970" t="str">
            <v>RGZEVIL</v>
          </cell>
          <cell r="O970" t="str">
            <v>Full no Cord</v>
          </cell>
          <cell r="P970" t="str">
            <v>TEFC</v>
          </cell>
          <cell r="R970" t="str">
            <v>Continuous</v>
          </cell>
          <cell r="T970" t="str">
            <v>NONE NO KEY</v>
          </cell>
          <cell r="U970" t="str">
            <v>40</v>
          </cell>
          <cell r="V970" t="str">
            <v>3</v>
          </cell>
          <cell r="W970" t="str">
            <v>60</v>
          </cell>
          <cell r="X970" t="str">
            <v>460</v>
          </cell>
          <cell r="Y970" t="str">
            <v>84</v>
          </cell>
          <cell r="AA970" t="str">
            <v>Vertical</v>
          </cell>
          <cell r="AD970" t="str">
            <v>0</v>
          </cell>
          <cell r="AG970" t="str">
            <v>HP</v>
          </cell>
          <cell r="AO970" t="str">
            <v>B</v>
          </cell>
          <cell r="AP970" t="str">
            <v>G</v>
          </cell>
          <cell r="AQ970" t="str">
            <v>F</v>
          </cell>
          <cell r="AS970" t="str">
            <v>1.15</v>
          </cell>
          <cell r="AT970" t="str">
            <v>95.0</v>
          </cell>
          <cell r="AV970" t="b">
            <v>0</v>
          </cell>
          <cell r="HD970" t="str">
            <v>Repair Shop</v>
          </cell>
          <cell r="HT970" t="b">
            <v>0</v>
          </cell>
          <cell r="HU970" t="str">
            <v>TURBO MACHINE</v>
          </cell>
        </row>
        <row r="971">
          <cell r="A971">
            <v>1792</v>
          </cell>
          <cell r="B971" t="str">
            <v>VEM0729</v>
          </cell>
          <cell r="D971" t="str">
            <v>TURBO</v>
          </cell>
          <cell r="F971" t="str">
            <v>US Motors</v>
          </cell>
          <cell r="G971" t="str">
            <v>14745501-100</v>
          </cell>
          <cell r="I971" t="str">
            <v>365VP</v>
          </cell>
          <cell r="K971" t="str">
            <v>75</v>
          </cell>
          <cell r="L971" t="str">
            <v>1785</v>
          </cell>
          <cell r="M971" t="str">
            <v>TV14</v>
          </cell>
          <cell r="N971" t="str">
            <v>925</v>
          </cell>
          <cell r="O971" t="str">
            <v>None</v>
          </cell>
          <cell r="P971" t="str">
            <v>TEFC</v>
          </cell>
          <cell r="R971" t="str">
            <v>Continuous</v>
          </cell>
          <cell r="S971" t="str">
            <v>Yes</v>
          </cell>
          <cell r="T971" t="str">
            <v>YES</v>
          </cell>
          <cell r="U971" t="str">
            <v>40</v>
          </cell>
          <cell r="V971" t="str">
            <v>3</v>
          </cell>
          <cell r="W971" t="str">
            <v>60</v>
          </cell>
          <cell r="X971" t="str">
            <v>460</v>
          </cell>
          <cell r="Y971" t="str">
            <v>86</v>
          </cell>
          <cell r="AA971" t="str">
            <v>Vertical</v>
          </cell>
          <cell r="AD971" t="str">
            <v>0</v>
          </cell>
          <cell r="AG971" t="str">
            <v>HP</v>
          </cell>
          <cell r="AI971" t="str">
            <v>7314</v>
          </cell>
          <cell r="AJ971" t="str">
            <v>6213</v>
          </cell>
          <cell r="AO971" t="str">
            <v>B</v>
          </cell>
          <cell r="AP971" t="str">
            <v>G</v>
          </cell>
          <cell r="AQ971" t="str">
            <v>F</v>
          </cell>
          <cell r="AS971" t="str">
            <v>1.15</v>
          </cell>
          <cell r="AV971" t="b">
            <v>0</v>
          </cell>
          <cell r="EX971" t="str">
            <v>W04 14745501-0001 H0002</v>
          </cell>
          <cell r="GK971" t="str">
            <v>LEADS NOT SEALED</v>
          </cell>
          <cell r="HD971" t="str">
            <v>Repair Shop</v>
          </cell>
          <cell r="HT971" t="b">
            <v>0</v>
          </cell>
          <cell r="HU971" t="str">
            <v>TURBO MACHINE</v>
          </cell>
        </row>
        <row r="972">
          <cell r="A972">
            <v>1791</v>
          </cell>
          <cell r="B972" t="str">
            <v>VEM0728</v>
          </cell>
          <cell r="D972" t="str">
            <v>SUPERSTORES</v>
          </cell>
          <cell r="F972" t="str">
            <v>US Motors</v>
          </cell>
          <cell r="I972" t="str">
            <v>215T</v>
          </cell>
          <cell r="K972" t="str">
            <v>10</v>
          </cell>
          <cell r="L972" t="str">
            <v>1740</v>
          </cell>
          <cell r="M972" t="str">
            <v>CT</v>
          </cell>
          <cell r="O972" t="str">
            <v>Full no Cord</v>
          </cell>
          <cell r="P972" t="str">
            <v>TEFC</v>
          </cell>
          <cell r="R972" t="str">
            <v>Continuous</v>
          </cell>
          <cell r="S972" t="str">
            <v>No</v>
          </cell>
          <cell r="T972" t="str">
            <v>NONE NO KEY</v>
          </cell>
          <cell r="U972" t="str">
            <v>40</v>
          </cell>
          <cell r="V972" t="str">
            <v>3</v>
          </cell>
          <cell r="W972" t="str">
            <v>60</v>
          </cell>
          <cell r="X972" t="str">
            <v>230/460</v>
          </cell>
          <cell r="Y972" t="str">
            <v>26.2/13.1</v>
          </cell>
          <cell r="AA972" t="str">
            <v>F1</v>
          </cell>
          <cell r="AG972" t="str">
            <v>HP</v>
          </cell>
          <cell r="AI972" t="str">
            <v>6208</v>
          </cell>
          <cell r="AJ972" t="str">
            <v>6206</v>
          </cell>
          <cell r="AO972" t="str">
            <v>B</v>
          </cell>
          <cell r="AP972" t="str">
            <v>G</v>
          </cell>
          <cell r="AQ972" t="str">
            <v>F</v>
          </cell>
          <cell r="AS972" t="str">
            <v>1.15</v>
          </cell>
          <cell r="AT972" t="str">
            <v>87.5</v>
          </cell>
          <cell r="AV972" t="b">
            <v>0</v>
          </cell>
          <cell r="EX972" t="str">
            <v>E404-Z05Z101?108?</v>
          </cell>
          <cell r="HD972" t="str">
            <v>Repair Shop</v>
          </cell>
          <cell r="HT972" t="b">
            <v>0</v>
          </cell>
          <cell r="HU972" t="str">
            <v>Producers Dairy Foods</v>
          </cell>
        </row>
        <row r="973">
          <cell r="A973">
            <v>1790</v>
          </cell>
          <cell r="B973" t="str">
            <v>VEM0727</v>
          </cell>
          <cell r="D973" t="str">
            <v>P66</v>
          </cell>
          <cell r="F973" t="str">
            <v>Reliance</v>
          </cell>
          <cell r="I973" t="str">
            <v>254T</v>
          </cell>
          <cell r="K973" t="str">
            <v>15</v>
          </cell>
          <cell r="L973" t="str">
            <v>1765</v>
          </cell>
          <cell r="M973" t="str">
            <v>P</v>
          </cell>
          <cell r="O973" t="str">
            <v>Full no Cord</v>
          </cell>
          <cell r="P973" t="str">
            <v>TEFC</v>
          </cell>
          <cell r="R973" t="str">
            <v>Continuous</v>
          </cell>
          <cell r="S973" t="str">
            <v>Yes</v>
          </cell>
          <cell r="T973" t="str">
            <v>KEY ONLY</v>
          </cell>
          <cell r="U973" t="str">
            <v>40</v>
          </cell>
          <cell r="V973" t="str">
            <v>3</v>
          </cell>
          <cell r="W973" t="str">
            <v>60</v>
          </cell>
          <cell r="X973" t="str">
            <v>460</v>
          </cell>
          <cell r="Y973" t="str">
            <v>18.1</v>
          </cell>
          <cell r="AA973" t="str">
            <v>F1</v>
          </cell>
          <cell r="AD973" t="str">
            <v>0</v>
          </cell>
          <cell r="AG973" t="str">
            <v>HP</v>
          </cell>
          <cell r="AO973" t="str">
            <v>B</v>
          </cell>
          <cell r="AP973" t="str">
            <v>G</v>
          </cell>
          <cell r="AQ973" t="str">
            <v>F</v>
          </cell>
          <cell r="AR973" t="str">
            <v>83.8</v>
          </cell>
          <cell r="AS973" t="str">
            <v>1.15</v>
          </cell>
          <cell r="AT973" t="str">
            <v>92.4</v>
          </cell>
          <cell r="AV973" t="b">
            <v>0</v>
          </cell>
          <cell r="EX973" t="str">
            <v>HM421185-002-AK</v>
          </cell>
          <cell r="HD973" t="str">
            <v>Repair Shop</v>
          </cell>
          <cell r="HT973" t="b">
            <v>0</v>
          </cell>
          <cell r="HU973" t="str">
            <v>PHILLIPS 66</v>
          </cell>
        </row>
        <row r="974">
          <cell r="A974">
            <v>1789</v>
          </cell>
          <cell r="B974" t="str">
            <v>VEM0726</v>
          </cell>
          <cell r="D974" t="str">
            <v>P66</v>
          </cell>
          <cell r="F974" t="str">
            <v>GE</v>
          </cell>
          <cell r="G974" t="str">
            <v>5KS256SS208B</v>
          </cell>
          <cell r="I974" t="str">
            <v>256T</v>
          </cell>
          <cell r="K974" t="str">
            <v>20</v>
          </cell>
          <cell r="L974" t="str">
            <v>1770</v>
          </cell>
          <cell r="M974" t="str">
            <v>KS</v>
          </cell>
          <cell r="O974" t="str">
            <v>Full no Cord</v>
          </cell>
          <cell r="P974" t="str">
            <v>TEFC</v>
          </cell>
          <cell r="R974" t="str">
            <v>Continuous</v>
          </cell>
          <cell r="S974" t="str">
            <v>No</v>
          </cell>
          <cell r="T974" t="str">
            <v>KEY ONLY</v>
          </cell>
          <cell r="U974" t="str">
            <v>40</v>
          </cell>
          <cell r="V974" t="str">
            <v>3</v>
          </cell>
          <cell r="W974" t="str">
            <v>60</v>
          </cell>
          <cell r="Y974" t="str">
            <v>23.7</v>
          </cell>
          <cell r="AA974" t="str">
            <v>F1</v>
          </cell>
          <cell r="AD974" t="str">
            <v>0</v>
          </cell>
          <cell r="AG974" t="str">
            <v>HP</v>
          </cell>
          <cell r="AO974" t="str">
            <v>B</v>
          </cell>
          <cell r="AP974" t="str">
            <v>G</v>
          </cell>
          <cell r="AS974" t="str">
            <v>1.15</v>
          </cell>
          <cell r="AV974" t="b">
            <v>0</v>
          </cell>
          <cell r="HD974" t="str">
            <v>Repair Shop</v>
          </cell>
          <cell r="HT974" t="b">
            <v>0</v>
          </cell>
          <cell r="HU974" t="str">
            <v>PHILLIPS 66</v>
          </cell>
        </row>
        <row r="975">
          <cell r="A975">
            <v>1788</v>
          </cell>
          <cell r="B975" t="str">
            <v>VEM0725</v>
          </cell>
          <cell r="D975" t="str">
            <v>P66</v>
          </cell>
          <cell r="F975" t="str">
            <v>Siemens</v>
          </cell>
          <cell r="G975" t="str">
            <v>055</v>
          </cell>
          <cell r="I975" t="str">
            <v>254T</v>
          </cell>
          <cell r="K975" t="str">
            <v>15</v>
          </cell>
          <cell r="L975" t="str">
            <v>1760</v>
          </cell>
          <cell r="M975" t="str">
            <v>RGZE-CH</v>
          </cell>
          <cell r="O975" t="str">
            <v>Half no Cord</v>
          </cell>
          <cell r="P975" t="str">
            <v>TEFC</v>
          </cell>
          <cell r="R975" t="str">
            <v>Continuous</v>
          </cell>
          <cell r="S975" t="str">
            <v>Yes</v>
          </cell>
          <cell r="T975" t="str">
            <v>KEY ONLY</v>
          </cell>
          <cell r="U975" t="str">
            <v>40</v>
          </cell>
          <cell r="V975" t="str">
            <v>3</v>
          </cell>
          <cell r="W975" t="str">
            <v>60</v>
          </cell>
          <cell r="Y975" t="str">
            <v>34/17</v>
          </cell>
          <cell r="AA975" t="str">
            <v>F1</v>
          </cell>
          <cell r="AG975" t="str">
            <v>HP</v>
          </cell>
          <cell r="AO975" t="str">
            <v>B</v>
          </cell>
          <cell r="AP975" t="str">
            <v>G</v>
          </cell>
          <cell r="AS975" t="str">
            <v>1.15</v>
          </cell>
          <cell r="AT975" t="str">
            <v>92.4</v>
          </cell>
          <cell r="AV975" t="b">
            <v>0</v>
          </cell>
          <cell r="GK975" t="str">
            <v>3 LEADS ONLY</v>
          </cell>
          <cell r="HD975" t="str">
            <v>Repair Shop</v>
          </cell>
          <cell r="HT975" t="b">
            <v>0</v>
          </cell>
          <cell r="HU975" t="str">
            <v>PHILLIPS 66</v>
          </cell>
        </row>
        <row r="976">
          <cell r="A976">
            <v>1787</v>
          </cell>
          <cell r="B976" t="str">
            <v>FE1025</v>
          </cell>
          <cell r="D976" t="str">
            <v>MATHESON</v>
          </cell>
          <cell r="AD976" t="str">
            <v>0</v>
          </cell>
          <cell r="AG976" t="str">
            <v>HP</v>
          </cell>
          <cell r="AV976" t="b">
            <v>0</v>
          </cell>
          <cell r="HD976" t="str">
            <v>Field Service</v>
          </cell>
          <cell r="HT976" t="b">
            <v>0</v>
          </cell>
          <cell r="HU976" t="str">
            <v>Matheson Tri-Gas Inc.</v>
          </cell>
        </row>
        <row r="977">
          <cell r="A977">
            <v>1786</v>
          </cell>
          <cell r="B977" t="str">
            <v>VEM0724</v>
          </cell>
          <cell r="D977" t="str">
            <v>CONHAGEN</v>
          </cell>
          <cell r="F977" t="str">
            <v>Reliance</v>
          </cell>
          <cell r="I977" t="str">
            <v>284TSC</v>
          </cell>
          <cell r="K977" t="str">
            <v>25</v>
          </cell>
          <cell r="L977" t="str">
            <v>1770</v>
          </cell>
          <cell r="M977" t="str">
            <v>P</v>
          </cell>
          <cell r="O977" t="str">
            <v>Full no Cord</v>
          </cell>
          <cell r="P977" t="str">
            <v>TEFC</v>
          </cell>
          <cell r="R977" t="str">
            <v>Continuous</v>
          </cell>
          <cell r="S977" t="str">
            <v>No</v>
          </cell>
          <cell r="T977" t="str">
            <v>NONE NO KEY</v>
          </cell>
          <cell r="U977" t="str">
            <v>40</v>
          </cell>
          <cell r="V977" t="str">
            <v>3</v>
          </cell>
          <cell r="W977" t="str">
            <v>60</v>
          </cell>
          <cell r="X977" t="str">
            <v>230/460</v>
          </cell>
          <cell r="Y977" t="str">
            <v>61/30.5</v>
          </cell>
          <cell r="AA977" t="str">
            <v>Other</v>
          </cell>
          <cell r="AD977" t="str">
            <v>0</v>
          </cell>
          <cell r="AG977" t="str">
            <v>HP</v>
          </cell>
          <cell r="AO977" t="str">
            <v>B</v>
          </cell>
          <cell r="AQ977" t="str">
            <v>F</v>
          </cell>
          <cell r="AS977" t="str">
            <v>1.15</v>
          </cell>
          <cell r="AV977" t="b">
            <v>0</v>
          </cell>
          <cell r="EX977" t="str">
            <v>1MQF31114-G1VN</v>
          </cell>
          <cell r="HD977" t="str">
            <v>Repair Shop</v>
          </cell>
          <cell r="HT977" t="b">
            <v>0</v>
          </cell>
          <cell r="HU977" t="str">
            <v>ALFRED CONHAGEN CO. OF CA</v>
          </cell>
        </row>
        <row r="978">
          <cell r="A978">
            <v>1785</v>
          </cell>
          <cell r="B978" t="str">
            <v>VEM0723</v>
          </cell>
          <cell r="D978" t="str">
            <v>VALLEJOSAN</v>
          </cell>
          <cell r="F978" t="str">
            <v>US Motors</v>
          </cell>
          <cell r="I978" t="str">
            <v>254VP</v>
          </cell>
          <cell r="K978" t="str">
            <v>7.5</v>
          </cell>
          <cell r="L978" t="str">
            <v>1155</v>
          </cell>
          <cell r="O978" t="str">
            <v>Full no Cord</v>
          </cell>
          <cell r="P978" t="str">
            <v>TEFC</v>
          </cell>
          <cell r="R978" t="str">
            <v>Continuous</v>
          </cell>
          <cell r="T978" t="str">
            <v>YES</v>
          </cell>
          <cell r="U978" t="str">
            <v>60</v>
          </cell>
          <cell r="V978" t="str">
            <v>3</v>
          </cell>
          <cell r="W978" t="str">
            <v>60</v>
          </cell>
          <cell r="X978" t="str">
            <v>230/460</v>
          </cell>
          <cell r="Y978" t="str">
            <v>20.4/10.2</v>
          </cell>
          <cell r="AA978" t="str">
            <v>Vertical</v>
          </cell>
          <cell r="AD978" t="str">
            <v>0</v>
          </cell>
          <cell r="AG978" t="str">
            <v>HP</v>
          </cell>
          <cell r="AI978" t="str">
            <v>6310</v>
          </cell>
          <cell r="AJ978" t="str">
            <v>6207</v>
          </cell>
          <cell r="AO978" t="str">
            <v>B</v>
          </cell>
          <cell r="AP978" t="str">
            <v>G</v>
          </cell>
          <cell r="AQ978" t="str">
            <v>B</v>
          </cell>
          <cell r="AV978" t="b">
            <v>0</v>
          </cell>
          <cell r="EX978" t="str">
            <v>9706619-229   C0410173</v>
          </cell>
          <cell r="HD978" t="str">
            <v>Repair Shop</v>
          </cell>
          <cell r="HT978" t="b">
            <v>0</v>
          </cell>
          <cell r="HU978" t="str">
            <v>VALLEJO FLOOD &amp; WASTEWATER DISTRICT</v>
          </cell>
        </row>
        <row r="979">
          <cell r="A979">
            <v>1784</v>
          </cell>
          <cell r="B979" t="str">
            <v>FE1024</v>
          </cell>
          <cell r="D979" t="str">
            <v>MATHESON</v>
          </cell>
          <cell r="AD979" t="str">
            <v>0</v>
          </cell>
          <cell r="AG979" t="str">
            <v>HP</v>
          </cell>
          <cell r="AV979" t="b">
            <v>0</v>
          </cell>
          <cell r="HD979" t="str">
            <v>Field Service</v>
          </cell>
          <cell r="HT979" t="b">
            <v>0</v>
          </cell>
          <cell r="HU979" t="str">
            <v>Matheson Tri-Gas Inc.</v>
          </cell>
        </row>
        <row r="980">
          <cell r="A980">
            <v>1783</v>
          </cell>
          <cell r="B980" t="str">
            <v>VEM0722</v>
          </cell>
          <cell r="D980" t="str">
            <v>VALERO</v>
          </cell>
          <cell r="F980" t="str">
            <v>Westinghouse</v>
          </cell>
          <cell r="G980" t="str">
            <v>TBFC</v>
          </cell>
          <cell r="H980" t="str">
            <v>6801</v>
          </cell>
          <cell r="I980" t="str">
            <v>213TPZ</v>
          </cell>
          <cell r="K980" t="str">
            <v>7.5</v>
          </cell>
          <cell r="L980" t="str">
            <v>1745</v>
          </cell>
          <cell r="O980" t="str">
            <v>Full no Cord</v>
          </cell>
          <cell r="R980" t="str">
            <v>Continuous</v>
          </cell>
          <cell r="S980" t="str">
            <v>Yes</v>
          </cell>
          <cell r="T980" t="str">
            <v>NONE</v>
          </cell>
          <cell r="V980" t="str">
            <v>3</v>
          </cell>
          <cell r="W980" t="str">
            <v>60</v>
          </cell>
          <cell r="X980" t="str">
            <v>460</v>
          </cell>
          <cell r="Y980" t="str">
            <v>10</v>
          </cell>
          <cell r="AA980" t="str">
            <v>Vertical</v>
          </cell>
          <cell r="AD980" t="str">
            <v>0</v>
          </cell>
          <cell r="AG980" t="str">
            <v>HP</v>
          </cell>
          <cell r="AP980" t="str">
            <v>H</v>
          </cell>
          <cell r="AS980" t="str">
            <v>1.0</v>
          </cell>
          <cell r="AV980" t="b">
            <v>0</v>
          </cell>
          <cell r="HD980" t="str">
            <v>Repair Shop</v>
          </cell>
          <cell r="HT980" t="b">
            <v>0</v>
          </cell>
          <cell r="HU980" t="str">
            <v>VALERO REFINING CO. BENICIA</v>
          </cell>
        </row>
        <row r="981">
          <cell r="A981">
            <v>1782</v>
          </cell>
          <cell r="B981" t="str">
            <v>VEM0721</v>
          </cell>
          <cell r="D981" t="str">
            <v>GUNDLACH</v>
          </cell>
          <cell r="F981" t="str">
            <v>Baldor</v>
          </cell>
          <cell r="I981" t="str">
            <v>254TCZ</v>
          </cell>
          <cell r="K981" t="str">
            <v>20</v>
          </cell>
          <cell r="L981" t="str">
            <v>3525</v>
          </cell>
          <cell r="O981" t="str">
            <v>Half no Cord</v>
          </cell>
          <cell r="P981" t="str">
            <v>ODP</v>
          </cell>
          <cell r="R981" t="str">
            <v>Continuous</v>
          </cell>
          <cell r="S981" t="str">
            <v>Yes</v>
          </cell>
          <cell r="T981" t="str">
            <v>NONE</v>
          </cell>
          <cell r="U981" t="str">
            <v>40</v>
          </cell>
          <cell r="V981" t="str">
            <v>3</v>
          </cell>
          <cell r="W981" t="str">
            <v>60</v>
          </cell>
          <cell r="X981" t="str">
            <v>230/460</v>
          </cell>
          <cell r="Y981" t="str">
            <v>49/24.5</v>
          </cell>
          <cell r="AA981" t="str">
            <v>F1</v>
          </cell>
          <cell r="AG981" t="str">
            <v>HP</v>
          </cell>
          <cell r="AI981" t="str">
            <v>6309</v>
          </cell>
          <cell r="AJ981" t="str">
            <v>6208</v>
          </cell>
          <cell r="AQ981" t="str">
            <v>B</v>
          </cell>
          <cell r="AS981" t="str">
            <v>1.15</v>
          </cell>
          <cell r="AU981" t="str">
            <v>39J038WV21</v>
          </cell>
          <cell r="AV981" t="b">
            <v>0</v>
          </cell>
          <cell r="EW981" t="str">
            <v>JMM2514T-S</v>
          </cell>
          <cell r="HD981" t="str">
            <v>Repair Shop</v>
          </cell>
          <cell r="HT981" t="b">
            <v>0</v>
          </cell>
          <cell r="HU981" t="str">
            <v>GUNDLACH BUNDSCHU</v>
          </cell>
        </row>
        <row r="982">
          <cell r="A982">
            <v>1781</v>
          </cell>
          <cell r="B982" t="str">
            <v>VEM0720</v>
          </cell>
          <cell r="D982" t="str">
            <v>VALERO</v>
          </cell>
          <cell r="F982" t="str">
            <v>Siemens</v>
          </cell>
          <cell r="H982" t="str">
            <v>M05T0042NPX  001</v>
          </cell>
          <cell r="I982" t="str">
            <v>444TS</v>
          </cell>
          <cell r="K982" t="str">
            <v>125</v>
          </cell>
          <cell r="L982" t="str">
            <v>3575</v>
          </cell>
          <cell r="M982" t="str">
            <v>RGZEESDX</v>
          </cell>
          <cell r="N982" t="str">
            <v>1454</v>
          </cell>
          <cell r="O982" t="str">
            <v>None</v>
          </cell>
          <cell r="P982" t="str">
            <v>TEFC</v>
          </cell>
          <cell r="R982" t="str">
            <v>Continuous</v>
          </cell>
          <cell r="S982" t="str">
            <v>Yes</v>
          </cell>
          <cell r="T982" t="str">
            <v>YES</v>
          </cell>
          <cell r="U982" t="str">
            <v>40</v>
          </cell>
          <cell r="V982" t="str">
            <v>3</v>
          </cell>
          <cell r="W982" t="str">
            <v>60</v>
          </cell>
          <cell r="X982" t="str">
            <v>460</v>
          </cell>
          <cell r="Y982" t="str">
            <v>138</v>
          </cell>
          <cell r="AA982" t="str">
            <v>F1</v>
          </cell>
          <cell r="AD982" t="str">
            <v>0</v>
          </cell>
          <cell r="AG982" t="str">
            <v>HP</v>
          </cell>
          <cell r="AI982" t="str">
            <v>6316</v>
          </cell>
          <cell r="AJ982" t="str">
            <v>6316</v>
          </cell>
          <cell r="AO982" t="str">
            <v>B</v>
          </cell>
          <cell r="AP982" t="str">
            <v>G</v>
          </cell>
          <cell r="AQ982" t="str">
            <v>F</v>
          </cell>
          <cell r="AS982" t="str">
            <v>1.15</v>
          </cell>
          <cell r="AT982" t="str">
            <v>95.0</v>
          </cell>
          <cell r="AV982" t="b">
            <v>0</v>
          </cell>
          <cell r="GK982" t="str">
            <v>MOUNTING HOLES MODIFIED TO 7/8</v>
          </cell>
          <cell r="HD982" t="str">
            <v>Repair Shop</v>
          </cell>
          <cell r="HT982" t="b">
            <v>0</v>
          </cell>
          <cell r="HU982" t="str">
            <v>VALERO REFINING CO. BENICIA</v>
          </cell>
        </row>
        <row r="983">
          <cell r="A983">
            <v>1780</v>
          </cell>
          <cell r="B983" t="str">
            <v>VEM0719</v>
          </cell>
          <cell r="D983" t="str">
            <v>BARRY</v>
          </cell>
          <cell r="F983" t="str">
            <v>SEW</v>
          </cell>
          <cell r="I983" t="str">
            <v>180LC4</v>
          </cell>
          <cell r="K983" t="str">
            <v>30</v>
          </cell>
          <cell r="L983" t="str">
            <v>1780</v>
          </cell>
          <cell r="M983" t="str">
            <v>DRE180LC4/FG</v>
          </cell>
          <cell r="O983" t="str">
            <v>Full no Cord</v>
          </cell>
          <cell r="P983" t="str">
            <v>TEFC</v>
          </cell>
          <cell r="R983" t="str">
            <v>Continuous</v>
          </cell>
          <cell r="S983" t="str">
            <v>Yes</v>
          </cell>
          <cell r="T983" t="str">
            <v>PINION GEAR</v>
          </cell>
          <cell r="U983" t="str">
            <v>40</v>
          </cell>
          <cell r="V983" t="str">
            <v>3</v>
          </cell>
          <cell r="W983" t="str">
            <v>60</v>
          </cell>
          <cell r="X983" t="str">
            <v>230/460</v>
          </cell>
          <cell r="AA983" t="str">
            <v>Vertical</v>
          </cell>
          <cell r="AD983" t="str">
            <v>0</v>
          </cell>
          <cell r="AG983" t="str">
            <v>HP</v>
          </cell>
          <cell r="AO983" t="str">
            <v>C</v>
          </cell>
          <cell r="AP983" t="str">
            <v>J</v>
          </cell>
          <cell r="AQ983" t="str">
            <v>F</v>
          </cell>
          <cell r="AS983" t="str">
            <v>1.15</v>
          </cell>
          <cell r="AV983" t="b">
            <v>0</v>
          </cell>
          <cell r="AW983" t="str">
            <v>71/35.5</v>
          </cell>
          <cell r="HD983" t="str">
            <v>Repair Shop</v>
          </cell>
          <cell r="HT983" t="b">
            <v>0</v>
          </cell>
          <cell r="HU983" t="str">
            <v>BARRY CALLEBAUT</v>
          </cell>
        </row>
        <row r="984">
          <cell r="A984">
            <v>1779</v>
          </cell>
          <cell r="B984" t="str">
            <v>VEM0718</v>
          </cell>
          <cell r="D984" t="str">
            <v>P66</v>
          </cell>
          <cell r="F984" t="str">
            <v>Baldor</v>
          </cell>
          <cell r="H984" t="str">
            <v>f295</v>
          </cell>
          <cell r="I984" t="str">
            <v>56CZ</v>
          </cell>
          <cell r="K984" t="str">
            <v>3</v>
          </cell>
          <cell r="L984" t="str">
            <v>3450</v>
          </cell>
          <cell r="O984" t="str">
            <v>None</v>
          </cell>
          <cell r="P984" t="str">
            <v>TEFC</v>
          </cell>
          <cell r="R984" t="str">
            <v>Continuous</v>
          </cell>
          <cell r="U984" t="str">
            <v>40</v>
          </cell>
          <cell r="V984" t="str">
            <v>3</v>
          </cell>
          <cell r="W984" t="str">
            <v>60</v>
          </cell>
          <cell r="X984" t="str">
            <v>220/440</v>
          </cell>
          <cell r="Y984" t="str">
            <v>7.4/3.7</v>
          </cell>
          <cell r="AA984" t="str">
            <v>Vertical</v>
          </cell>
          <cell r="AD984" t="str">
            <v>0</v>
          </cell>
          <cell r="AG984" t="str">
            <v>HP</v>
          </cell>
          <cell r="AP984" t="str">
            <v>H</v>
          </cell>
          <cell r="AQ984" t="str">
            <v>F</v>
          </cell>
          <cell r="AS984" t="str">
            <v>1.15</v>
          </cell>
          <cell r="AT984" t="str">
            <v>82.5</v>
          </cell>
          <cell r="AU984" t="str">
            <v>35E964-863G1</v>
          </cell>
          <cell r="AV984" t="b">
            <v>0</v>
          </cell>
          <cell r="HD984" t="str">
            <v>Repair Shop</v>
          </cell>
          <cell r="HT984" t="b">
            <v>0</v>
          </cell>
          <cell r="HU984" t="str">
            <v>PHILLIPS 66</v>
          </cell>
        </row>
        <row r="985">
          <cell r="A985">
            <v>1778</v>
          </cell>
          <cell r="B985" t="str">
            <v>VEM0717</v>
          </cell>
          <cell r="D985" t="str">
            <v>VALERO</v>
          </cell>
          <cell r="F985" t="str">
            <v>Westinghouse</v>
          </cell>
          <cell r="H985" t="str">
            <v>6709</v>
          </cell>
          <cell r="I985" t="str">
            <v>254TP</v>
          </cell>
          <cell r="K985" t="str">
            <v>15</v>
          </cell>
          <cell r="L985" t="str">
            <v>3505</v>
          </cell>
          <cell r="O985" t="str">
            <v>Full no Cord</v>
          </cell>
          <cell r="P985" t="str">
            <v>TEFC</v>
          </cell>
          <cell r="R985" t="str">
            <v>Continuous</v>
          </cell>
          <cell r="S985" t="str">
            <v>Yes</v>
          </cell>
          <cell r="T985" t="str">
            <v>Yes</v>
          </cell>
          <cell r="U985" t="str">
            <v>40</v>
          </cell>
          <cell r="V985" t="str">
            <v>3</v>
          </cell>
          <cell r="W985" t="str">
            <v>60</v>
          </cell>
          <cell r="X985" t="str">
            <v>230/460</v>
          </cell>
          <cell r="Y985" t="str">
            <v>36/18</v>
          </cell>
          <cell r="AA985" t="str">
            <v>Vertical</v>
          </cell>
          <cell r="AD985" t="str">
            <v>0</v>
          </cell>
          <cell r="AG985" t="str">
            <v>HP</v>
          </cell>
          <cell r="AQ985" t="str">
            <v>F</v>
          </cell>
          <cell r="AS985" t="str">
            <v>1</v>
          </cell>
          <cell r="AV985" t="b">
            <v>0</v>
          </cell>
          <cell r="EZ985" t="str">
            <v>NO</v>
          </cell>
          <cell r="HD985" t="str">
            <v>Repair Shop</v>
          </cell>
          <cell r="HT985" t="b">
            <v>0</v>
          </cell>
          <cell r="HU985" t="str">
            <v>VALERO REFINING CO. BENICIA</v>
          </cell>
        </row>
        <row r="986">
          <cell r="A986">
            <v>1776</v>
          </cell>
          <cell r="B986" t="str">
            <v>VEM0715</v>
          </cell>
          <cell r="D986" t="str">
            <v>VALERO</v>
          </cell>
          <cell r="F986" t="str">
            <v>GE</v>
          </cell>
          <cell r="G986" t="str">
            <v>5KCP39FF</v>
          </cell>
          <cell r="K986" t="str">
            <v>.2</v>
          </cell>
          <cell r="L986" t="str">
            <v>1080</v>
          </cell>
          <cell r="M986" t="str">
            <v>AIR OVER</v>
          </cell>
          <cell r="O986" t="str">
            <v>None</v>
          </cell>
          <cell r="R986" t="str">
            <v>Continuous</v>
          </cell>
          <cell r="T986" t="str">
            <v>FAN ONLY</v>
          </cell>
          <cell r="V986" t="str">
            <v>1</v>
          </cell>
          <cell r="W986" t="str">
            <v>60</v>
          </cell>
          <cell r="X986" t="str">
            <v>200-230</v>
          </cell>
          <cell r="Y986" t="str">
            <v>1.60</v>
          </cell>
          <cell r="AA986" t="str">
            <v>Other</v>
          </cell>
          <cell r="AD986" t="str">
            <v>0</v>
          </cell>
          <cell r="AG986" t="str">
            <v>HP</v>
          </cell>
          <cell r="AQ986" t="str">
            <v>B</v>
          </cell>
          <cell r="AV986" t="b">
            <v>0</v>
          </cell>
          <cell r="HD986" t="str">
            <v>Repair Shop</v>
          </cell>
          <cell r="HT986" t="b">
            <v>0</v>
          </cell>
          <cell r="HU986" t="str">
            <v>VALERO REFINING CO. BENICIA</v>
          </cell>
        </row>
        <row r="987">
          <cell r="A987">
            <v>1775</v>
          </cell>
          <cell r="B987" t="str">
            <v>VEM0714</v>
          </cell>
          <cell r="D987" t="str">
            <v>CLEANHARBORS</v>
          </cell>
          <cell r="F987" t="str">
            <v>TECO</v>
          </cell>
          <cell r="I987" t="str">
            <v>365T</v>
          </cell>
          <cell r="K987" t="str">
            <v>75</v>
          </cell>
          <cell r="L987" t="str">
            <v>1775</v>
          </cell>
          <cell r="M987" t="str">
            <v>AEHHXU</v>
          </cell>
          <cell r="O987" t="str">
            <v>Half no Cord</v>
          </cell>
          <cell r="P987" t="str">
            <v>EXP</v>
          </cell>
          <cell r="Q987" t="str">
            <v>Yes</v>
          </cell>
          <cell r="R987" t="str">
            <v>Continuous</v>
          </cell>
          <cell r="S987" t="str">
            <v>Yes</v>
          </cell>
          <cell r="U987" t="str">
            <v>40</v>
          </cell>
          <cell r="V987" t="str">
            <v>3</v>
          </cell>
          <cell r="W987" t="str">
            <v>60</v>
          </cell>
          <cell r="X987" t="str">
            <v>230/460</v>
          </cell>
          <cell r="Y987" t="str">
            <v>171/85.5</v>
          </cell>
          <cell r="AA987" t="str">
            <v>F1</v>
          </cell>
          <cell r="AD987" t="str">
            <v>0</v>
          </cell>
          <cell r="AG987" t="str">
            <v>HP</v>
          </cell>
          <cell r="AI987" t="str">
            <v>6313</v>
          </cell>
          <cell r="AJ987" t="str">
            <v>6213</v>
          </cell>
          <cell r="AP987" t="str">
            <v>G</v>
          </cell>
          <cell r="AQ987" t="str">
            <v>F</v>
          </cell>
          <cell r="AS987" t="str">
            <v>1.15</v>
          </cell>
          <cell r="AT987" t="str">
            <v>95.0</v>
          </cell>
          <cell r="AV987" t="b">
            <v>0</v>
          </cell>
          <cell r="EW987" t="str">
            <v>X0754</v>
          </cell>
          <cell r="HD987" t="str">
            <v>Repair Shop</v>
          </cell>
          <cell r="HT987" t="b">
            <v>0</v>
          </cell>
          <cell r="HU987" t="str">
            <v>CLEAN HARBORS</v>
          </cell>
        </row>
        <row r="988">
          <cell r="A988">
            <v>1774</v>
          </cell>
          <cell r="B988" t="str">
            <v>VEM0713</v>
          </cell>
          <cell r="D988" t="str">
            <v>FRFLD-SUISUN</v>
          </cell>
          <cell r="I988" t="str">
            <v>143TZ</v>
          </cell>
          <cell r="K988" t="str">
            <v>3/4</v>
          </cell>
          <cell r="L988" t="str">
            <v>1800</v>
          </cell>
          <cell r="M988" t="str">
            <v>FBK1</v>
          </cell>
          <cell r="P988" t="str">
            <v>TEFC</v>
          </cell>
          <cell r="R988" t="str">
            <v>Continuous</v>
          </cell>
          <cell r="V988" t="str">
            <v>3</v>
          </cell>
          <cell r="W988" t="str">
            <v>60</v>
          </cell>
          <cell r="X988" t="str">
            <v>230/460</v>
          </cell>
          <cell r="Y988" t="str">
            <v>2.4/1.2</v>
          </cell>
          <cell r="AA988" t="str">
            <v>Vertical</v>
          </cell>
          <cell r="AD988" t="str">
            <v>0</v>
          </cell>
          <cell r="AG988" t="str">
            <v>HP</v>
          </cell>
          <cell r="AO988" t="str">
            <v>B</v>
          </cell>
          <cell r="AS988" t="str">
            <v>1.0</v>
          </cell>
          <cell r="AV988" t="b">
            <v>0</v>
          </cell>
          <cell r="HD988" t="str">
            <v>Repair Shop</v>
          </cell>
          <cell r="HT988" t="b">
            <v>0</v>
          </cell>
          <cell r="HU988" t="str">
            <v>FAIRFIELD-SUISUN SEWER DISTRICT</v>
          </cell>
        </row>
        <row r="989">
          <cell r="A989">
            <v>1772</v>
          </cell>
          <cell r="B989" t="str">
            <v>VEM0711</v>
          </cell>
          <cell r="D989" t="str">
            <v>CONHAGEN</v>
          </cell>
          <cell r="F989" t="str">
            <v>Reliance</v>
          </cell>
          <cell r="K989" t="str">
            <v>3</v>
          </cell>
          <cell r="L989" t="str">
            <v>1170</v>
          </cell>
          <cell r="O989" t="str">
            <v>Half no Cord</v>
          </cell>
          <cell r="P989" t="str">
            <v>TEFC</v>
          </cell>
          <cell r="R989" t="str">
            <v>Continuous</v>
          </cell>
          <cell r="S989" t="str">
            <v>No</v>
          </cell>
          <cell r="T989" t="str">
            <v>NONE NO KEY</v>
          </cell>
          <cell r="U989" t="str">
            <v>40</v>
          </cell>
          <cell r="V989" t="str">
            <v>3</v>
          </cell>
          <cell r="W989" t="str">
            <v>60</v>
          </cell>
          <cell r="X989" t="str">
            <v>230/460</v>
          </cell>
          <cell r="Y989" t="str">
            <v>10/5</v>
          </cell>
          <cell r="AA989" t="str">
            <v>F1</v>
          </cell>
          <cell r="AD989" t="str">
            <v>0</v>
          </cell>
          <cell r="AG989" t="str">
            <v>HP</v>
          </cell>
          <cell r="AO989" t="str">
            <v>B</v>
          </cell>
          <cell r="AP989" t="str">
            <v>J</v>
          </cell>
          <cell r="AQ989" t="str">
            <v>F</v>
          </cell>
          <cell r="AS989" t="str">
            <v>1.15</v>
          </cell>
          <cell r="AV989" t="b">
            <v>0</v>
          </cell>
          <cell r="EX989" t="str">
            <v>P21G431</v>
          </cell>
          <cell r="HD989" t="str">
            <v>Repair Shop</v>
          </cell>
          <cell r="HT989" t="b">
            <v>0</v>
          </cell>
          <cell r="HU989" t="str">
            <v>ALFRED CONHAGEN CO. OF CA</v>
          </cell>
        </row>
        <row r="990">
          <cell r="A990">
            <v>1770</v>
          </cell>
          <cell r="B990" t="str">
            <v>VEM0709</v>
          </cell>
          <cell r="D990" t="str">
            <v>SUPERSTORES</v>
          </cell>
          <cell r="F990" t="str">
            <v>Baldor</v>
          </cell>
          <cell r="H990" t="str">
            <v>X1704M33023</v>
          </cell>
          <cell r="I990" t="str">
            <v>184T</v>
          </cell>
          <cell r="K990" t="str">
            <v>5</v>
          </cell>
          <cell r="L990" t="str">
            <v>1750</v>
          </cell>
          <cell r="O990" t="str">
            <v>Full no Cord</v>
          </cell>
          <cell r="P990" t="str">
            <v>TEFC</v>
          </cell>
          <cell r="R990" t="str">
            <v>Continuous</v>
          </cell>
          <cell r="T990" t="str">
            <v>NONE NO KEY</v>
          </cell>
          <cell r="U990" t="str">
            <v>40</v>
          </cell>
          <cell r="V990" t="str">
            <v>3</v>
          </cell>
          <cell r="W990" t="str">
            <v>60</v>
          </cell>
          <cell r="X990" t="str">
            <v>230/460</v>
          </cell>
          <cell r="Y990" t="str">
            <v>13.4/6.7</v>
          </cell>
          <cell r="AA990" t="str">
            <v>F2</v>
          </cell>
          <cell r="AD990" t="str">
            <v>-1</v>
          </cell>
          <cell r="AG990" t="str">
            <v>HP</v>
          </cell>
          <cell r="AI990" t="str">
            <v>6206</v>
          </cell>
          <cell r="AJ990" t="str">
            <v>6205</v>
          </cell>
          <cell r="AO990" t="str">
            <v>B</v>
          </cell>
          <cell r="AP990" t="str">
            <v>J</v>
          </cell>
          <cell r="AQ990" t="str">
            <v>F</v>
          </cell>
          <cell r="AR990" t="str">
            <v>78</v>
          </cell>
          <cell r="AS990" t="str">
            <v>1.15</v>
          </cell>
          <cell r="AT990" t="str">
            <v>89.5</v>
          </cell>
          <cell r="AU990" t="str">
            <v>M36A021S268G1</v>
          </cell>
          <cell r="AV990" t="b">
            <v>0</v>
          </cell>
          <cell r="CJ990" t="str">
            <v>STEARNS</v>
          </cell>
          <cell r="CK990" t="str">
            <v>105604100DQF</v>
          </cell>
          <cell r="CL990" t="str">
            <v>976874010-00038-1018</v>
          </cell>
          <cell r="CM990" t="str">
            <v>15</v>
          </cell>
          <cell r="CN990" t="str">
            <v>208-230/460</v>
          </cell>
          <cell r="CO990" t="str">
            <v>2/1</v>
          </cell>
          <cell r="CQ990" t="str">
            <v>60</v>
          </cell>
          <cell r="EW990" t="str">
            <v>1202298084-000010</v>
          </cell>
          <cell r="HD990" t="str">
            <v>Repair Shop</v>
          </cell>
          <cell r="HT990" t="b">
            <v>0</v>
          </cell>
          <cell r="HU990" t="str">
            <v>Producers Dairy Foods</v>
          </cell>
        </row>
        <row r="991">
          <cell r="A991">
            <v>1769</v>
          </cell>
          <cell r="B991" t="str">
            <v>FE1023</v>
          </cell>
          <cell r="D991" t="str">
            <v>SIXFLAGSHURRICA</v>
          </cell>
          <cell r="AG991" t="str">
            <v>HP</v>
          </cell>
          <cell r="AV991" t="b">
            <v>0</v>
          </cell>
          <cell r="HD991" t="str">
            <v>Field Service</v>
          </cell>
          <cell r="HT991" t="b">
            <v>0</v>
          </cell>
          <cell r="HU991" t="str">
            <v>SIX FLAGS HURRICANE HARBOR CONCORD</v>
          </cell>
        </row>
        <row r="992">
          <cell r="A992">
            <v>1768</v>
          </cell>
          <cell r="B992" t="str">
            <v>VEM0708</v>
          </cell>
          <cell r="D992" t="str">
            <v>VALERO</v>
          </cell>
          <cell r="AD992" t="str">
            <v>0</v>
          </cell>
          <cell r="AG992" t="str">
            <v>HP</v>
          </cell>
          <cell r="AV992" t="b">
            <v>0</v>
          </cell>
          <cell r="HD992" t="str">
            <v>Repair Shop</v>
          </cell>
          <cell r="HT992" t="b">
            <v>0</v>
          </cell>
          <cell r="HU992" t="str">
            <v>VALERO REFINING CO. BENICIA</v>
          </cell>
        </row>
        <row r="993">
          <cell r="A993">
            <v>1767</v>
          </cell>
          <cell r="B993" t="str">
            <v>VEM0707</v>
          </cell>
          <cell r="D993" t="str">
            <v>EECO</v>
          </cell>
          <cell r="F993" t="str">
            <v>Baldor</v>
          </cell>
          <cell r="I993" t="str">
            <v>364TCZ</v>
          </cell>
          <cell r="K993" t="str">
            <v>75</v>
          </cell>
          <cell r="L993" t="str">
            <v>3550</v>
          </cell>
          <cell r="O993" t="str">
            <v>Half no Cord</v>
          </cell>
          <cell r="R993" t="str">
            <v>Continuous</v>
          </cell>
          <cell r="S993" t="str">
            <v>Yes</v>
          </cell>
          <cell r="U993" t="str">
            <v>40</v>
          </cell>
          <cell r="V993" t="str">
            <v>3</v>
          </cell>
          <cell r="W993" t="str">
            <v>60</v>
          </cell>
          <cell r="X993" t="str">
            <v>460</v>
          </cell>
          <cell r="AD993" t="str">
            <v>0</v>
          </cell>
          <cell r="AG993" t="str">
            <v>HP</v>
          </cell>
          <cell r="AI993" t="str">
            <v>6313</v>
          </cell>
          <cell r="AJ993" t="str">
            <v>6312</v>
          </cell>
          <cell r="AO993" t="str">
            <v>B</v>
          </cell>
          <cell r="AP993" t="str">
            <v>G</v>
          </cell>
          <cell r="AS993" t="str">
            <v>1.15</v>
          </cell>
          <cell r="AV993" t="b">
            <v>0</v>
          </cell>
          <cell r="HD993" t="str">
            <v>Repair Shop</v>
          </cell>
          <cell r="HT993" t="b">
            <v>0</v>
          </cell>
          <cell r="HU993" t="str">
            <v>ELECTRICAL EQUIPMENT CO.</v>
          </cell>
        </row>
        <row r="994">
          <cell r="A994">
            <v>1766</v>
          </cell>
          <cell r="B994" t="str">
            <v>VEM0706</v>
          </cell>
          <cell r="D994" t="str">
            <v>TENCATE</v>
          </cell>
          <cell r="F994" t="str">
            <v>US Motors</v>
          </cell>
          <cell r="K994" t="str">
            <v>10</v>
          </cell>
          <cell r="O994" t="str">
            <v>None</v>
          </cell>
          <cell r="P994" t="str">
            <v>TEFC</v>
          </cell>
          <cell r="R994" t="str">
            <v>Continuous</v>
          </cell>
          <cell r="S994" t="str">
            <v>Yes</v>
          </cell>
          <cell r="V994" t="str">
            <v>3</v>
          </cell>
          <cell r="W994" t="str">
            <v>60</v>
          </cell>
          <cell r="X994" t="str">
            <v>480</v>
          </cell>
          <cell r="AA994" t="str">
            <v>Vertical</v>
          </cell>
          <cell r="AD994" t="str">
            <v>0</v>
          </cell>
          <cell r="AG994" t="str">
            <v>HP</v>
          </cell>
          <cell r="AV994" t="b">
            <v>0</v>
          </cell>
          <cell r="GK994" t="str">
            <v>3 LEADS ONLY.NO FAN COVER</v>
          </cell>
          <cell r="HD994" t="str">
            <v>Repair Shop</v>
          </cell>
          <cell r="HT994" t="b">
            <v>0</v>
          </cell>
          <cell r="HU994" t="str">
            <v>TENCATE</v>
          </cell>
        </row>
        <row r="995">
          <cell r="A995">
            <v>1765</v>
          </cell>
          <cell r="B995" t="str">
            <v>VEM0705</v>
          </cell>
          <cell r="D995" t="str">
            <v>CONHAGEN</v>
          </cell>
          <cell r="F995" t="str">
            <v>Reliance</v>
          </cell>
          <cell r="K995" t="str">
            <v>25</v>
          </cell>
          <cell r="L995" t="str">
            <v>3535</v>
          </cell>
          <cell r="O995" t="str">
            <v>None</v>
          </cell>
          <cell r="P995" t="str">
            <v>TEFC</v>
          </cell>
          <cell r="R995" t="str">
            <v>Continuous</v>
          </cell>
          <cell r="V995" t="str">
            <v>3</v>
          </cell>
          <cell r="W995" t="str">
            <v>60</v>
          </cell>
          <cell r="X995" t="str">
            <v>460</v>
          </cell>
          <cell r="Y995" t="str">
            <v>28.1</v>
          </cell>
          <cell r="AA995" t="str">
            <v>Vertical</v>
          </cell>
          <cell r="AD995" t="str">
            <v>0</v>
          </cell>
          <cell r="AG995" t="str">
            <v>HP</v>
          </cell>
          <cell r="AO995" t="str">
            <v>B</v>
          </cell>
          <cell r="AP995" t="str">
            <v>G</v>
          </cell>
          <cell r="AQ995" t="str">
            <v>F</v>
          </cell>
          <cell r="AR995" t="str">
            <v>89.4</v>
          </cell>
          <cell r="AS995" t="str">
            <v>1.15</v>
          </cell>
          <cell r="AV995" t="b">
            <v>0</v>
          </cell>
          <cell r="HD995" t="str">
            <v>Repair Shop</v>
          </cell>
          <cell r="HT995" t="b">
            <v>0</v>
          </cell>
          <cell r="HU995" t="str">
            <v>ALFRED CONHAGEN CO. OF CA</v>
          </cell>
        </row>
        <row r="996">
          <cell r="A996">
            <v>1764</v>
          </cell>
          <cell r="B996" t="str">
            <v>VEM0704</v>
          </cell>
          <cell r="D996" t="str">
            <v>CONHAGEN</v>
          </cell>
          <cell r="F996" t="str">
            <v>TECO WESTINGHOUSE</v>
          </cell>
          <cell r="H996" t="str">
            <v>NA E0151402002</v>
          </cell>
          <cell r="I996" t="str">
            <v>254TC</v>
          </cell>
          <cell r="K996" t="str">
            <v>15</v>
          </cell>
          <cell r="L996" t="str">
            <v>3530</v>
          </cell>
          <cell r="M996" t="str">
            <v>AEUHXF</v>
          </cell>
          <cell r="N996" t="str">
            <v>348</v>
          </cell>
          <cell r="O996" t="str">
            <v>Full no Cord</v>
          </cell>
          <cell r="P996" t="str">
            <v>TEFC</v>
          </cell>
          <cell r="R996" t="str">
            <v>Continuous</v>
          </cell>
          <cell r="S996" t="str">
            <v>Yes</v>
          </cell>
          <cell r="T996" t="str">
            <v>NONE NO KEY</v>
          </cell>
          <cell r="U996" t="str">
            <v>40</v>
          </cell>
          <cell r="V996" t="str">
            <v>3</v>
          </cell>
          <cell r="W996" t="str">
            <v>60</v>
          </cell>
          <cell r="X996" t="str">
            <v>230/460</v>
          </cell>
          <cell r="Y996" t="str">
            <v>33.6/16.8</v>
          </cell>
          <cell r="AA996" t="str">
            <v>F1</v>
          </cell>
          <cell r="AD996" t="str">
            <v>0</v>
          </cell>
          <cell r="AG996" t="str">
            <v>HP</v>
          </cell>
          <cell r="AI996" t="str">
            <v>6309</v>
          </cell>
          <cell r="AJ996" t="str">
            <v>6307</v>
          </cell>
          <cell r="AO996" t="str">
            <v>B</v>
          </cell>
          <cell r="AP996" t="str">
            <v>G</v>
          </cell>
          <cell r="AS996" t="str">
            <v>1.15</v>
          </cell>
          <cell r="AT996" t="str">
            <v>91.0</v>
          </cell>
          <cell r="AV996" t="b">
            <v>0</v>
          </cell>
          <cell r="EW996" t="str">
            <v>XV0152C</v>
          </cell>
          <cell r="HD996" t="str">
            <v>Repair Shop</v>
          </cell>
          <cell r="HT996" t="b">
            <v>0</v>
          </cell>
          <cell r="HU996" t="str">
            <v>ALFRED CONHAGEN CO. OF CA</v>
          </cell>
        </row>
        <row r="997">
          <cell r="A997">
            <v>1763</v>
          </cell>
          <cell r="B997" t="str">
            <v>VEM0703</v>
          </cell>
          <cell r="D997" t="str">
            <v>VALERO</v>
          </cell>
          <cell r="F997" t="str">
            <v>BALDOR/RELIANCE</v>
          </cell>
          <cell r="G997" t="str">
            <v>B517680</v>
          </cell>
          <cell r="H997" t="str">
            <v>B517680-010</v>
          </cell>
          <cell r="I997" t="str">
            <v>324T</v>
          </cell>
          <cell r="K997" t="str">
            <v>40</v>
          </cell>
          <cell r="L997" t="str">
            <v>1775</v>
          </cell>
          <cell r="N997" t="str">
            <v>688</v>
          </cell>
          <cell r="O997" t="str">
            <v>None</v>
          </cell>
          <cell r="P997" t="str">
            <v>TEFC</v>
          </cell>
          <cell r="R997" t="str">
            <v>Continuous</v>
          </cell>
          <cell r="S997" t="str">
            <v>Yes</v>
          </cell>
          <cell r="T997" t="str">
            <v>NONE NO KEY</v>
          </cell>
          <cell r="V997" t="str">
            <v>3</v>
          </cell>
          <cell r="W997" t="str">
            <v>60</v>
          </cell>
          <cell r="X997" t="str">
            <v>460</v>
          </cell>
          <cell r="Y997" t="str">
            <v>47.7</v>
          </cell>
          <cell r="AA997" t="str">
            <v>F1</v>
          </cell>
          <cell r="AG997" t="str">
            <v>HP</v>
          </cell>
          <cell r="AI997" t="str">
            <v>NU311ECM</v>
          </cell>
          <cell r="AJ997" t="str">
            <v>6311</v>
          </cell>
          <cell r="AP997" t="str">
            <v>G</v>
          </cell>
          <cell r="AV997" t="b">
            <v>0</v>
          </cell>
          <cell r="HD997" t="str">
            <v>Repair Shop</v>
          </cell>
          <cell r="HT997" t="b">
            <v>0</v>
          </cell>
          <cell r="HU997" t="str">
            <v>VALERO REFINING CO. BENICIA</v>
          </cell>
        </row>
        <row r="998">
          <cell r="A998">
            <v>1762</v>
          </cell>
          <cell r="B998" t="str">
            <v>VEM0702</v>
          </cell>
          <cell r="D998" t="str">
            <v>VALERO</v>
          </cell>
          <cell r="F998" t="str">
            <v>BALDOR/RELIANCE</v>
          </cell>
          <cell r="H998" t="str">
            <v>C1512101037</v>
          </cell>
          <cell r="I998" t="str">
            <v>286T</v>
          </cell>
          <cell r="K998" t="str">
            <v>30</v>
          </cell>
          <cell r="L998" t="str">
            <v>1770</v>
          </cell>
          <cell r="N998" t="str">
            <v>460</v>
          </cell>
          <cell r="O998" t="str">
            <v>None</v>
          </cell>
          <cell r="P998" t="str">
            <v>TEFC</v>
          </cell>
          <cell r="R998" t="str">
            <v>Continuous</v>
          </cell>
          <cell r="S998" t="str">
            <v>Yes</v>
          </cell>
          <cell r="T998" t="str">
            <v>NONE NO KEY</v>
          </cell>
          <cell r="U998" t="str">
            <v>40</v>
          </cell>
          <cell r="V998" t="str">
            <v>3</v>
          </cell>
          <cell r="W998" t="str">
            <v>60</v>
          </cell>
          <cell r="X998" t="str">
            <v>460</v>
          </cell>
          <cell r="Y998" t="str">
            <v>36</v>
          </cell>
          <cell r="AA998" t="str">
            <v>F1</v>
          </cell>
          <cell r="AG998" t="str">
            <v>HP</v>
          </cell>
          <cell r="AI998" t="str">
            <v>6311</v>
          </cell>
          <cell r="AJ998" t="str">
            <v>6311</v>
          </cell>
          <cell r="AO998" t="str">
            <v>B</v>
          </cell>
          <cell r="AP998" t="str">
            <v>H</v>
          </cell>
          <cell r="AQ998" t="str">
            <v>F</v>
          </cell>
          <cell r="AR998" t="str">
            <v>83</v>
          </cell>
          <cell r="AS998" t="str">
            <v>1.15</v>
          </cell>
          <cell r="AT998" t="str">
            <v>94.1</v>
          </cell>
          <cell r="AU998" t="str">
            <v>10H292X452</v>
          </cell>
          <cell r="AV998" t="b">
            <v>0</v>
          </cell>
          <cell r="EW998" t="str">
            <v>ECP4104T-4</v>
          </cell>
          <cell r="HD998" t="str">
            <v>Repair Shop</v>
          </cell>
          <cell r="HT998" t="b">
            <v>0</v>
          </cell>
          <cell r="HU998" t="str">
            <v>VALERO REFINING CO. BENICIA</v>
          </cell>
        </row>
        <row r="999">
          <cell r="A999">
            <v>1761</v>
          </cell>
          <cell r="B999" t="str">
            <v>VEM0701</v>
          </cell>
          <cell r="D999" t="str">
            <v>CONHAGEN</v>
          </cell>
          <cell r="F999" t="str">
            <v>Siemens</v>
          </cell>
          <cell r="H999" t="str">
            <v>Q2-LI3T0092BP-1</v>
          </cell>
          <cell r="I999" t="str">
            <v>326 LPZ</v>
          </cell>
          <cell r="K999" t="str">
            <v>50</v>
          </cell>
          <cell r="L999" t="str">
            <v>3530</v>
          </cell>
          <cell r="M999" t="str">
            <v>RGZVILESD</v>
          </cell>
          <cell r="O999" t="str">
            <v>Full no Cord</v>
          </cell>
          <cell r="P999" t="str">
            <v>TEFC</v>
          </cell>
          <cell r="R999" t="str">
            <v>Continuous</v>
          </cell>
          <cell r="T999" t="str">
            <v>none no key</v>
          </cell>
          <cell r="U999" t="str">
            <v>40</v>
          </cell>
          <cell r="V999" t="str">
            <v>3</v>
          </cell>
          <cell r="W999" t="str">
            <v>60</v>
          </cell>
          <cell r="X999" t="str">
            <v>460</v>
          </cell>
          <cell r="Y999" t="str">
            <v>55</v>
          </cell>
          <cell r="Z999" t="str">
            <v>Yes</v>
          </cell>
          <cell r="AA999" t="str">
            <v>Vertical</v>
          </cell>
          <cell r="AD999" t="str">
            <v>0</v>
          </cell>
          <cell r="AG999" t="str">
            <v>HP</v>
          </cell>
          <cell r="AO999" t="str">
            <v>B</v>
          </cell>
          <cell r="AP999" t="str">
            <v>G</v>
          </cell>
          <cell r="AQ999" t="str">
            <v>B</v>
          </cell>
          <cell r="AS999" t="str">
            <v>1.15</v>
          </cell>
          <cell r="AT999" t="str">
            <v>92.4</v>
          </cell>
          <cell r="AV999" t="b">
            <v>0</v>
          </cell>
          <cell r="HD999" t="str">
            <v>Repair Shop</v>
          </cell>
          <cell r="HT999" t="b">
            <v>0</v>
          </cell>
          <cell r="HU999" t="str">
            <v>ALFRED CONHAGEN CO. OF CA</v>
          </cell>
        </row>
        <row r="1000">
          <cell r="A1000">
            <v>1760</v>
          </cell>
          <cell r="B1000" t="str">
            <v>VEM0700</v>
          </cell>
          <cell r="D1000" t="str">
            <v>CONHAGEN</v>
          </cell>
          <cell r="F1000" t="str">
            <v>GE</v>
          </cell>
          <cell r="G1000" t="str">
            <v>5KS254XAE5722A</v>
          </cell>
          <cell r="H1000" t="str">
            <v>EMFT134S031</v>
          </cell>
          <cell r="I1000" t="str">
            <v>L254LP10Z</v>
          </cell>
          <cell r="K1000" t="str">
            <v>15</v>
          </cell>
          <cell r="L1000" t="str">
            <v>3550</v>
          </cell>
          <cell r="M1000" t="str">
            <v>KS</v>
          </cell>
          <cell r="N1000" t="str">
            <v>315</v>
          </cell>
          <cell r="O1000" t="str">
            <v>Full no Cord</v>
          </cell>
          <cell r="P1000" t="str">
            <v>TEFC</v>
          </cell>
          <cell r="R1000" t="str">
            <v>Continuous</v>
          </cell>
          <cell r="S1000" t="str">
            <v>No</v>
          </cell>
          <cell r="T1000" t="str">
            <v>NONE</v>
          </cell>
          <cell r="U1000" t="str">
            <v>40</v>
          </cell>
          <cell r="V1000" t="str">
            <v>3</v>
          </cell>
          <cell r="W1000" t="str">
            <v>60</v>
          </cell>
          <cell r="X1000" t="str">
            <v>460</v>
          </cell>
          <cell r="Y1000" t="str">
            <v>17.3</v>
          </cell>
          <cell r="Z1000" t="str">
            <v>Yes</v>
          </cell>
          <cell r="AA1000" t="str">
            <v>Vertical</v>
          </cell>
          <cell r="AD1000" t="str">
            <v>-1</v>
          </cell>
          <cell r="AG1000" t="str">
            <v>HP</v>
          </cell>
          <cell r="AI1000" t="str">
            <v>3211A-2Z/C3</v>
          </cell>
          <cell r="AJ1000" t="str">
            <v>6309</v>
          </cell>
          <cell r="AO1000" t="str">
            <v>B</v>
          </cell>
          <cell r="AQ1000" t="str">
            <v>H</v>
          </cell>
          <cell r="AR1000" t="str">
            <v>89.0</v>
          </cell>
          <cell r="AS1000" t="str">
            <v>1.0</v>
          </cell>
          <cell r="AT1000" t="str">
            <v>91</v>
          </cell>
          <cell r="AV1000" t="b">
            <v>0</v>
          </cell>
          <cell r="EW1000" t="str">
            <v>V772</v>
          </cell>
          <cell r="GK1000" t="str">
            <v>3 LEADS ONLY</v>
          </cell>
          <cell r="HD1000" t="str">
            <v>Repair Shop</v>
          </cell>
          <cell r="HT1000" t="b">
            <v>0</v>
          </cell>
          <cell r="HU1000" t="str">
            <v>ALFRED CONHAGEN CO. OF CA</v>
          </cell>
        </row>
        <row r="1001">
          <cell r="A1001">
            <v>1759</v>
          </cell>
          <cell r="B1001" t="str">
            <v>VEM0699</v>
          </cell>
          <cell r="D1001" t="str">
            <v>VALERO</v>
          </cell>
          <cell r="F1001" t="str">
            <v>ELEKTRIM</v>
          </cell>
          <cell r="I1001" t="str">
            <v>182T</v>
          </cell>
          <cell r="K1001" t="str">
            <v>3</v>
          </cell>
          <cell r="L1001" t="str">
            <v>1740</v>
          </cell>
          <cell r="O1001" t="str">
            <v>Full no Cord</v>
          </cell>
          <cell r="P1001" t="str">
            <v>TEFC</v>
          </cell>
          <cell r="R1001" t="str">
            <v>Continuous</v>
          </cell>
          <cell r="T1001" t="str">
            <v>NONE NO KEY</v>
          </cell>
          <cell r="V1001" t="str">
            <v>3</v>
          </cell>
          <cell r="W1001" t="str">
            <v>60</v>
          </cell>
          <cell r="X1001" t="str">
            <v>230/460</v>
          </cell>
          <cell r="Y1001" t="str">
            <v>8.8/4.4</v>
          </cell>
          <cell r="AA1001" t="str">
            <v>Vertical</v>
          </cell>
          <cell r="AD1001" t="str">
            <v>0</v>
          </cell>
          <cell r="AG1001" t="str">
            <v>HP</v>
          </cell>
          <cell r="AO1001" t="str">
            <v>B</v>
          </cell>
          <cell r="AP1001" t="str">
            <v>K</v>
          </cell>
          <cell r="AS1001" t="str">
            <v>1.15</v>
          </cell>
          <cell r="AV1001" t="b">
            <v>0</v>
          </cell>
          <cell r="EX1001" t="str">
            <v>E884012</v>
          </cell>
          <cell r="GK1001" t="str">
            <v>REPLACED VEM0082</v>
          </cell>
          <cell r="HD1001" t="str">
            <v>Repair Shop</v>
          </cell>
          <cell r="HT1001" t="b">
            <v>0</v>
          </cell>
          <cell r="HU1001" t="str">
            <v>VALERO REFINING CO. BENICIA</v>
          </cell>
        </row>
        <row r="1002">
          <cell r="A1002">
            <v>1758</v>
          </cell>
          <cell r="B1002" t="str">
            <v>VEM0698</v>
          </cell>
          <cell r="D1002" t="str">
            <v>VALERO</v>
          </cell>
          <cell r="AG1002" t="str">
            <v>HP</v>
          </cell>
          <cell r="AV1002" t="b">
            <v>0</v>
          </cell>
          <cell r="HD1002" t="str">
            <v>Repair Shop</v>
          </cell>
          <cell r="HT1002" t="b">
            <v>0</v>
          </cell>
          <cell r="HU1002" t="str">
            <v>VALERO REFINING CO. BENICIA</v>
          </cell>
        </row>
        <row r="1003">
          <cell r="A1003">
            <v>1757</v>
          </cell>
          <cell r="B1003" t="str">
            <v>VEM0697</v>
          </cell>
          <cell r="D1003" t="str">
            <v>PAC. UNDGRND.</v>
          </cell>
          <cell r="AG1003" t="str">
            <v>HP</v>
          </cell>
          <cell r="AV1003" t="b">
            <v>0</v>
          </cell>
          <cell r="HD1003" t="str">
            <v>Repair Shop</v>
          </cell>
          <cell r="HT1003" t="b">
            <v>0</v>
          </cell>
          <cell r="HU1003" t="str">
            <v>Pacific Underground Services</v>
          </cell>
        </row>
        <row r="1004">
          <cell r="A1004">
            <v>1756</v>
          </cell>
          <cell r="B1004" t="str">
            <v>VEM0696</v>
          </cell>
          <cell r="D1004" t="str">
            <v>FRFLD-SUISUN</v>
          </cell>
          <cell r="AG1004" t="str">
            <v>HP</v>
          </cell>
          <cell r="AV1004" t="b">
            <v>0</v>
          </cell>
          <cell r="HD1004" t="str">
            <v>Repair Shop</v>
          </cell>
          <cell r="HT1004" t="b">
            <v>0</v>
          </cell>
          <cell r="HU1004" t="str">
            <v>FAIRFIELD-SUISUN SEWER DISTRICT</v>
          </cell>
        </row>
        <row r="1005">
          <cell r="A1005">
            <v>1755</v>
          </cell>
          <cell r="B1005" t="str">
            <v>SE1001</v>
          </cell>
          <cell r="D1005" t="str">
            <v>P66</v>
          </cell>
          <cell r="AG1005" t="str">
            <v>HP</v>
          </cell>
          <cell r="AV1005" t="b">
            <v>0</v>
          </cell>
          <cell r="HD1005" t="str">
            <v>Sales</v>
          </cell>
          <cell r="HT1005" t="b">
            <v>0</v>
          </cell>
          <cell r="HU1005" t="str">
            <v>PHILLIPS 66</v>
          </cell>
        </row>
        <row r="1006">
          <cell r="A1006">
            <v>1754</v>
          </cell>
          <cell r="B1006" t="str">
            <v>VEM0695</v>
          </cell>
          <cell r="D1006" t="str">
            <v>ALLIEDMACHINE</v>
          </cell>
          <cell r="F1006" t="str">
            <v>Baldor</v>
          </cell>
          <cell r="H1006" t="str">
            <v>67</v>
          </cell>
          <cell r="I1006" t="str">
            <v>936M</v>
          </cell>
          <cell r="K1006" t="str">
            <v>10</v>
          </cell>
          <cell r="L1006" t="str">
            <v>1625</v>
          </cell>
          <cell r="O1006" t="str">
            <v>Half no Cord</v>
          </cell>
          <cell r="P1006" t="str">
            <v>TEFC</v>
          </cell>
          <cell r="R1006" t="str">
            <v>Continuous</v>
          </cell>
          <cell r="S1006" t="str">
            <v>Yes</v>
          </cell>
          <cell r="T1006" t="str">
            <v>NONE NO KEY</v>
          </cell>
          <cell r="V1006" t="str">
            <v>3</v>
          </cell>
          <cell r="W1006" t="str">
            <v>60</v>
          </cell>
          <cell r="X1006" t="str">
            <v>208-220/440</v>
          </cell>
          <cell r="Y1006" t="str">
            <v>27.5-25.6/12.8</v>
          </cell>
          <cell r="AA1006" t="str">
            <v>F1</v>
          </cell>
          <cell r="AD1006" t="str">
            <v>0</v>
          </cell>
          <cell r="AG1006" t="str">
            <v>HP</v>
          </cell>
          <cell r="AO1006" t="str">
            <v>D</v>
          </cell>
          <cell r="AP1006" t="str">
            <v>G</v>
          </cell>
          <cell r="AQ1006" t="str">
            <v>A</v>
          </cell>
          <cell r="AU1006" t="str">
            <v>309-252-509</v>
          </cell>
          <cell r="AV1006" t="b">
            <v>0</v>
          </cell>
          <cell r="HD1006" t="str">
            <v>Repair Shop</v>
          </cell>
          <cell r="HT1006" t="b">
            <v>0</v>
          </cell>
          <cell r="HU1006" t="str">
            <v>ALLIED MACHINE</v>
          </cell>
        </row>
        <row r="1007">
          <cell r="A1007">
            <v>1753</v>
          </cell>
          <cell r="B1007" t="str">
            <v>VEM0694</v>
          </cell>
          <cell r="D1007" t="str">
            <v>BARRY</v>
          </cell>
          <cell r="F1007" t="str">
            <v>Marathon</v>
          </cell>
          <cell r="G1007" t="str">
            <v>CVC 213TTFC4026BD H</v>
          </cell>
          <cell r="I1007" t="str">
            <v>213T</v>
          </cell>
          <cell r="K1007" t="str">
            <v>7.5</v>
          </cell>
          <cell r="L1007" t="str">
            <v>1755</v>
          </cell>
          <cell r="O1007" t="str">
            <v>Full no Cord</v>
          </cell>
          <cell r="P1007" t="str">
            <v>TEFC</v>
          </cell>
          <cell r="R1007" t="str">
            <v>Continuous</v>
          </cell>
          <cell r="S1007" t="str">
            <v>NONE</v>
          </cell>
          <cell r="T1007" t="str">
            <v>NONE NO KEY</v>
          </cell>
          <cell r="U1007" t="str">
            <v>40</v>
          </cell>
          <cell r="V1007" t="str">
            <v>3</v>
          </cell>
          <cell r="W1007" t="str">
            <v>60</v>
          </cell>
          <cell r="X1007" t="str">
            <v>208-230/460</v>
          </cell>
          <cell r="Y1007" t="str">
            <v>21-19/9.5</v>
          </cell>
          <cell r="AA1007" t="str">
            <v>F1</v>
          </cell>
          <cell r="AD1007" t="str">
            <v>0</v>
          </cell>
          <cell r="AG1007" t="str">
            <v>HP</v>
          </cell>
          <cell r="AI1007" t="str">
            <v>6307</v>
          </cell>
          <cell r="AJ1007" t="str">
            <v>6206</v>
          </cell>
          <cell r="AP1007" t="str">
            <v>H</v>
          </cell>
          <cell r="AQ1007" t="str">
            <v>F</v>
          </cell>
          <cell r="AR1007" t="str">
            <v>86</v>
          </cell>
          <cell r="AT1007" t="str">
            <v>89.5</v>
          </cell>
          <cell r="AV1007" t="b">
            <v>0</v>
          </cell>
          <cell r="HD1007" t="str">
            <v>Repair Shop</v>
          </cell>
          <cell r="HT1007" t="b">
            <v>0</v>
          </cell>
          <cell r="HU1007" t="str">
            <v>BARRY CALLEBAUT</v>
          </cell>
        </row>
        <row r="1008">
          <cell r="A1008">
            <v>1752</v>
          </cell>
          <cell r="B1008" t="str">
            <v>VEM0693</v>
          </cell>
          <cell r="D1008" t="str">
            <v>VALERO</v>
          </cell>
          <cell r="F1008" t="str">
            <v>Reliance</v>
          </cell>
          <cell r="I1008" t="str">
            <v>18EB449TS</v>
          </cell>
          <cell r="K1008" t="str">
            <v>200</v>
          </cell>
          <cell r="L1008" t="str">
            <v>1785</v>
          </cell>
          <cell r="M1008" t="str">
            <v>P</v>
          </cell>
          <cell r="O1008" t="str">
            <v>None</v>
          </cell>
          <cell r="P1008" t="str">
            <v>TEFC</v>
          </cell>
          <cell r="R1008" t="str">
            <v>Continuous</v>
          </cell>
          <cell r="S1008" t="str">
            <v>Yes</v>
          </cell>
          <cell r="T1008" t="str">
            <v>YES FLUSH</v>
          </cell>
          <cell r="U1008" t="str">
            <v>40</v>
          </cell>
          <cell r="V1008" t="str">
            <v>3</v>
          </cell>
          <cell r="W1008" t="str">
            <v>60</v>
          </cell>
          <cell r="X1008" t="str">
            <v>4160</v>
          </cell>
          <cell r="Y1008" t="str">
            <v>24.9</v>
          </cell>
          <cell r="AA1008" t="str">
            <v>F1</v>
          </cell>
          <cell r="AD1008" t="str">
            <v>0</v>
          </cell>
          <cell r="AG1008" t="str">
            <v>HP</v>
          </cell>
          <cell r="AP1008" t="str">
            <v>H</v>
          </cell>
          <cell r="AQ1008" t="str">
            <v>F</v>
          </cell>
          <cell r="AS1008" t="str">
            <v>1.15</v>
          </cell>
          <cell r="AV1008" t="b">
            <v>0</v>
          </cell>
          <cell r="EX1008" t="str">
            <v>VAQ02327-A1-QN</v>
          </cell>
          <cell r="HD1008" t="str">
            <v>Repair Shop</v>
          </cell>
          <cell r="HT1008" t="b">
            <v>0</v>
          </cell>
          <cell r="HU1008" t="str">
            <v>VALERO REFINING CO. BENICIA</v>
          </cell>
        </row>
        <row r="1009">
          <cell r="A1009">
            <v>1751</v>
          </cell>
          <cell r="B1009" t="str">
            <v>VEM0692</v>
          </cell>
          <cell r="D1009" t="str">
            <v>P66</v>
          </cell>
          <cell r="F1009" t="str">
            <v>GE</v>
          </cell>
          <cell r="G1009" t="str">
            <v>5BY452B139</v>
          </cell>
          <cell r="H1009" t="str">
            <v>HY8-565-MY</v>
          </cell>
          <cell r="K1009" t="str">
            <v>3</v>
          </cell>
          <cell r="L1009" t="str">
            <v>1750</v>
          </cell>
          <cell r="M1009" t="str">
            <v>CD189ATC</v>
          </cell>
          <cell r="O1009" t="str">
            <v>Full no Cord</v>
          </cell>
          <cell r="P1009" t="str">
            <v>TEFC</v>
          </cell>
          <cell r="R1009" t="str">
            <v>Continuous</v>
          </cell>
          <cell r="T1009" t="str">
            <v>NONE NO KEY</v>
          </cell>
          <cell r="U1009" t="str">
            <v>60</v>
          </cell>
          <cell r="X1009" t="str">
            <v>120</v>
          </cell>
          <cell r="Y1009" t="str">
            <v>21.4</v>
          </cell>
          <cell r="AA1009" t="str">
            <v>F1</v>
          </cell>
          <cell r="AD1009" t="str">
            <v>-1</v>
          </cell>
          <cell r="AG1009" t="str">
            <v>HP</v>
          </cell>
          <cell r="AQ1009" t="str">
            <v>F</v>
          </cell>
          <cell r="AV1009" t="b">
            <v>0</v>
          </cell>
          <cell r="ER1009" t="str">
            <v>120</v>
          </cell>
          <cell r="ES1009" t="str">
            <v>1.0</v>
          </cell>
          <cell r="ET1009" t="str">
            <v>74.7 OHMS</v>
          </cell>
          <cell r="HD1009" t="str">
            <v>Repair Shop</v>
          </cell>
          <cell r="HT1009" t="b">
            <v>0</v>
          </cell>
          <cell r="HU1009" t="str">
            <v>PHILLIPS 66</v>
          </cell>
        </row>
        <row r="1010">
          <cell r="A1010">
            <v>1750</v>
          </cell>
          <cell r="B1010" t="str">
            <v>VEM0691</v>
          </cell>
          <cell r="D1010" t="str">
            <v>P66</v>
          </cell>
          <cell r="F1010" t="str">
            <v>GE</v>
          </cell>
          <cell r="G1010" t="str">
            <v>5BY451B171</v>
          </cell>
          <cell r="H1010" t="str">
            <v>KY8-518-KY</v>
          </cell>
          <cell r="K1010" t="str">
            <v>1.5</v>
          </cell>
          <cell r="L1010" t="str">
            <v>1750</v>
          </cell>
          <cell r="M1010" t="str">
            <v>CD189AT</v>
          </cell>
          <cell r="O1010" t="str">
            <v>Full no Cord</v>
          </cell>
          <cell r="P1010" t="str">
            <v>TENV</v>
          </cell>
          <cell r="R1010" t="str">
            <v>Continuous</v>
          </cell>
          <cell r="T1010" t="str">
            <v>NONE NO KEY</v>
          </cell>
          <cell r="U1010" t="str">
            <v>50</v>
          </cell>
          <cell r="Y1010" t="str">
            <v>10.7</v>
          </cell>
          <cell r="AA1010" t="str">
            <v>F1</v>
          </cell>
          <cell r="AD1010" t="str">
            <v>0</v>
          </cell>
          <cell r="AG1010" t="str">
            <v>HP</v>
          </cell>
          <cell r="AQ1010" t="str">
            <v>F</v>
          </cell>
          <cell r="AV1010" t="b">
            <v>0</v>
          </cell>
          <cell r="ER1010" t="str">
            <v>120</v>
          </cell>
          <cell r="ES1010" t="str">
            <v>.75</v>
          </cell>
          <cell r="ET1010" t="str">
            <v>AT 25 C 120</v>
          </cell>
          <cell r="HD1010" t="str">
            <v>Repair Shop</v>
          </cell>
          <cell r="HT1010" t="b">
            <v>0</v>
          </cell>
          <cell r="HU1010" t="str">
            <v>PHILLIPS 66</v>
          </cell>
        </row>
        <row r="1011">
          <cell r="A1011">
            <v>1749</v>
          </cell>
          <cell r="B1011" t="str">
            <v>VEM0690</v>
          </cell>
          <cell r="D1011" t="str">
            <v>FLOWSERVE</v>
          </cell>
          <cell r="F1011" t="str">
            <v>SHIN YOUNG INDUSTRIAL</v>
          </cell>
          <cell r="H1011" t="str">
            <v>MB220-001</v>
          </cell>
          <cell r="I1011" t="str">
            <v>132M</v>
          </cell>
          <cell r="K1011" t="str">
            <v>7.5</v>
          </cell>
          <cell r="L1011" t="str">
            <v>1750</v>
          </cell>
          <cell r="M1011" t="str">
            <v>TE-FC</v>
          </cell>
          <cell r="O1011" t="str">
            <v>Full no Cord</v>
          </cell>
          <cell r="P1011" t="str">
            <v>TEFC</v>
          </cell>
          <cell r="R1011" t="str">
            <v>Continuous</v>
          </cell>
          <cell r="S1011" t="str">
            <v>Yes</v>
          </cell>
          <cell r="T1011" t="str">
            <v>YES</v>
          </cell>
          <cell r="U1011" t="str">
            <v>40C</v>
          </cell>
          <cell r="V1011" t="str">
            <v>3</v>
          </cell>
          <cell r="W1011" t="str">
            <v>60</v>
          </cell>
          <cell r="X1011" t="str">
            <v>220/440</v>
          </cell>
          <cell r="Z1011" t="str">
            <v>No</v>
          </cell>
          <cell r="AA1011" t="str">
            <v>F1</v>
          </cell>
          <cell r="AD1011" t="str">
            <v>0</v>
          </cell>
          <cell r="AG1011" t="str">
            <v>KW</v>
          </cell>
          <cell r="AI1011" t="str">
            <v>6306ZZ</v>
          </cell>
          <cell r="AJ1011" t="str">
            <v>6308ZZ</v>
          </cell>
          <cell r="AP1011" t="str">
            <v>A</v>
          </cell>
          <cell r="AQ1011" t="str">
            <v>B</v>
          </cell>
          <cell r="AV1011" t="b">
            <v>0</v>
          </cell>
          <cell r="AW1011" t="str">
            <v>26/13</v>
          </cell>
          <cell r="AX1011" t="str">
            <v>4</v>
          </cell>
          <cell r="HD1011" t="str">
            <v>Repair Shop</v>
          </cell>
          <cell r="HT1011" t="b">
            <v>0</v>
          </cell>
          <cell r="HU1011" t="str">
            <v>FLOWSERVE CORPORATION</v>
          </cell>
        </row>
        <row r="1012">
          <cell r="A1012">
            <v>1748</v>
          </cell>
          <cell r="B1012" t="str">
            <v>VEM0689</v>
          </cell>
          <cell r="D1012" t="str">
            <v>VALLEJOSAN</v>
          </cell>
          <cell r="F1012" t="str">
            <v>Reliance</v>
          </cell>
          <cell r="I1012" t="str">
            <v>X250TY</v>
          </cell>
          <cell r="K1012" t="str">
            <v>25</v>
          </cell>
          <cell r="L1012" t="str">
            <v>1760</v>
          </cell>
          <cell r="M1012" t="str">
            <v>P</v>
          </cell>
          <cell r="O1012" t="str">
            <v>Full w/ Cord</v>
          </cell>
          <cell r="P1012" t="str">
            <v>TENV</v>
          </cell>
          <cell r="R1012" t="str">
            <v>Continuous</v>
          </cell>
          <cell r="V1012" t="str">
            <v>3</v>
          </cell>
          <cell r="W1012" t="str">
            <v>60</v>
          </cell>
          <cell r="AA1012" t="str">
            <v>Vertical</v>
          </cell>
          <cell r="AD1012" t="str">
            <v>-1</v>
          </cell>
          <cell r="AG1012" t="str">
            <v>HP</v>
          </cell>
          <cell r="AO1012" t="str">
            <v>B</v>
          </cell>
          <cell r="AQ1012" t="str">
            <v>F</v>
          </cell>
          <cell r="AS1012" t="str">
            <v>1.15</v>
          </cell>
          <cell r="AV1012" t="b">
            <v>0</v>
          </cell>
          <cell r="HD1012" t="str">
            <v>Repair Shop</v>
          </cell>
          <cell r="HT1012" t="b">
            <v>0</v>
          </cell>
          <cell r="HU1012" t="str">
            <v>VALLEJO FLOOD &amp; WASTEWATER DISTRICT</v>
          </cell>
        </row>
        <row r="1013">
          <cell r="A1013">
            <v>1747</v>
          </cell>
          <cell r="B1013" t="str">
            <v>VEM0688</v>
          </cell>
          <cell r="D1013" t="str">
            <v>CCSANITARY</v>
          </cell>
          <cell r="F1013" t="str">
            <v>Baldor</v>
          </cell>
          <cell r="H1013" t="str">
            <v>C0707310155</v>
          </cell>
          <cell r="I1013" t="str">
            <v>447TSC</v>
          </cell>
          <cell r="K1013" t="str">
            <v>200</v>
          </cell>
          <cell r="L1013" t="str">
            <v>3600</v>
          </cell>
          <cell r="P1013" t="str">
            <v>TEFC</v>
          </cell>
          <cell r="V1013" t="str">
            <v>3</v>
          </cell>
          <cell r="W1013" t="str">
            <v>60</v>
          </cell>
          <cell r="X1013" t="str">
            <v>460</v>
          </cell>
          <cell r="Y1013" t="str">
            <v>214</v>
          </cell>
          <cell r="AD1013" t="str">
            <v>0</v>
          </cell>
          <cell r="AG1013" t="str">
            <v>HP</v>
          </cell>
          <cell r="AR1013" t="str">
            <v>1.15</v>
          </cell>
          <cell r="AV1013" t="b">
            <v>0</v>
          </cell>
          <cell r="HD1013" t="str">
            <v>Repair Shop</v>
          </cell>
          <cell r="HT1013" t="b">
            <v>0</v>
          </cell>
          <cell r="HU1013" t="str">
            <v>CENTRAL CONTRA COSTA SANITARY DISTRICT</v>
          </cell>
        </row>
        <row r="1014">
          <cell r="A1014">
            <v>1746</v>
          </cell>
          <cell r="B1014" t="str">
            <v>VEM0687</v>
          </cell>
          <cell r="D1014" t="str">
            <v>CASHSALES</v>
          </cell>
          <cell r="F1014" t="str">
            <v>Leland</v>
          </cell>
          <cell r="H1014" t="str">
            <v>18810</v>
          </cell>
          <cell r="I1014" t="str">
            <v>2C56G</v>
          </cell>
          <cell r="K1014" t="str">
            <v>.33</v>
          </cell>
          <cell r="L1014" t="str">
            <v>1725</v>
          </cell>
          <cell r="O1014" t="str">
            <v>None</v>
          </cell>
          <cell r="P1014" t="str">
            <v>EXP</v>
          </cell>
          <cell r="Q1014" t="str">
            <v>Yes</v>
          </cell>
          <cell r="R1014" t="str">
            <v>Intermittant</v>
          </cell>
          <cell r="S1014" t="str">
            <v>No</v>
          </cell>
          <cell r="U1014" t="str">
            <v>55</v>
          </cell>
          <cell r="V1014" t="str">
            <v>1</v>
          </cell>
          <cell r="W1014" t="str">
            <v>60</v>
          </cell>
          <cell r="X1014" t="str">
            <v>115/230</v>
          </cell>
          <cell r="Y1014" t="str">
            <v>6.4/3.2</v>
          </cell>
          <cell r="AA1014" t="str">
            <v>Other</v>
          </cell>
          <cell r="AD1014" t="str">
            <v>0</v>
          </cell>
          <cell r="AG1014" t="str">
            <v>HP</v>
          </cell>
          <cell r="AV1014" t="b">
            <v>0</v>
          </cell>
          <cell r="HD1014" t="str">
            <v>Repair Shop</v>
          </cell>
          <cell r="HT1014" t="b">
            <v>0</v>
          </cell>
          <cell r="HU1014" t="str">
            <v>CASH SALES</v>
          </cell>
        </row>
        <row r="1015">
          <cell r="A1015">
            <v>1744</v>
          </cell>
          <cell r="B1015" t="str">
            <v>VEM0685</v>
          </cell>
          <cell r="D1015" t="str">
            <v>MAREISLDRYDK</v>
          </cell>
          <cell r="O1015" t="str">
            <v>Full w/ Cord</v>
          </cell>
          <cell r="R1015" t="str">
            <v>Continuous</v>
          </cell>
          <cell r="T1015" t="str">
            <v>YES</v>
          </cell>
          <cell r="V1015" t="str">
            <v>3</v>
          </cell>
          <cell r="W1015" t="str">
            <v>60</v>
          </cell>
          <cell r="AA1015" t="str">
            <v>Vertical</v>
          </cell>
          <cell r="AD1015" t="str">
            <v>0</v>
          </cell>
          <cell r="AV1015" t="b">
            <v>0</v>
          </cell>
          <cell r="HD1015" t="str">
            <v>Repair Shop</v>
          </cell>
          <cell r="HT1015" t="b">
            <v>0</v>
          </cell>
          <cell r="HU1015" t="str">
            <v>MARE ISLAND DRY DOCK</v>
          </cell>
        </row>
        <row r="1016">
          <cell r="A1016">
            <v>1743</v>
          </cell>
          <cell r="B1016" t="str">
            <v>VEM0684</v>
          </cell>
          <cell r="D1016" t="str">
            <v>CAYMUSVINE</v>
          </cell>
          <cell r="F1016" t="str">
            <v>US Motors</v>
          </cell>
          <cell r="H1016" t="str">
            <v>999727</v>
          </cell>
          <cell r="I1016" t="str">
            <v>365</v>
          </cell>
          <cell r="K1016" t="str">
            <v>30</v>
          </cell>
          <cell r="L1016" t="str">
            <v>1200</v>
          </cell>
          <cell r="M1016" t="str">
            <v>SC</v>
          </cell>
          <cell r="O1016" t="str">
            <v>Half no Cord</v>
          </cell>
          <cell r="P1016" t="str">
            <v>ODP</v>
          </cell>
          <cell r="Q1016" t="str">
            <v>Yes</v>
          </cell>
          <cell r="R1016" t="str">
            <v>Continuous</v>
          </cell>
          <cell r="S1016" t="str">
            <v>Yes</v>
          </cell>
          <cell r="U1016" t="str">
            <v>0</v>
          </cell>
          <cell r="V1016" t="str">
            <v>3</v>
          </cell>
          <cell r="W1016" t="str">
            <v>60</v>
          </cell>
          <cell r="X1016" t="str">
            <v>220-440</v>
          </cell>
          <cell r="Y1016" t="str">
            <v>39/78</v>
          </cell>
          <cell r="AA1016" t="str">
            <v>F1</v>
          </cell>
          <cell r="AD1016" t="str">
            <v>-1</v>
          </cell>
          <cell r="AG1016" t="str">
            <v>HP</v>
          </cell>
          <cell r="AO1016" t="str">
            <v>B</v>
          </cell>
          <cell r="AP1016" t="str">
            <v>F</v>
          </cell>
          <cell r="AV1016" t="b">
            <v>0</v>
          </cell>
          <cell r="GK1016" t="str">
            <v>8 FT. PROP ON SHAFT</v>
          </cell>
          <cell r="HD1016" t="str">
            <v>Repair Shop</v>
          </cell>
          <cell r="HT1016" t="b">
            <v>0</v>
          </cell>
          <cell r="HU1016" t="str">
            <v>CAYMUS VINEYARD</v>
          </cell>
        </row>
        <row r="1017">
          <cell r="A1017">
            <v>1742</v>
          </cell>
          <cell r="B1017" t="str">
            <v>VEM0683</v>
          </cell>
          <cell r="D1017" t="str">
            <v>MAREISLDRYDK</v>
          </cell>
          <cell r="AG1017" t="str">
            <v>HP</v>
          </cell>
          <cell r="AV1017" t="b">
            <v>0</v>
          </cell>
          <cell r="HD1017" t="str">
            <v>Repair Shop</v>
          </cell>
          <cell r="HT1017" t="b">
            <v>0</v>
          </cell>
          <cell r="HU1017" t="str">
            <v>MARE ISLAND DRY DOCK</v>
          </cell>
        </row>
        <row r="1018">
          <cell r="A1018">
            <v>1741</v>
          </cell>
          <cell r="B1018" t="str">
            <v>VEM0682</v>
          </cell>
          <cell r="D1018" t="str">
            <v>CONHAGEN</v>
          </cell>
          <cell r="F1018" t="str">
            <v>GE</v>
          </cell>
          <cell r="G1018" t="str">
            <v>3K49MG2067EX</v>
          </cell>
          <cell r="I1018" t="str">
            <v>56</v>
          </cell>
          <cell r="K1018" t="str">
            <v>.5</v>
          </cell>
          <cell r="L1018" t="str">
            <v>1140</v>
          </cell>
          <cell r="O1018" t="str">
            <v>Full no Cord</v>
          </cell>
          <cell r="R1018" t="str">
            <v>Continuous</v>
          </cell>
          <cell r="T1018" t="str">
            <v>NONE NO KEY</v>
          </cell>
          <cell r="U1018" t="str">
            <v>40</v>
          </cell>
          <cell r="V1018" t="str">
            <v>3</v>
          </cell>
          <cell r="W1018" t="str">
            <v>60</v>
          </cell>
          <cell r="X1018" t="str">
            <v>230/460</v>
          </cell>
          <cell r="Y1018" t="str">
            <v>2.6/1.3</v>
          </cell>
          <cell r="AA1018" t="str">
            <v>Other</v>
          </cell>
          <cell r="AD1018" t="str">
            <v>-1</v>
          </cell>
          <cell r="AG1018" t="str">
            <v>HP</v>
          </cell>
          <cell r="AV1018" t="b">
            <v>0</v>
          </cell>
          <cell r="HD1018" t="str">
            <v>Repair Shop</v>
          </cell>
          <cell r="HT1018" t="b">
            <v>0</v>
          </cell>
          <cell r="HU1018" t="str">
            <v>ALFRED CONHAGEN CO. OF CA</v>
          </cell>
        </row>
        <row r="1019">
          <cell r="A1019">
            <v>1740</v>
          </cell>
          <cell r="B1019" t="str">
            <v>VEM0681</v>
          </cell>
          <cell r="D1019" t="str">
            <v>UNICO</v>
          </cell>
          <cell r="F1019" t="str">
            <v>Reliance</v>
          </cell>
          <cell r="I1019" t="str">
            <v>324TSC</v>
          </cell>
          <cell r="K1019" t="str">
            <v>40</v>
          </cell>
          <cell r="L1019" t="str">
            <v>3560</v>
          </cell>
          <cell r="M1019" t="str">
            <v>P</v>
          </cell>
          <cell r="N1019" t="str">
            <v>767</v>
          </cell>
          <cell r="O1019" t="str">
            <v>YES</v>
          </cell>
          <cell r="P1019" t="str">
            <v>EXP</v>
          </cell>
          <cell r="R1019" t="str">
            <v>Continuous</v>
          </cell>
          <cell r="T1019" t="str">
            <v>NONE NO KEY</v>
          </cell>
          <cell r="V1019" t="str">
            <v>3</v>
          </cell>
          <cell r="W1019" t="str">
            <v>60</v>
          </cell>
          <cell r="X1019" t="str">
            <v>460</v>
          </cell>
          <cell r="Y1019" t="str">
            <v>44.3</v>
          </cell>
          <cell r="AA1019" t="str">
            <v>F1</v>
          </cell>
          <cell r="AD1019" t="str">
            <v>0</v>
          </cell>
          <cell r="AG1019" t="str">
            <v>HP</v>
          </cell>
          <cell r="AO1019" t="str">
            <v>B</v>
          </cell>
          <cell r="AS1019" t="str">
            <v>1.15</v>
          </cell>
          <cell r="AV1019" t="b">
            <v>0</v>
          </cell>
          <cell r="HD1019" t="str">
            <v>Repair Shop</v>
          </cell>
          <cell r="HT1019" t="b">
            <v>0</v>
          </cell>
          <cell r="HU1019" t="str">
            <v>UNICO MECHANICAL CORP.</v>
          </cell>
        </row>
        <row r="1020">
          <cell r="A1020">
            <v>1739</v>
          </cell>
          <cell r="B1020" t="str">
            <v>VEM0680</v>
          </cell>
          <cell r="D1020" t="str">
            <v>CASHSALES</v>
          </cell>
          <cell r="F1020" t="str">
            <v>Century</v>
          </cell>
          <cell r="G1020" t="str">
            <v>CSH-67L-D</v>
          </cell>
          <cell r="H1020" t="str">
            <v>AH-2</v>
          </cell>
          <cell r="I1020" t="str">
            <v>G56</v>
          </cell>
          <cell r="K1020" t="str">
            <v>1/2</v>
          </cell>
          <cell r="L1020" t="str">
            <v>1750</v>
          </cell>
          <cell r="O1020" t="str">
            <v>Half no Cord</v>
          </cell>
          <cell r="P1020" t="str">
            <v>ODP</v>
          </cell>
          <cell r="R1020" t="str">
            <v>Continuous</v>
          </cell>
          <cell r="T1020" t="str">
            <v>YES</v>
          </cell>
          <cell r="V1020" t="str">
            <v>1</v>
          </cell>
          <cell r="X1020" t="str">
            <v>115-230</v>
          </cell>
          <cell r="Y1020" t="str">
            <v>7.2/3.6</v>
          </cell>
          <cell r="AD1020" t="str">
            <v>0</v>
          </cell>
          <cell r="AG1020" t="str">
            <v>HP</v>
          </cell>
          <cell r="AP1020" t="str">
            <v>L</v>
          </cell>
          <cell r="AV1020" t="b">
            <v>0</v>
          </cell>
          <cell r="HD1020" t="str">
            <v>Repair Shop</v>
          </cell>
          <cell r="HT1020" t="b">
            <v>0</v>
          </cell>
          <cell r="HU1020" t="str">
            <v>CASH SALES</v>
          </cell>
        </row>
        <row r="1021">
          <cell r="A1021">
            <v>1738</v>
          </cell>
          <cell r="B1021" t="str">
            <v>VEM0679</v>
          </cell>
          <cell r="D1021" t="str">
            <v>EECO</v>
          </cell>
          <cell r="AD1021" t="str">
            <v>0</v>
          </cell>
          <cell r="AG1021" t="str">
            <v>HP</v>
          </cell>
          <cell r="AV1021" t="b">
            <v>0</v>
          </cell>
          <cell r="HD1021" t="str">
            <v>Repair Shop</v>
          </cell>
          <cell r="HT1021" t="b">
            <v>0</v>
          </cell>
          <cell r="HU1021" t="str">
            <v>ELECTRICAL EQUIPMENT CO.</v>
          </cell>
        </row>
        <row r="1022">
          <cell r="A1022">
            <v>1737</v>
          </cell>
          <cell r="B1022" t="str">
            <v>VEM0678</v>
          </cell>
          <cell r="D1022" t="str">
            <v>EECO</v>
          </cell>
          <cell r="AD1022" t="str">
            <v>0</v>
          </cell>
          <cell r="AG1022" t="str">
            <v>HP</v>
          </cell>
          <cell r="AV1022" t="b">
            <v>0</v>
          </cell>
          <cell r="HD1022" t="str">
            <v>Repair Shop</v>
          </cell>
          <cell r="HT1022" t="b">
            <v>0</v>
          </cell>
          <cell r="HU1022" t="str">
            <v>ELECTRICAL EQUIPMENT CO.</v>
          </cell>
        </row>
        <row r="1023">
          <cell r="A1023">
            <v>1736</v>
          </cell>
          <cell r="B1023" t="str">
            <v>VEM0677</v>
          </cell>
          <cell r="D1023" t="str">
            <v>VALERO</v>
          </cell>
          <cell r="F1023" t="str">
            <v>Siemens</v>
          </cell>
          <cell r="H1023" t="str">
            <v>L05T0041NPX 013</v>
          </cell>
          <cell r="I1023" t="str">
            <v>405TS</v>
          </cell>
          <cell r="K1023" t="str">
            <v>100</v>
          </cell>
          <cell r="L1023" t="str">
            <v>3570</v>
          </cell>
          <cell r="M1023" t="str">
            <v>RGZEESDX</v>
          </cell>
          <cell r="N1023" t="str">
            <v>1100</v>
          </cell>
          <cell r="O1023" t="str">
            <v>None</v>
          </cell>
          <cell r="P1023" t="str">
            <v>TEFC</v>
          </cell>
          <cell r="R1023" t="str">
            <v>Continuous</v>
          </cell>
          <cell r="S1023" t="str">
            <v>Yes</v>
          </cell>
          <cell r="T1023" t="str">
            <v>NONE NO KEY</v>
          </cell>
          <cell r="U1023" t="str">
            <v>40</v>
          </cell>
          <cell r="V1023" t="str">
            <v>3</v>
          </cell>
          <cell r="W1023" t="str">
            <v>60</v>
          </cell>
          <cell r="X1023" t="str">
            <v>460</v>
          </cell>
          <cell r="Y1023" t="str">
            <v>108</v>
          </cell>
          <cell r="AA1023" t="str">
            <v>F1</v>
          </cell>
          <cell r="AD1023" t="str">
            <v>0</v>
          </cell>
          <cell r="AG1023" t="str">
            <v>HP</v>
          </cell>
          <cell r="AI1023" t="str">
            <v>6316</v>
          </cell>
          <cell r="AJ1023" t="str">
            <v>6316</v>
          </cell>
          <cell r="AO1023" t="str">
            <v>B</v>
          </cell>
          <cell r="AQ1023" t="str">
            <v>F</v>
          </cell>
          <cell r="AS1023" t="str">
            <v>1.15</v>
          </cell>
          <cell r="AT1023" t="str">
            <v>94.1</v>
          </cell>
          <cell r="AV1023" t="b">
            <v>0</v>
          </cell>
          <cell r="HD1023" t="str">
            <v>Repair Shop</v>
          </cell>
          <cell r="HT1023" t="b">
            <v>0</v>
          </cell>
          <cell r="HU1023" t="str">
            <v>VALERO REFINING CO. BENICIA</v>
          </cell>
        </row>
        <row r="1024">
          <cell r="A1024">
            <v>1735</v>
          </cell>
          <cell r="B1024" t="str">
            <v>VEM0676</v>
          </cell>
          <cell r="D1024" t="str">
            <v>P66</v>
          </cell>
          <cell r="F1024" t="str">
            <v>Reliance</v>
          </cell>
          <cell r="I1024" t="str">
            <v>256HPZ</v>
          </cell>
          <cell r="K1024" t="str">
            <v>20</v>
          </cell>
          <cell r="L1024" t="str">
            <v>3525</v>
          </cell>
          <cell r="M1024" t="str">
            <v>P</v>
          </cell>
          <cell r="N1024" t="str">
            <v>314</v>
          </cell>
          <cell r="O1024" t="str">
            <v>Full no Cord</v>
          </cell>
          <cell r="P1024" t="str">
            <v>TEFC</v>
          </cell>
          <cell r="Q1024" t="str">
            <v>NONE</v>
          </cell>
          <cell r="R1024" t="str">
            <v>Continuous</v>
          </cell>
          <cell r="S1024" t="str">
            <v>NONE</v>
          </cell>
          <cell r="T1024" t="str">
            <v>NON</v>
          </cell>
          <cell r="U1024" t="str">
            <v>40C</v>
          </cell>
          <cell r="V1024" t="str">
            <v>3</v>
          </cell>
          <cell r="W1024" t="str">
            <v>60</v>
          </cell>
          <cell r="X1024" t="str">
            <v>460</v>
          </cell>
          <cell r="Y1024" t="str">
            <v>22.3</v>
          </cell>
          <cell r="Z1024" t="str">
            <v>Yes</v>
          </cell>
          <cell r="AA1024" t="str">
            <v>Vertical</v>
          </cell>
          <cell r="AD1024" t="str">
            <v>0</v>
          </cell>
          <cell r="AG1024" t="str">
            <v>HP</v>
          </cell>
          <cell r="AI1024" t="str">
            <v>45BC03J30X</v>
          </cell>
          <cell r="AJ1024" t="str">
            <v>45BC03J30X</v>
          </cell>
          <cell r="AO1024" t="str">
            <v>B</v>
          </cell>
          <cell r="AP1024" t="str">
            <v>G</v>
          </cell>
          <cell r="AQ1024" t="str">
            <v>F</v>
          </cell>
          <cell r="AR1024" t="str">
            <v>91.1</v>
          </cell>
          <cell r="AS1024" t="str">
            <v>1.15</v>
          </cell>
          <cell r="AT1024" t="str">
            <v>91.7</v>
          </cell>
          <cell r="AV1024" t="b">
            <v>0</v>
          </cell>
          <cell r="EX1024" t="str">
            <v>735731-001 L001 EK</v>
          </cell>
          <cell r="HD1024" t="str">
            <v>Repair Shop</v>
          </cell>
          <cell r="HT1024" t="b">
            <v>0</v>
          </cell>
          <cell r="HU1024" t="str">
            <v>PHILLIPS 66</v>
          </cell>
        </row>
        <row r="1025">
          <cell r="A1025">
            <v>1734</v>
          </cell>
          <cell r="B1025" t="str">
            <v>VEM0675</v>
          </cell>
          <cell r="D1025" t="str">
            <v>XKT</v>
          </cell>
          <cell r="F1025" t="str">
            <v>WOOD</v>
          </cell>
          <cell r="H1025" t="str">
            <v>285</v>
          </cell>
          <cell r="I1025" t="str">
            <v>256UC   9154D</v>
          </cell>
          <cell r="K1025" t="str">
            <v>5</v>
          </cell>
          <cell r="L1025" t="str">
            <v>1750</v>
          </cell>
          <cell r="O1025" t="str">
            <v>Full no Cord</v>
          </cell>
          <cell r="P1025" t="str">
            <v>TEFC</v>
          </cell>
          <cell r="R1025" t="str">
            <v>Continuous</v>
          </cell>
          <cell r="T1025" t="str">
            <v>NONE NO KEY</v>
          </cell>
          <cell r="U1025" t="str">
            <v>40</v>
          </cell>
          <cell r="X1025" t="str">
            <v>185  D.C.</v>
          </cell>
          <cell r="Y1025" t="str">
            <v>23</v>
          </cell>
          <cell r="AA1025" t="str">
            <v>F1</v>
          </cell>
          <cell r="AD1025" t="str">
            <v>0</v>
          </cell>
          <cell r="AG1025" t="str">
            <v>HP</v>
          </cell>
          <cell r="AO1025" t="str">
            <v>B</v>
          </cell>
          <cell r="AU1025" t="str">
            <v>30D37-960</v>
          </cell>
          <cell r="AV1025" t="b">
            <v>0</v>
          </cell>
          <cell r="ER1025" t="str">
            <v>200</v>
          </cell>
          <cell r="ES1025" t="str">
            <v>1.0</v>
          </cell>
          <cell r="EW1025" t="str">
            <v>M500A</v>
          </cell>
          <cell r="HD1025" t="str">
            <v>Repair Shop</v>
          </cell>
          <cell r="HT1025" t="b">
            <v>0</v>
          </cell>
          <cell r="HU1025" t="str">
            <v>XKT ENGINEERING</v>
          </cell>
        </row>
        <row r="1026">
          <cell r="A1026">
            <v>1733</v>
          </cell>
          <cell r="B1026" t="str">
            <v>VEM0674</v>
          </cell>
          <cell r="D1026" t="str">
            <v>VALERO</v>
          </cell>
          <cell r="F1026" t="str">
            <v>Siemens</v>
          </cell>
          <cell r="H1026" t="str">
            <v>E14266-01-1</v>
          </cell>
          <cell r="I1026" t="str">
            <v>507S</v>
          </cell>
          <cell r="K1026" t="str">
            <v>400</v>
          </cell>
          <cell r="L1026" t="str">
            <v>3567</v>
          </cell>
          <cell r="M1026" t="str">
            <v>CGII</v>
          </cell>
          <cell r="O1026" t="str">
            <v>Full no Cord</v>
          </cell>
          <cell r="P1026" t="str">
            <v>WP2</v>
          </cell>
          <cell r="R1026" t="str">
            <v>Continuous</v>
          </cell>
          <cell r="T1026" t="str">
            <v>YES</v>
          </cell>
          <cell r="V1026" t="str">
            <v>3</v>
          </cell>
          <cell r="W1026" t="str">
            <v>60</v>
          </cell>
          <cell r="X1026" t="str">
            <v>2300/4000</v>
          </cell>
          <cell r="Y1026" t="str">
            <v>88.5/51.1</v>
          </cell>
          <cell r="AA1026" t="str">
            <v>F1</v>
          </cell>
          <cell r="AD1026" t="str">
            <v>-1</v>
          </cell>
          <cell r="AG1026" t="str">
            <v>HP</v>
          </cell>
          <cell r="AO1026" t="str">
            <v>B</v>
          </cell>
          <cell r="AQ1026" t="str">
            <v>F</v>
          </cell>
          <cell r="AS1026" t="str">
            <v>1.15</v>
          </cell>
          <cell r="AV1026" t="b">
            <v>0</v>
          </cell>
          <cell r="GK1026" t="str">
            <v>HEATERS 120/240V</v>
          </cell>
          <cell r="GL1026" t="str">
            <v>525 WATT</v>
          </cell>
          <cell r="HD1026" t="str">
            <v>Repair Shop</v>
          </cell>
          <cell r="HT1026" t="b">
            <v>0</v>
          </cell>
          <cell r="HU1026" t="str">
            <v>VALERO REFINING CO. BENICIA</v>
          </cell>
        </row>
        <row r="1027">
          <cell r="A1027">
            <v>1732</v>
          </cell>
          <cell r="B1027" t="str">
            <v>VEM0673</v>
          </cell>
          <cell r="D1027" t="str">
            <v>COUNTYASPHALT</v>
          </cell>
          <cell r="AG1027" t="str">
            <v>HP</v>
          </cell>
          <cell r="AV1027" t="b">
            <v>0</v>
          </cell>
          <cell r="HD1027" t="str">
            <v>Repair Shop</v>
          </cell>
          <cell r="HT1027" t="b">
            <v>0</v>
          </cell>
          <cell r="HU1027" t="str">
            <v>COUNTY ASPHALT</v>
          </cell>
        </row>
        <row r="1028">
          <cell r="A1028">
            <v>1731</v>
          </cell>
          <cell r="B1028" t="str">
            <v>VEM0672</v>
          </cell>
          <cell r="D1028" t="str">
            <v>COUNTYASPHALT</v>
          </cell>
          <cell r="F1028" t="str">
            <v>GE</v>
          </cell>
          <cell r="G1028" t="str">
            <v>5K444SXA</v>
          </cell>
          <cell r="H1028" t="str">
            <v>GEM727115</v>
          </cell>
          <cell r="I1028" t="str">
            <v>445TS</v>
          </cell>
          <cell r="K1028" t="str">
            <v>200</v>
          </cell>
          <cell r="L1028" t="str">
            <v>1770</v>
          </cell>
          <cell r="O1028" t="str">
            <v>None</v>
          </cell>
          <cell r="P1028" t="str">
            <v>ODP</v>
          </cell>
          <cell r="R1028" t="str">
            <v>Continuous</v>
          </cell>
          <cell r="S1028" t="str">
            <v>Yes</v>
          </cell>
          <cell r="T1028" t="str">
            <v>key only</v>
          </cell>
          <cell r="V1028" t="str">
            <v>3</v>
          </cell>
          <cell r="W1028" t="str">
            <v>60</v>
          </cell>
          <cell r="X1028" t="str">
            <v>440</v>
          </cell>
          <cell r="Y1028" t="str">
            <v>235</v>
          </cell>
          <cell r="AA1028" t="str">
            <v>F1</v>
          </cell>
          <cell r="AD1028" t="str">
            <v>0</v>
          </cell>
          <cell r="AG1028" t="str">
            <v>HP</v>
          </cell>
          <cell r="AV1028" t="b">
            <v>0</v>
          </cell>
          <cell r="HD1028" t="str">
            <v>Repair Shop</v>
          </cell>
          <cell r="HT1028" t="b">
            <v>0</v>
          </cell>
          <cell r="HU1028" t="str">
            <v>COUNTY ASPHALT</v>
          </cell>
        </row>
        <row r="1029">
          <cell r="A1029">
            <v>1730</v>
          </cell>
          <cell r="B1029" t="str">
            <v>VEM0671</v>
          </cell>
          <cell r="D1029" t="str">
            <v>VALERO</v>
          </cell>
          <cell r="F1029" t="str">
            <v>Reliance</v>
          </cell>
          <cell r="I1029" t="str">
            <v>284T</v>
          </cell>
          <cell r="K1029" t="str">
            <v>25</v>
          </cell>
          <cell r="L1029" t="str">
            <v>1770</v>
          </cell>
          <cell r="M1029" t="str">
            <v>P</v>
          </cell>
          <cell r="O1029" t="str">
            <v>Full no Cord</v>
          </cell>
          <cell r="P1029" t="str">
            <v>TEFC</v>
          </cell>
          <cell r="R1029" t="str">
            <v>Continuous</v>
          </cell>
          <cell r="S1029" t="str">
            <v>Yes</v>
          </cell>
          <cell r="T1029" t="str">
            <v>NONE NO KEY</v>
          </cell>
          <cell r="U1029" t="str">
            <v>40</v>
          </cell>
          <cell r="V1029" t="str">
            <v>3</v>
          </cell>
          <cell r="W1029" t="str">
            <v>60</v>
          </cell>
          <cell r="X1029" t="str">
            <v>460</v>
          </cell>
          <cell r="Y1029" t="str">
            <v>30.5</v>
          </cell>
          <cell r="AA1029" t="str">
            <v>F1</v>
          </cell>
          <cell r="AD1029" t="str">
            <v>0</v>
          </cell>
          <cell r="AG1029" t="str">
            <v>HP</v>
          </cell>
          <cell r="AO1029" t="str">
            <v>B</v>
          </cell>
          <cell r="AP1029" t="str">
            <v>G</v>
          </cell>
          <cell r="AQ1029" t="str">
            <v>F</v>
          </cell>
          <cell r="AS1029" t="str">
            <v>1.15</v>
          </cell>
          <cell r="AV1029" t="b">
            <v>0</v>
          </cell>
          <cell r="EX1029" t="str">
            <v>P28G3313G-G21-XK</v>
          </cell>
          <cell r="HD1029" t="str">
            <v>Repair Shop</v>
          </cell>
          <cell r="HT1029" t="b">
            <v>0</v>
          </cell>
          <cell r="HU1029" t="str">
            <v>VALERO REFINING CO. BENICIA</v>
          </cell>
        </row>
        <row r="1030">
          <cell r="A1030">
            <v>1729</v>
          </cell>
          <cell r="B1030" t="str">
            <v>VEM0670</v>
          </cell>
          <cell r="D1030" t="str">
            <v>VALERO</v>
          </cell>
          <cell r="F1030" t="str">
            <v>Reliance</v>
          </cell>
          <cell r="I1030" t="str">
            <v>284T</v>
          </cell>
          <cell r="K1030" t="str">
            <v>25</v>
          </cell>
          <cell r="L1030" t="str">
            <v>1770</v>
          </cell>
          <cell r="M1030" t="str">
            <v>P</v>
          </cell>
          <cell r="O1030" t="str">
            <v>Full no Cord</v>
          </cell>
          <cell r="P1030" t="str">
            <v>TEFC</v>
          </cell>
          <cell r="R1030" t="str">
            <v>Continuous</v>
          </cell>
          <cell r="S1030" t="str">
            <v>Yes</v>
          </cell>
          <cell r="T1030" t="str">
            <v>KEY ONLY</v>
          </cell>
          <cell r="U1030" t="str">
            <v>40</v>
          </cell>
          <cell r="V1030" t="str">
            <v>3</v>
          </cell>
          <cell r="W1030" t="str">
            <v>60</v>
          </cell>
          <cell r="X1030" t="str">
            <v>460</v>
          </cell>
          <cell r="Y1030" t="str">
            <v>30.5</v>
          </cell>
          <cell r="AA1030" t="str">
            <v>F1</v>
          </cell>
          <cell r="AD1030" t="str">
            <v>0</v>
          </cell>
          <cell r="AG1030" t="str">
            <v>HP</v>
          </cell>
          <cell r="AO1030" t="str">
            <v>B</v>
          </cell>
          <cell r="AP1030" t="str">
            <v>G</v>
          </cell>
          <cell r="AQ1030" t="str">
            <v>F</v>
          </cell>
          <cell r="AS1030" t="str">
            <v>1.15</v>
          </cell>
          <cell r="AT1030" t="str">
            <v>93.0</v>
          </cell>
          <cell r="AV1030" t="b">
            <v>0</v>
          </cell>
          <cell r="EX1030" t="str">
            <v>P28G3313G-G27-XK</v>
          </cell>
          <cell r="HD1030" t="str">
            <v>Repair Shop</v>
          </cell>
          <cell r="HT1030" t="b">
            <v>0</v>
          </cell>
          <cell r="HU1030" t="str">
            <v>VALERO REFINING CO. BENICIA</v>
          </cell>
        </row>
        <row r="1031">
          <cell r="A1031">
            <v>1728</v>
          </cell>
          <cell r="B1031" t="str">
            <v>VEM0669</v>
          </cell>
          <cell r="D1031" t="str">
            <v>VALERO</v>
          </cell>
          <cell r="F1031" t="str">
            <v>Siemens</v>
          </cell>
          <cell r="H1031" t="str">
            <v>E08T0051NPX</v>
          </cell>
          <cell r="I1031" t="str">
            <v>286T</v>
          </cell>
          <cell r="K1031" t="str">
            <v>30</v>
          </cell>
          <cell r="L1031" t="str">
            <v>1775</v>
          </cell>
          <cell r="M1031" t="str">
            <v>RGZEESDX</v>
          </cell>
          <cell r="N1031" t="str">
            <v>466</v>
          </cell>
          <cell r="O1031" t="str">
            <v>None</v>
          </cell>
          <cell r="P1031" t="str">
            <v>TEFC</v>
          </cell>
          <cell r="R1031" t="str">
            <v>Continuous</v>
          </cell>
          <cell r="S1031" t="str">
            <v>Yes</v>
          </cell>
          <cell r="T1031" t="str">
            <v>KEY ONLY</v>
          </cell>
          <cell r="U1031" t="str">
            <v>40</v>
          </cell>
          <cell r="V1031" t="str">
            <v>3</v>
          </cell>
          <cell r="W1031" t="str">
            <v>60</v>
          </cell>
          <cell r="X1031" t="str">
            <v>460</v>
          </cell>
          <cell r="Y1031" t="str">
            <v>35.0</v>
          </cell>
          <cell r="AA1031" t="str">
            <v>F1</v>
          </cell>
          <cell r="AD1031" t="str">
            <v>0</v>
          </cell>
          <cell r="AG1031" t="str">
            <v>HP</v>
          </cell>
          <cell r="AP1031" t="str">
            <v>G</v>
          </cell>
          <cell r="AQ1031" t="str">
            <v>F</v>
          </cell>
          <cell r="AS1031" t="str">
            <v>1.15</v>
          </cell>
          <cell r="AT1031" t="str">
            <v>93.6</v>
          </cell>
          <cell r="AV1031" t="b">
            <v>0</v>
          </cell>
          <cell r="HD1031" t="str">
            <v>Repair Shop</v>
          </cell>
          <cell r="HT1031" t="b">
            <v>0</v>
          </cell>
          <cell r="HU1031" t="str">
            <v>VALERO REFINING CO. BENICIA</v>
          </cell>
        </row>
        <row r="1032">
          <cell r="A1032">
            <v>1727</v>
          </cell>
          <cell r="B1032" t="str">
            <v>VEM0668</v>
          </cell>
          <cell r="D1032" t="str">
            <v>VALERO</v>
          </cell>
          <cell r="F1032" t="str">
            <v>GE</v>
          </cell>
          <cell r="G1032" t="str">
            <v>5KS254XAA208D5</v>
          </cell>
          <cell r="H1032" t="str">
            <v>KLFT284S019</v>
          </cell>
          <cell r="I1032" t="str">
            <v>254T</v>
          </cell>
          <cell r="K1032" t="str">
            <v>15</v>
          </cell>
          <cell r="L1032" t="str">
            <v>1765</v>
          </cell>
          <cell r="N1032" t="str">
            <v>315</v>
          </cell>
          <cell r="O1032" t="str">
            <v>None</v>
          </cell>
          <cell r="P1032" t="str">
            <v>TEFC</v>
          </cell>
          <cell r="R1032" t="str">
            <v>Continuous</v>
          </cell>
          <cell r="S1032" t="str">
            <v>Yes</v>
          </cell>
          <cell r="T1032" t="str">
            <v>YES</v>
          </cell>
          <cell r="U1032" t="str">
            <v>40</v>
          </cell>
          <cell r="V1032" t="str">
            <v>3</v>
          </cell>
          <cell r="W1032" t="str">
            <v>60</v>
          </cell>
          <cell r="X1032" t="str">
            <v>460</v>
          </cell>
          <cell r="Y1032" t="str">
            <v>18.9</v>
          </cell>
          <cell r="Z1032" t="str">
            <v>Yes</v>
          </cell>
          <cell r="AA1032" t="str">
            <v>F1</v>
          </cell>
          <cell r="AD1032" t="str">
            <v>-1</v>
          </cell>
          <cell r="AG1032" t="str">
            <v>HP</v>
          </cell>
          <cell r="AI1032" t="str">
            <v>6309</v>
          </cell>
          <cell r="AJ1032" t="str">
            <v>6309</v>
          </cell>
          <cell r="AO1032" t="str">
            <v>B</v>
          </cell>
          <cell r="AP1032" t="str">
            <v>G</v>
          </cell>
          <cell r="AQ1032" t="str">
            <v>H</v>
          </cell>
          <cell r="AR1032" t="str">
            <v>80.5</v>
          </cell>
          <cell r="AS1032" t="str">
            <v>1.15</v>
          </cell>
          <cell r="AT1032" t="str">
            <v>92.4</v>
          </cell>
          <cell r="AU1032" t="str">
            <v>P25G5274J</v>
          </cell>
          <cell r="AV1032" t="b">
            <v>0</v>
          </cell>
          <cell r="BY1032" t="str">
            <v>6.5:1</v>
          </cell>
          <cell r="BZ1032" t="str">
            <v>1750</v>
          </cell>
          <cell r="CD1032" t="str">
            <v>Right Angle</v>
          </cell>
          <cell r="CE1032" t="str">
            <v>15</v>
          </cell>
          <cell r="EW1032" t="str">
            <v>M9435</v>
          </cell>
          <cell r="HD1032" t="str">
            <v>Repair Shop</v>
          </cell>
          <cell r="HT1032" t="b">
            <v>0</v>
          </cell>
          <cell r="HU1032" t="str">
            <v>VALERO REFINING CO. BENICIA</v>
          </cell>
        </row>
        <row r="1033">
          <cell r="A1033">
            <v>1726</v>
          </cell>
          <cell r="B1033" t="str">
            <v>VEM0667</v>
          </cell>
          <cell r="D1033" t="str">
            <v>RECOLOGY</v>
          </cell>
          <cell r="F1033" t="str">
            <v>Siemens</v>
          </cell>
          <cell r="H1033" t="str">
            <v>E05T0115EE</v>
          </cell>
          <cell r="I1033" t="str">
            <v>215t</v>
          </cell>
          <cell r="K1033" t="str">
            <v>10</v>
          </cell>
          <cell r="L1033" t="str">
            <v>3505</v>
          </cell>
          <cell r="M1033" t="str">
            <v>RGZP</v>
          </cell>
          <cell r="N1033" t="str">
            <v>120</v>
          </cell>
          <cell r="O1033" t="str">
            <v>None</v>
          </cell>
          <cell r="P1033" t="str">
            <v>TEFC</v>
          </cell>
          <cell r="R1033" t="str">
            <v>Continuous</v>
          </cell>
          <cell r="S1033" t="str">
            <v>Yes</v>
          </cell>
          <cell r="T1033" t="str">
            <v>KEY ONLY</v>
          </cell>
          <cell r="U1033" t="str">
            <v>40</v>
          </cell>
          <cell r="V1033" t="str">
            <v>3</v>
          </cell>
          <cell r="W1033" t="str">
            <v>60</v>
          </cell>
          <cell r="X1033" t="str">
            <v>230/460</v>
          </cell>
          <cell r="Y1033" t="str">
            <v>24/12</v>
          </cell>
          <cell r="AA1033" t="str">
            <v>F1</v>
          </cell>
          <cell r="AD1033" t="str">
            <v>0</v>
          </cell>
          <cell r="AG1033" t="str">
            <v>HP</v>
          </cell>
          <cell r="AO1033" t="str">
            <v>B</v>
          </cell>
          <cell r="AP1033" t="str">
            <v>H</v>
          </cell>
          <cell r="AQ1033" t="str">
            <v>F</v>
          </cell>
          <cell r="AS1033" t="str">
            <v>1.15</v>
          </cell>
          <cell r="AV1033" t="b">
            <v>0</v>
          </cell>
          <cell r="HD1033" t="str">
            <v>Repair Shop</v>
          </cell>
          <cell r="HT1033" t="b">
            <v>0</v>
          </cell>
          <cell r="HU1033" t="str">
            <v>RECOLOGY VALLEJO</v>
          </cell>
        </row>
        <row r="1034">
          <cell r="A1034">
            <v>1725</v>
          </cell>
          <cell r="B1034" t="str">
            <v>FE1022</v>
          </cell>
          <cell r="D1034" t="str">
            <v>NAPARECYCLING</v>
          </cell>
          <cell r="AD1034" t="str">
            <v>0</v>
          </cell>
          <cell r="AG1034" t="str">
            <v>HP</v>
          </cell>
          <cell r="AV1034" t="b">
            <v>0</v>
          </cell>
          <cell r="HD1034" t="str">
            <v>Field Service</v>
          </cell>
          <cell r="HT1034" t="b">
            <v>0</v>
          </cell>
          <cell r="HU1034" t="str">
            <v>NAPA RECYCLING &amp; WASTE</v>
          </cell>
        </row>
        <row r="1035">
          <cell r="A1035">
            <v>1724</v>
          </cell>
          <cell r="B1035" t="str">
            <v>VEM0666</v>
          </cell>
          <cell r="D1035" t="str">
            <v>ALLBAY</v>
          </cell>
          <cell r="AG1035" t="str">
            <v>HP</v>
          </cell>
          <cell r="AV1035" t="b">
            <v>0</v>
          </cell>
          <cell r="HD1035" t="str">
            <v>Repair Shop</v>
          </cell>
          <cell r="HT1035" t="b">
            <v>0</v>
          </cell>
          <cell r="HU1035" t="str">
            <v>ALL BAY LUMBER</v>
          </cell>
        </row>
        <row r="1036">
          <cell r="A1036">
            <v>1723</v>
          </cell>
          <cell r="B1036" t="str">
            <v>VEM0665</v>
          </cell>
          <cell r="D1036" t="str">
            <v>BENICIAWASTE</v>
          </cell>
          <cell r="AD1036" t="str">
            <v>0</v>
          </cell>
          <cell r="AG1036" t="str">
            <v>HP</v>
          </cell>
          <cell r="AV1036" t="b">
            <v>0</v>
          </cell>
          <cell r="HD1036" t="str">
            <v>Repair Shop</v>
          </cell>
          <cell r="HT1036" t="b">
            <v>0</v>
          </cell>
          <cell r="HU1036" t="str">
            <v>CITY OF BENICIA WASTE WATER</v>
          </cell>
        </row>
        <row r="1037">
          <cell r="A1037">
            <v>1722</v>
          </cell>
          <cell r="B1037" t="str">
            <v>VEM0664</v>
          </cell>
          <cell r="D1037" t="str">
            <v>COURAGE PROD</v>
          </cell>
          <cell r="F1037" t="str">
            <v>BAUJ.</v>
          </cell>
          <cell r="H1037" t="str">
            <v>QR 603074630003</v>
          </cell>
          <cell r="K1037" t="str">
            <v>2.6</v>
          </cell>
          <cell r="L1037" t="str">
            <v>3400</v>
          </cell>
          <cell r="M1037" t="str">
            <v>CEVF 3718-3(50)</v>
          </cell>
          <cell r="O1037" t="str">
            <v>None</v>
          </cell>
          <cell r="R1037" t="str">
            <v>Continuous</v>
          </cell>
          <cell r="V1037" t="str">
            <v>3</v>
          </cell>
          <cell r="W1037" t="str">
            <v>60</v>
          </cell>
          <cell r="X1037" t="str">
            <v>220-240/380-415</v>
          </cell>
          <cell r="Y1037" t="str">
            <v>9.5/5.5</v>
          </cell>
          <cell r="AA1037" t="str">
            <v>Vertical</v>
          </cell>
          <cell r="AD1037" t="str">
            <v>0</v>
          </cell>
          <cell r="AG1037" t="str">
            <v>KW</v>
          </cell>
          <cell r="AV1037" t="b">
            <v>0</v>
          </cell>
          <cell r="GK1037" t="str">
            <v>busted  terminal connector</v>
          </cell>
          <cell r="HD1037" t="str">
            <v>Repair Shop</v>
          </cell>
          <cell r="HT1037" t="b">
            <v>0</v>
          </cell>
          <cell r="HU1037" t="str">
            <v>COURAGE PRODUCTION</v>
          </cell>
        </row>
        <row r="1038">
          <cell r="A1038">
            <v>1721</v>
          </cell>
          <cell r="B1038" t="str">
            <v>VEM0663</v>
          </cell>
          <cell r="D1038" t="str">
            <v>CONHAGEN</v>
          </cell>
          <cell r="F1038" t="str">
            <v>Westinghouse</v>
          </cell>
          <cell r="G1038" t="str">
            <v>TBFC</v>
          </cell>
          <cell r="H1038" t="str">
            <v>7007</v>
          </cell>
          <cell r="I1038" t="str">
            <v>215TPZ</v>
          </cell>
          <cell r="K1038" t="str">
            <v>10</v>
          </cell>
          <cell r="L1038" t="str">
            <v>3500</v>
          </cell>
          <cell r="O1038" t="str">
            <v>Full no Cord</v>
          </cell>
          <cell r="P1038" t="str">
            <v>TEFC</v>
          </cell>
          <cell r="R1038" t="str">
            <v>Continuous</v>
          </cell>
          <cell r="T1038" t="str">
            <v>NONE NO KEY</v>
          </cell>
          <cell r="U1038" t="str">
            <v>40</v>
          </cell>
          <cell r="V1038" t="str">
            <v>3</v>
          </cell>
          <cell r="W1038" t="str">
            <v>60</v>
          </cell>
          <cell r="X1038" t="str">
            <v>230/460</v>
          </cell>
          <cell r="Y1038" t="str">
            <v>24.4/12.2</v>
          </cell>
          <cell r="AA1038" t="str">
            <v>Vertical</v>
          </cell>
          <cell r="AD1038" t="str">
            <v>0</v>
          </cell>
          <cell r="AG1038" t="str">
            <v>HP</v>
          </cell>
          <cell r="AO1038" t="str">
            <v>B</v>
          </cell>
          <cell r="AP1038" t="str">
            <v>H</v>
          </cell>
          <cell r="AS1038" t="str">
            <v>1.0</v>
          </cell>
          <cell r="AV1038" t="b">
            <v>0</v>
          </cell>
          <cell r="EY1038" t="str">
            <v>70A64463</v>
          </cell>
          <cell r="HD1038" t="str">
            <v>Repair Shop</v>
          </cell>
          <cell r="HT1038" t="b">
            <v>0</v>
          </cell>
          <cell r="HU1038" t="str">
            <v>ALFRED CONHAGEN CO. OF CA</v>
          </cell>
        </row>
        <row r="1039">
          <cell r="A1039">
            <v>1720</v>
          </cell>
          <cell r="B1039" t="str">
            <v>VEM0662</v>
          </cell>
          <cell r="D1039" t="str">
            <v>TURBO</v>
          </cell>
          <cell r="AG1039" t="str">
            <v>HP</v>
          </cell>
          <cell r="AV1039" t="b">
            <v>0</v>
          </cell>
          <cell r="HD1039" t="str">
            <v>Repair Shop</v>
          </cell>
          <cell r="HT1039" t="b">
            <v>0</v>
          </cell>
          <cell r="HU1039" t="str">
            <v>TURBO MACHINE</v>
          </cell>
        </row>
        <row r="1040">
          <cell r="A1040">
            <v>1719</v>
          </cell>
          <cell r="B1040" t="str">
            <v>FE1021</v>
          </cell>
          <cell r="D1040" t="str">
            <v>NAPARECYCLING</v>
          </cell>
          <cell r="AD1040" t="str">
            <v>0</v>
          </cell>
          <cell r="AG1040" t="str">
            <v>HP</v>
          </cell>
          <cell r="AV1040" t="b">
            <v>0</v>
          </cell>
          <cell r="HD1040" t="str">
            <v>Field Service</v>
          </cell>
          <cell r="HT1040" t="b">
            <v>0</v>
          </cell>
          <cell r="HU1040" t="str">
            <v>NAPA RECYCLING &amp; WASTE</v>
          </cell>
        </row>
        <row r="1041">
          <cell r="A1041">
            <v>1718</v>
          </cell>
          <cell r="B1041" t="str">
            <v>VEM0661</v>
          </cell>
          <cell r="D1041" t="str">
            <v>MATHESON</v>
          </cell>
          <cell r="F1041" t="str">
            <v>GENERAL ELECTRIC</v>
          </cell>
          <cell r="G1041" t="str">
            <v>5K509EM1304AH</v>
          </cell>
          <cell r="H1041" t="str">
            <v>BAG63072A</v>
          </cell>
          <cell r="I1041" t="str">
            <v>509S</v>
          </cell>
          <cell r="K1041" t="str">
            <v>600</v>
          </cell>
          <cell r="L1041" t="str">
            <v>3560</v>
          </cell>
          <cell r="M1041" t="str">
            <v>K</v>
          </cell>
          <cell r="N1041" t="str">
            <v>3620</v>
          </cell>
          <cell r="O1041" t="str">
            <v>None</v>
          </cell>
          <cell r="P1041" t="str">
            <v>WPII</v>
          </cell>
          <cell r="R1041" t="str">
            <v>Continuous</v>
          </cell>
          <cell r="S1041" t="str">
            <v>NONE</v>
          </cell>
          <cell r="T1041" t="str">
            <v>YES</v>
          </cell>
          <cell r="U1041" t="str">
            <v>40C</v>
          </cell>
          <cell r="V1041" t="str">
            <v>3</v>
          </cell>
          <cell r="W1041" t="str">
            <v>60</v>
          </cell>
          <cell r="X1041" t="str">
            <v>2300/4000</v>
          </cell>
          <cell r="AA1041" t="str">
            <v>F1</v>
          </cell>
          <cell r="AD1041" t="str">
            <v>0</v>
          </cell>
          <cell r="AG1041" t="str">
            <v>HP</v>
          </cell>
          <cell r="AI1041" t="str">
            <v>6315ZC3</v>
          </cell>
          <cell r="AJ1041" t="str">
            <v>6315ZC3</v>
          </cell>
          <cell r="AO1041" t="str">
            <v>HP</v>
          </cell>
          <cell r="AP1041" t="str">
            <v>G</v>
          </cell>
          <cell r="AQ1041" t="str">
            <v>F</v>
          </cell>
          <cell r="AS1041" t="str">
            <v>1.00</v>
          </cell>
          <cell r="AT1041" t="str">
            <v>92</v>
          </cell>
          <cell r="AV1041" t="b">
            <v>0</v>
          </cell>
          <cell r="AW1041" t="str">
            <v>132.7/76.3</v>
          </cell>
          <cell r="HD1041" t="str">
            <v>Field Service</v>
          </cell>
          <cell r="HT1041" t="b">
            <v>0</v>
          </cell>
          <cell r="HU1041" t="str">
            <v>Matheson Tri-Gas Inc.</v>
          </cell>
        </row>
        <row r="1042">
          <cell r="A1042">
            <v>1717</v>
          </cell>
          <cell r="B1042" t="str">
            <v>FE1020</v>
          </cell>
          <cell r="D1042" t="str">
            <v>TURBO</v>
          </cell>
          <cell r="AG1042" t="str">
            <v>HP</v>
          </cell>
          <cell r="AV1042" t="b">
            <v>0</v>
          </cell>
          <cell r="HD1042" t="str">
            <v>Field Service</v>
          </cell>
          <cell r="HT1042" t="b">
            <v>0</v>
          </cell>
          <cell r="HU1042" t="str">
            <v>TURBO MACHINE</v>
          </cell>
        </row>
        <row r="1043">
          <cell r="A1043">
            <v>1716</v>
          </cell>
          <cell r="B1043" t="str">
            <v>VEM0660</v>
          </cell>
          <cell r="D1043" t="str">
            <v>TURBO</v>
          </cell>
          <cell r="AG1043" t="str">
            <v>HP</v>
          </cell>
          <cell r="AV1043" t="b">
            <v>0</v>
          </cell>
          <cell r="HD1043" t="str">
            <v>Repair Shop</v>
          </cell>
          <cell r="HT1043" t="b">
            <v>0</v>
          </cell>
          <cell r="HU1043" t="str">
            <v>TURBO MACHINE</v>
          </cell>
        </row>
        <row r="1044">
          <cell r="A1044">
            <v>1715</v>
          </cell>
          <cell r="B1044" t="str">
            <v>VEM0659</v>
          </cell>
          <cell r="D1044" t="str">
            <v>STOCKTONMUNI</v>
          </cell>
          <cell r="F1044" t="str">
            <v>FLYGT</v>
          </cell>
          <cell r="G1044" t="str">
            <v>PROD#3231/715-5065</v>
          </cell>
          <cell r="K1044" t="str">
            <v>185</v>
          </cell>
          <cell r="L1044" t="str">
            <v>1780</v>
          </cell>
          <cell r="N1044" t="str">
            <v>1520KG</v>
          </cell>
          <cell r="R1044" t="str">
            <v>Continuous</v>
          </cell>
          <cell r="U1044" t="str">
            <v>40</v>
          </cell>
          <cell r="V1044" t="str">
            <v>3</v>
          </cell>
          <cell r="W1044" t="str">
            <v>60</v>
          </cell>
          <cell r="X1044" t="str">
            <v>460</v>
          </cell>
          <cell r="Y1044" t="str">
            <v>220</v>
          </cell>
          <cell r="AD1044" t="str">
            <v>0</v>
          </cell>
          <cell r="AG1044" t="str">
            <v>HP</v>
          </cell>
          <cell r="AV1044" t="b">
            <v>0</v>
          </cell>
          <cell r="EX1044" t="str">
            <v>3231/715-0521181</v>
          </cell>
          <cell r="HD1044" t="str">
            <v>Repair Shop</v>
          </cell>
          <cell r="HT1044" t="b">
            <v>0</v>
          </cell>
          <cell r="HU1044" t="str">
            <v>CITY OF STOCKTON MUNICIPAL UTILITIES</v>
          </cell>
        </row>
        <row r="1045">
          <cell r="A1045">
            <v>1714</v>
          </cell>
          <cell r="B1045" t="str">
            <v>VEM0658</v>
          </cell>
          <cell r="D1045" t="str">
            <v>P66</v>
          </cell>
          <cell r="F1045" t="str">
            <v>Reliance</v>
          </cell>
          <cell r="I1045" t="str">
            <v>284TS</v>
          </cell>
          <cell r="K1045" t="str">
            <v>25</v>
          </cell>
          <cell r="L1045" t="str">
            <v>3545</v>
          </cell>
          <cell r="M1045" t="str">
            <v>P</v>
          </cell>
          <cell r="N1045" t="str">
            <v>365</v>
          </cell>
          <cell r="O1045" t="str">
            <v>None</v>
          </cell>
          <cell r="P1045" t="str">
            <v>TEFC</v>
          </cell>
          <cell r="R1045" t="str">
            <v>Continuous</v>
          </cell>
          <cell r="S1045" t="str">
            <v>Yes</v>
          </cell>
          <cell r="T1045" t="str">
            <v>NONE NO KEY</v>
          </cell>
          <cell r="V1045" t="str">
            <v>3</v>
          </cell>
          <cell r="W1045" t="str">
            <v>60</v>
          </cell>
          <cell r="X1045" t="str">
            <v>460</v>
          </cell>
          <cell r="Y1045" t="str">
            <v>29.7</v>
          </cell>
          <cell r="AA1045" t="str">
            <v>F1</v>
          </cell>
          <cell r="AD1045" t="str">
            <v>0</v>
          </cell>
          <cell r="AG1045" t="str">
            <v>HP</v>
          </cell>
          <cell r="AO1045" t="str">
            <v>B</v>
          </cell>
          <cell r="AP1045" t="str">
            <v>G</v>
          </cell>
          <cell r="AQ1045" t="str">
            <v>F</v>
          </cell>
          <cell r="AS1045" t="str">
            <v>1.0</v>
          </cell>
          <cell r="AT1045" t="str">
            <v>91.0</v>
          </cell>
          <cell r="AV1045" t="b">
            <v>0</v>
          </cell>
          <cell r="EX1045" t="str">
            <v>B369160-010</v>
          </cell>
          <cell r="GK1045" t="str">
            <v>3 LEADS ONLY</v>
          </cell>
          <cell r="HD1045" t="str">
            <v>Repair Shop</v>
          </cell>
          <cell r="HT1045" t="b">
            <v>0</v>
          </cell>
          <cell r="HU1045" t="str">
            <v>PHILLIPS 66</v>
          </cell>
        </row>
        <row r="1046">
          <cell r="A1046">
            <v>1713</v>
          </cell>
          <cell r="B1046" t="str">
            <v>VEM0657</v>
          </cell>
          <cell r="D1046" t="str">
            <v>P66</v>
          </cell>
          <cell r="F1046" t="str">
            <v>ALLIS CHALMERS</v>
          </cell>
          <cell r="H1046" t="str">
            <v>1-5124-82940-7-2</v>
          </cell>
          <cell r="I1046" t="str">
            <v>405S</v>
          </cell>
          <cell r="K1046" t="str">
            <v>40</v>
          </cell>
          <cell r="L1046" t="str">
            <v>3550</v>
          </cell>
          <cell r="M1046" t="str">
            <v>APZ-CH</v>
          </cell>
          <cell r="O1046" t="str">
            <v>None</v>
          </cell>
          <cell r="P1046" t="str">
            <v>TEFC</v>
          </cell>
          <cell r="R1046" t="str">
            <v>Continuous</v>
          </cell>
          <cell r="S1046" t="str">
            <v>Yes</v>
          </cell>
          <cell r="T1046" t="str">
            <v>NONE NO KEY</v>
          </cell>
          <cell r="U1046" t="str">
            <v>55</v>
          </cell>
          <cell r="V1046" t="str">
            <v>3</v>
          </cell>
          <cell r="W1046" t="str">
            <v>60</v>
          </cell>
          <cell r="X1046" t="str">
            <v>220-440</v>
          </cell>
          <cell r="Y1046" t="str">
            <v>98/49</v>
          </cell>
          <cell r="AA1046" t="str">
            <v>F1</v>
          </cell>
          <cell r="AD1046" t="str">
            <v>0</v>
          </cell>
          <cell r="AG1046" t="str">
            <v>HP</v>
          </cell>
          <cell r="AO1046" t="str">
            <v>A</v>
          </cell>
          <cell r="AP1046" t="str">
            <v>H</v>
          </cell>
          <cell r="AS1046" t="str">
            <v>1.0</v>
          </cell>
          <cell r="AV1046" t="b">
            <v>0</v>
          </cell>
          <cell r="HD1046" t="str">
            <v>Repair Shop</v>
          </cell>
          <cell r="HT1046" t="b">
            <v>0</v>
          </cell>
          <cell r="HU1046" t="str">
            <v>PHILLIPS 66</v>
          </cell>
        </row>
        <row r="1047">
          <cell r="A1047">
            <v>1712</v>
          </cell>
          <cell r="B1047" t="str">
            <v>VEM0656</v>
          </cell>
          <cell r="D1047" t="str">
            <v>P66</v>
          </cell>
          <cell r="F1047" t="str">
            <v>Siemens</v>
          </cell>
          <cell r="H1047" t="str">
            <v>D96T0086</v>
          </cell>
          <cell r="I1047" t="str">
            <v>182T</v>
          </cell>
          <cell r="K1047" t="str">
            <v>3</v>
          </cell>
          <cell r="L1047" t="str">
            <v>1740</v>
          </cell>
          <cell r="M1047" t="str">
            <v>RGZESD</v>
          </cell>
          <cell r="N1047" t="str">
            <v>86</v>
          </cell>
          <cell r="O1047" t="str">
            <v>Full no Cord</v>
          </cell>
          <cell r="P1047" t="str">
            <v>TEFC</v>
          </cell>
          <cell r="R1047" t="str">
            <v>Continuous</v>
          </cell>
          <cell r="T1047" t="str">
            <v>NONE NO KEY</v>
          </cell>
          <cell r="U1047" t="str">
            <v>40</v>
          </cell>
          <cell r="V1047" t="str">
            <v>3</v>
          </cell>
          <cell r="W1047" t="str">
            <v>60</v>
          </cell>
          <cell r="X1047" t="str">
            <v>230/460</v>
          </cell>
          <cell r="AA1047" t="str">
            <v>F1</v>
          </cell>
          <cell r="AD1047" t="str">
            <v>0</v>
          </cell>
          <cell r="AG1047" t="str">
            <v>HP</v>
          </cell>
          <cell r="AO1047" t="str">
            <v>B</v>
          </cell>
          <cell r="AP1047" t="str">
            <v>K</v>
          </cell>
          <cell r="AQ1047" t="str">
            <v>F</v>
          </cell>
          <cell r="AS1047" t="str">
            <v>1.15</v>
          </cell>
          <cell r="AT1047" t="str">
            <v>87.5</v>
          </cell>
          <cell r="AV1047" t="b">
            <v>0</v>
          </cell>
          <cell r="HD1047" t="str">
            <v>Repair Shop</v>
          </cell>
          <cell r="HT1047" t="b">
            <v>0</v>
          </cell>
          <cell r="HU1047" t="str">
            <v>PHILLIPS 66</v>
          </cell>
        </row>
        <row r="1048">
          <cell r="A1048">
            <v>1711</v>
          </cell>
          <cell r="B1048" t="str">
            <v>VEM0655</v>
          </cell>
          <cell r="D1048" t="str">
            <v>TURBO</v>
          </cell>
          <cell r="F1048" t="str">
            <v>Marathon</v>
          </cell>
          <cell r="G1048" t="str">
            <v>8H286TT-GP1026AAL</v>
          </cell>
          <cell r="K1048" t="str">
            <v>30</v>
          </cell>
          <cell r="L1048" t="str">
            <v>1760</v>
          </cell>
          <cell r="M1048" t="str">
            <v>TGS</v>
          </cell>
          <cell r="O1048" t="str">
            <v>Full no Cord</v>
          </cell>
          <cell r="P1048" t="str">
            <v>EXP</v>
          </cell>
          <cell r="R1048" t="str">
            <v>Continuous</v>
          </cell>
          <cell r="T1048" t="str">
            <v>NONE NO KEY</v>
          </cell>
          <cell r="V1048" t="str">
            <v>3</v>
          </cell>
          <cell r="W1048" t="str">
            <v>60</v>
          </cell>
          <cell r="X1048" t="str">
            <v>230/460</v>
          </cell>
          <cell r="Y1048" t="str">
            <v>74/37</v>
          </cell>
          <cell r="AA1048" t="str">
            <v>F1</v>
          </cell>
          <cell r="AD1048" t="str">
            <v>0</v>
          </cell>
          <cell r="AG1048" t="str">
            <v>HP</v>
          </cell>
          <cell r="AO1048" t="str">
            <v>B</v>
          </cell>
          <cell r="AS1048" t="str">
            <v>1.15</v>
          </cell>
          <cell r="AV1048" t="b">
            <v>0</v>
          </cell>
          <cell r="HD1048" t="str">
            <v>Repair Shop</v>
          </cell>
          <cell r="HT1048" t="b">
            <v>0</v>
          </cell>
          <cell r="HU1048" t="str">
            <v>TURBO MACHINE</v>
          </cell>
        </row>
        <row r="1049">
          <cell r="A1049">
            <v>1710</v>
          </cell>
          <cell r="B1049" t="str">
            <v>VEM0654</v>
          </cell>
          <cell r="D1049" t="str">
            <v>VALERO</v>
          </cell>
          <cell r="F1049" t="str">
            <v>Westinghouse</v>
          </cell>
          <cell r="G1049" t="str">
            <v>ABLG</v>
          </cell>
          <cell r="H1049" t="str">
            <v>1</v>
          </cell>
          <cell r="I1049" t="str">
            <v>444UP</v>
          </cell>
          <cell r="K1049" t="str">
            <v>125</v>
          </cell>
          <cell r="L1049" t="str">
            <v>3565</v>
          </cell>
          <cell r="N1049" t="str">
            <v>1200</v>
          </cell>
          <cell r="O1049" t="str">
            <v>Full no Cord</v>
          </cell>
          <cell r="P1049" t="str">
            <v>ODP</v>
          </cell>
          <cell r="R1049" t="str">
            <v>Continuous</v>
          </cell>
          <cell r="S1049" t="str">
            <v>Yes</v>
          </cell>
          <cell r="T1049" t="str">
            <v>YES</v>
          </cell>
          <cell r="U1049" t="str">
            <v>40</v>
          </cell>
          <cell r="V1049" t="str">
            <v>3</v>
          </cell>
          <cell r="W1049" t="str">
            <v>60</v>
          </cell>
          <cell r="X1049" t="str">
            <v>460</v>
          </cell>
          <cell r="Y1049" t="str">
            <v>138</v>
          </cell>
          <cell r="AA1049" t="str">
            <v>Vertical</v>
          </cell>
          <cell r="AD1049" t="str">
            <v>0</v>
          </cell>
          <cell r="AG1049" t="str">
            <v>HP</v>
          </cell>
          <cell r="AI1049" t="str">
            <v>6315</v>
          </cell>
          <cell r="AJ1049" t="str">
            <v>6312</v>
          </cell>
          <cell r="AP1049" t="str">
            <v>F</v>
          </cell>
          <cell r="AQ1049" t="str">
            <v>B</v>
          </cell>
          <cell r="AS1049" t="str">
            <v>1.0</v>
          </cell>
          <cell r="AV1049" t="b">
            <v>0</v>
          </cell>
          <cell r="HD1049" t="str">
            <v>Repair Shop</v>
          </cell>
          <cell r="HT1049" t="b">
            <v>0</v>
          </cell>
          <cell r="HU1049" t="str">
            <v>VALERO REFINING CO. BENICIA</v>
          </cell>
        </row>
        <row r="1050">
          <cell r="A1050">
            <v>1709</v>
          </cell>
          <cell r="B1050" t="str">
            <v>VEM0653</v>
          </cell>
          <cell r="D1050" t="str">
            <v>OAKVILLE</v>
          </cell>
          <cell r="F1050" t="str">
            <v>Lincoln</v>
          </cell>
          <cell r="G1050" t="str">
            <v>SD2B123TS61Y</v>
          </cell>
          <cell r="H1050" t="str">
            <v>U3991001480</v>
          </cell>
          <cell r="I1050" t="str">
            <v>404TS</v>
          </cell>
          <cell r="K1050" t="str">
            <v>125</v>
          </cell>
          <cell r="L1050" t="str">
            <v>3565</v>
          </cell>
          <cell r="O1050" t="str">
            <v>Half no Cord</v>
          </cell>
          <cell r="P1050" t="str">
            <v>ODP</v>
          </cell>
          <cell r="R1050" t="str">
            <v>Continuous</v>
          </cell>
          <cell r="T1050" t="str">
            <v>YES</v>
          </cell>
          <cell r="U1050" t="str">
            <v>40</v>
          </cell>
          <cell r="V1050" t="str">
            <v>3</v>
          </cell>
          <cell r="W1050" t="str">
            <v>60</v>
          </cell>
          <cell r="X1050" t="str">
            <v>230/460</v>
          </cell>
          <cell r="Y1050" t="str">
            <v>278/139</v>
          </cell>
          <cell r="AA1050" t="str">
            <v>F1</v>
          </cell>
          <cell r="AD1050" t="str">
            <v>0</v>
          </cell>
          <cell r="AI1050" t="str">
            <v>6315</v>
          </cell>
          <cell r="AJ1050" t="str">
            <v>6313</v>
          </cell>
          <cell r="AO1050" t="str">
            <v>B</v>
          </cell>
          <cell r="AP1050" t="str">
            <v>G</v>
          </cell>
          <cell r="AQ1050" t="str">
            <v>F</v>
          </cell>
          <cell r="AS1050" t="str">
            <v>1.25</v>
          </cell>
          <cell r="AT1050" t="str">
            <v>95.0</v>
          </cell>
          <cell r="AV1050" t="b">
            <v>0</v>
          </cell>
          <cell r="HD1050" t="str">
            <v>Repair Shop</v>
          </cell>
          <cell r="HT1050" t="b">
            <v>0</v>
          </cell>
          <cell r="HU1050" t="str">
            <v>OAKVILLE PUMP</v>
          </cell>
        </row>
        <row r="1051">
          <cell r="A1051">
            <v>1708</v>
          </cell>
          <cell r="B1051" t="str">
            <v>VEM0652</v>
          </cell>
          <cell r="D1051" t="str">
            <v>CLEANHARBORS</v>
          </cell>
          <cell r="F1051" t="str">
            <v>Siemens</v>
          </cell>
          <cell r="I1051" t="str">
            <v>364TS</v>
          </cell>
          <cell r="K1051" t="str">
            <v>60</v>
          </cell>
          <cell r="L1051" t="str">
            <v>3565</v>
          </cell>
          <cell r="M1051" t="str">
            <v>RGZZESD</v>
          </cell>
          <cell r="N1051" t="str">
            <v>830</v>
          </cell>
          <cell r="O1051" t="str">
            <v>Full no Cord</v>
          </cell>
          <cell r="R1051" t="str">
            <v>Continuous</v>
          </cell>
          <cell r="S1051" t="str">
            <v>Yes</v>
          </cell>
          <cell r="T1051" t="str">
            <v>NONE NO KEY</v>
          </cell>
          <cell r="U1051" t="str">
            <v>40</v>
          </cell>
          <cell r="V1051" t="str">
            <v>3</v>
          </cell>
          <cell r="W1051" t="str">
            <v>60</v>
          </cell>
          <cell r="X1051" t="str">
            <v>460</v>
          </cell>
          <cell r="Y1051" t="str">
            <v>68.0</v>
          </cell>
          <cell r="AA1051" t="str">
            <v>F1</v>
          </cell>
          <cell r="AD1051" t="str">
            <v>0</v>
          </cell>
          <cell r="AG1051" t="str">
            <v>HP</v>
          </cell>
          <cell r="AO1051" t="str">
            <v>B</v>
          </cell>
          <cell r="AP1051" t="str">
            <v>G</v>
          </cell>
          <cell r="AQ1051" t="str">
            <v>F</v>
          </cell>
          <cell r="AS1051" t="str">
            <v>1.0</v>
          </cell>
          <cell r="AT1051" t="str">
            <v>93.6</v>
          </cell>
          <cell r="AV1051" t="b">
            <v>0</v>
          </cell>
          <cell r="EX1051" t="str">
            <v>ORD#1MJ03642XE42</v>
          </cell>
          <cell r="HD1051" t="str">
            <v>Repair Shop</v>
          </cell>
          <cell r="HT1051" t="b">
            <v>0</v>
          </cell>
          <cell r="HU1051" t="str">
            <v>CLEAN HARBORS</v>
          </cell>
        </row>
        <row r="1052">
          <cell r="A1052">
            <v>1707</v>
          </cell>
          <cell r="B1052" t="str">
            <v>VEM0651</v>
          </cell>
          <cell r="D1052" t="str">
            <v>CLEANHARBORS</v>
          </cell>
          <cell r="F1052" t="str">
            <v>Baldor</v>
          </cell>
          <cell r="H1052" t="str">
            <v>A1501202028</v>
          </cell>
          <cell r="I1052" t="str">
            <v>444T</v>
          </cell>
          <cell r="K1052" t="str">
            <v>125</v>
          </cell>
          <cell r="L1052" t="str">
            <v>1785</v>
          </cell>
          <cell r="M1052" t="str">
            <v>P</v>
          </cell>
          <cell r="N1052" t="str">
            <v>1887</v>
          </cell>
          <cell r="O1052" t="str">
            <v>Half no Cord</v>
          </cell>
          <cell r="P1052" t="str">
            <v>EXP</v>
          </cell>
          <cell r="Q1052" t="str">
            <v>Yes</v>
          </cell>
          <cell r="R1052" t="str">
            <v>Continuous</v>
          </cell>
          <cell r="S1052" t="str">
            <v>Yes</v>
          </cell>
          <cell r="U1052" t="str">
            <v>40</v>
          </cell>
          <cell r="V1052" t="str">
            <v>3</v>
          </cell>
          <cell r="W1052" t="str">
            <v>60</v>
          </cell>
          <cell r="X1052" t="str">
            <v>460</v>
          </cell>
          <cell r="Y1052" t="str">
            <v>139</v>
          </cell>
          <cell r="AA1052" t="str">
            <v>F1</v>
          </cell>
          <cell r="AD1052" t="str">
            <v>0</v>
          </cell>
          <cell r="AG1052" t="str">
            <v>HP</v>
          </cell>
          <cell r="AP1052" t="str">
            <v>G</v>
          </cell>
          <cell r="AQ1052" t="str">
            <v>F</v>
          </cell>
          <cell r="AS1052" t="str">
            <v>1.00</v>
          </cell>
          <cell r="AT1052" t="str">
            <v>95.4</v>
          </cell>
          <cell r="AU1052" t="str">
            <v>P44G5343</v>
          </cell>
          <cell r="AV1052" t="b">
            <v>0</v>
          </cell>
          <cell r="EW1052" t="str">
            <v>EM74124T-4</v>
          </cell>
          <cell r="HD1052" t="str">
            <v>Repair Shop</v>
          </cell>
          <cell r="HT1052" t="b">
            <v>0</v>
          </cell>
          <cell r="HU1052" t="str">
            <v>CLEAN HARBORS</v>
          </cell>
        </row>
        <row r="1053">
          <cell r="A1053">
            <v>1706</v>
          </cell>
          <cell r="B1053" t="str">
            <v>VEM0650</v>
          </cell>
          <cell r="D1053" t="str">
            <v>VALERO</v>
          </cell>
          <cell r="F1053" t="str">
            <v>Siemens</v>
          </cell>
          <cell r="H1053" t="str">
            <v>A99T ESP.6 23</v>
          </cell>
          <cell r="I1053" t="str">
            <v>284T</v>
          </cell>
          <cell r="K1053" t="str">
            <v>25</v>
          </cell>
          <cell r="L1053" t="str">
            <v>1765</v>
          </cell>
          <cell r="M1053" t="str">
            <v>RGZESDX</v>
          </cell>
          <cell r="O1053" t="str">
            <v>None</v>
          </cell>
          <cell r="P1053" t="str">
            <v>TEFC</v>
          </cell>
          <cell r="R1053" t="str">
            <v>Continuous</v>
          </cell>
          <cell r="S1053" t="str">
            <v>Yes</v>
          </cell>
          <cell r="T1053" t="str">
            <v>NONE NO KEY</v>
          </cell>
          <cell r="U1053" t="str">
            <v>40</v>
          </cell>
          <cell r="V1053" t="str">
            <v>3</v>
          </cell>
          <cell r="W1053" t="str">
            <v>60</v>
          </cell>
          <cell r="X1053" t="str">
            <v>460</v>
          </cell>
          <cell r="Y1053" t="str">
            <v>29.5</v>
          </cell>
          <cell r="AA1053" t="str">
            <v>F1</v>
          </cell>
          <cell r="AG1053" t="str">
            <v>HP</v>
          </cell>
          <cell r="AP1053" t="str">
            <v>G</v>
          </cell>
          <cell r="AQ1053" t="str">
            <v>F</v>
          </cell>
          <cell r="AS1053" t="str">
            <v>1.15</v>
          </cell>
          <cell r="AT1053" t="str">
            <v>93.0</v>
          </cell>
          <cell r="AV1053" t="b">
            <v>0</v>
          </cell>
          <cell r="GK1053" t="str">
            <v>3 LEADS ONLY</v>
          </cell>
          <cell r="HD1053" t="str">
            <v>Repair Shop</v>
          </cell>
          <cell r="HT1053" t="b">
            <v>0</v>
          </cell>
          <cell r="HU1053" t="str">
            <v>VALERO REFINING CO. BENICIA</v>
          </cell>
        </row>
        <row r="1054">
          <cell r="A1054">
            <v>1705</v>
          </cell>
          <cell r="B1054" t="str">
            <v>VEM0649</v>
          </cell>
          <cell r="D1054" t="str">
            <v>CONHAGEN</v>
          </cell>
          <cell r="F1054" t="str">
            <v>Reliance</v>
          </cell>
          <cell r="I1054" t="str">
            <v>364HPZ</v>
          </cell>
          <cell r="K1054" t="str">
            <v>60</v>
          </cell>
          <cell r="L1054" t="str">
            <v>3545</v>
          </cell>
          <cell r="M1054" t="str">
            <v>P</v>
          </cell>
          <cell r="O1054" t="str">
            <v>Full no Cord</v>
          </cell>
          <cell r="P1054" t="str">
            <v>TEFC</v>
          </cell>
          <cell r="R1054" t="str">
            <v>Continuous</v>
          </cell>
          <cell r="U1054" t="str">
            <v>40</v>
          </cell>
          <cell r="V1054" t="str">
            <v>3</v>
          </cell>
          <cell r="W1054" t="str">
            <v>60</v>
          </cell>
          <cell r="X1054" t="str">
            <v>460</v>
          </cell>
          <cell r="Y1054" t="str">
            <v>76</v>
          </cell>
          <cell r="AA1054" t="str">
            <v>Vertical</v>
          </cell>
          <cell r="AD1054" t="str">
            <v>-1</v>
          </cell>
          <cell r="AG1054" t="str">
            <v>HP</v>
          </cell>
          <cell r="AI1054" t="str">
            <v>6313</v>
          </cell>
          <cell r="AJ1054" t="str">
            <v>6312</v>
          </cell>
          <cell r="AS1054" t="str">
            <v>1.15</v>
          </cell>
          <cell r="AT1054" t="str">
            <v>88.5</v>
          </cell>
          <cell r="AV1054" t="b">
            <v>0</v>
          </cell>
          <cell r="EX1054" t="str">
            <v>P36G6532E-G3-SG</v>
          </cell>
          <cell r="HD1054" t="str">
            <v>Repair Shop</v>
          </cell>
          <cell r="HT1054" t="b">
            <v>0</v>
          </cell>
          <cell r="HU1054" t="str">
            <v>ALFRED CONHAGEN CO. OF CA</v>
          </cell>
        </row>
        <row r="1055">
          <cell r="A1055">
            <v>1704</v>
          </cell>
          <cell r="B1055" t="str">
            <v>VEM0648</v>
          </cell>
          <cell r="D1055" t="str">
            <v>RAMAR</v>
          </cell>
          <cell r="O1055" t="str">
            <v>Half no Cord</v>
          </cell>
          <cell r="R1055" t="str">
            <v>Continuous</v>
          </cell>
          <cell r="T1055" t="str">
            <v>NONE NO KEY</v>
          </cell>
          <cell r="V1055" t="str">
            <v>3</v>
          </cell>
          <cell r="W1055" t="str">
            <v>60</v>
          </cell>
          <cell r="X1055" t="str">
            <v>230-460</v>
          </cell>
          <cell r="AA1055" t="str">
            <v>F1</v>
          </cell>
          <cell r="AD1055" t="str">
            <v>0</v>
          </cell>
          <cell r="AV1055" t="b">
            <v>0</v>
          </cell>
          <cell r="HD1055" t="str">
            <v>Repair Shop</v>
          </cell>
          <cell r="HT1055" t="b">
            <v>0</v>
          </cell>
          <cell r="HU1055" t="str">
            <v>RAMAR FOOD INTERNATIONAL</v>
          </cell>
        </row>
        <row r="1056">
          <cell r="A1056">
            <v>1703</v>
          </cell>
          <cell r="B1056" t="str">
            <v>VEM0647</v>
          </cell>
          <cell r="D1056" t="str">
            <v>SYAR</v>
          </cell>
          <cell r="F1056" t="str">
            <v>LOUIS ALLIS</v>
          </cell>
          <cell r="G1056" t="str">
            <v>19315M-2-M173</v>
          </cell>
          <cell r="I1056" t="str">
            <v>326T</v>
          </cell>
          <cell r="K1056" t="str">
            <v>50</v>
          </cell>
          <cell r="L1056" t="str">
            <v>CJCJ4B</v>
          </cell>
          <cell r="O1056" t="str">
            <v>Full no Cord</v>
          </cell>
          <cell r="P1056" t="str">
            <v>TEFC</v>
          </cell>
          <cell r="R1056" t="str">
            <v>Continuous</v>
          </cell>
          <cell r="S1056" t="str">
            <v>Yes</v>
          </cell>
          <cell r="T1056" t="str">
            <v>NONE NO KEY</v>
          </cell>
          <cell r="U1056" t="str">
            <v>40</v>
          </cell>
          <cell r="V1056" t="str">
            <v>3</v>
          </cell>
          <cell r="W1056" t="str">
            <v>60</v>
          </cell>
          <cell r="X1056" t="str">
            <v>230/460</v>
          </cell>
          <cell r="Y1056" t="str">
            <v>118/59</v>
          </cell>
          <cell r="AA1056" t="str">
            <v>F1</v>
          </cell>
          <cell r="AD1056" t="str">
            <v>0</v>
          </cell>
          <cell r="AG1056" t="str">
            <v>HP</v>
          </cell>
          <cell r="AI1056" t="str">
            <v>6312</v>
          </cell>
          <cell r="AJ1056" t="str">
            <v>6212</v>
          </cell>
          <cell r="AO1056" t="str">
            <v>B</v>
          </cell>
          <cell r="AQ1056" t="str">
            <v>F</v>
          </cell>
          <cell r="AS1056" t="str">
            <v>1.0</v>
          </cell>
          <cell r="AV1056" t="b">
            <v>0</v>
          </cell>
          <cell r="HD1056" t="str">
            <v>Repair Shop</v>
          </cell>
          <cell r="HT1056" t="b">
            <v>0</v>
          </cell>
          <cell r="HU1056" t="str">
            <v>SYAR INDUSTRIES</v>
          </cell>
        </row>
        <row r="1057">
          <cell r="A1057">
            <v>1702</v>
          </cell>
          <cell r="B1057" t="str">
            <v>VEM0646</v>
          </cell>
          <cell r="D1057" t="str">
            <v>CONHAGEN</v>
          </cell>
          <cell r="AG1057" t="str">
            <v>HP</v>
          </cell>
          <cell r="AV1057" t="b">
            <v>0</v>
          </cell>
          <cell r="HD1057" t="str">
            <v>Repair Shop</v>
          </cell>
          <cell r="HT1057" t="b">
            <v>0</v>
          </cell>
          <cell r="HU1057" t="str">
            <v>ALFRED CONHAGEN CO. OF CA</v>
          </cell>
        </row>
        <row r="1058">
          <cell r="A1058">
            <v>1701</v>
          </cell>
          <cell r="B1058" t="str">
            <v>VEM0645</v>
          </cell>
          <cell r="D1058" t="str">
            <v>CONHAGEN</v>
          </cell>
          <cell r="AG1058" t="str">
            <v>HP</v>
          </cell>
          <cell r="AV1058" t="b">
            <v>0</v>
          </cell>
          <cell r="HD1058" t="str">
            <v>Repair Shop</v>
          </cell>
          <cell r="HT1058" t="b">
            <v>0</v>
          </cell>
          <cell r="HU1058" t="str">
            <v>ALFRED CONHAGEN CO. OF CA</v>
          </cell>
        </row>
        <row r="1059">
          <cell r="A1059">
            <v>1700</v>
          </cell>
          <cell r="B1059" t="str">
            <v>VEM0644</v>
          </cell>
          <cell r="D1059" t="str">
            <v>TURBO</v>
          </cell>
          <cell r="F1059" t="str">
            <v>Reliance</v>
          </cell>
          <cell r="I1059" t="str">
            <v>256T</v>
          </cell>
          <cell r="K1059" t="str">
            <v>20</v>
          </cell>
          <cell r="L1059" t="str">
            <v>1770</v>
          </cell>
          <cell r="M1059" t="str">
            <v>P</v>
          </cell>
          <cell r="O1059" t="str">
            <v>Full no Cord</v>
          </cell>
          <cell r="P1059" t="str">
            <v>TEFC</v>
          </cell>
          <cell r="R1059" t="str">
            <v>Continuous</v>
          </cell>
          <cell r="T1059" t="str">
            <v>NONE NO KEY</v>
          </cell>
          <cell r="U1059" t="str">
            <v>40</v>
          </cell>
          <cell r="V1059" t="str">
            <v>3</v>
          </cell>
          <cell r="W1059" t="str">
            <v>60</v>
          </cell>
          <cell r="X1059" t="str">
            <v>208</v>
          </cell>
          <cell r="Y1059" t="str">
            <v>47.6</v>
          </cell>
          <cell r="AA1059" t="str">
            <v>F1</v>
          </cell>
          <cell r="AD1059" t="str">
            <v>0</v>
          </cell>
          <cell r="AG1059" t="str">
            <v>HP</v>
          </cell>
          <cell r="AO1059" t="str">
            <v>B</v>
          </cell>
          <cell r="AP1059" t="str">
            <v>G</v>
          </cell>
          <cell r="AQ1059" t="str">
            <v>F</v>
          </cell>
          <cell r="AS1059" t="str">
            <v>1.00</v>
          </cell>
          <cell r="AT1059" t="str">
            <v>93.0</v>
          </cell>
          <cell r="AV1059" t="b">
            <v>0</v>
          </cell>
          <cell r="EX1059" t="str">
            <v>P25G3312H G6 QT</v>
          </cell>
          <cell r="HD1059" t="str">
            <v>Repair Shop</v>
          </cell>
          <cell r="HT1059" t="b">
            <v>0</v>
          </cell>
          <cell r="HU1059" t="str">
            <v>TURBO MACHINE</v>
          </cell>
        </row>
        <row r="1060">
          <cell r="A1060">
            <v>1699</v>
          </cell>
          <cell r="B1060" t="str">
            <v>VEM0643</v>
          </cell>
          <cell r="D1060" t="str">
            <v>INTEGRATED</v>
          </cell>
          <cell r="F1060" t="str">
            <v>WEG</v>
          </cell>
          <cell r="G1060" t="str">
            <v>02518EP3E284T</v>
          </cell>
          <cell r="H1060" t="str">
            <v>BJ14277</v>
          </cell>
          <cell r="I1060" t="str">
            <v>284T</v>
          </cell>
          <cell r="K1060" t="str">
            <v>25</v>
          </cell>
          <cell r="L1060" t="str">
            <v>1760</v>
          </cell>
          <cell r="M1060" t="str">
            <v>ET</v>
          </cell>
          <cell r="N1060" t="str">
            <v>397</v>
          </cell>
          <cell r="O1060" t="str">
            <v>Full no Cord</v>
          </cell>
          <cell r="P1060" t="str">
            <v>TEFC</v>
          </cell>
          <cell r="R1060" t="str">
            <v>Continuous</v>
          </cell>
          <cell r="T1060" t="str">
            <v>NONE NO KEY</v>
          </cell>
          <cell r="U1060" t="str">
            <v>40</v>
          </cell>
          <cell r="V1060" t="str">
            <v>3</v>
          </cell>
          <cell r="W1060" t="str">
            <v>60</v>
          </cell>
          <cell r="X1060" t="str">
            <v>208-230/</v>
          </cell>
          <cell r="Y1060" t="str">
            <v>59.2/29.6</v>
          </cell>
          <cell r="AA1060" t="str">
            <v>F1</v>
          </cell>
          <cell r="AD1060" t="str">
            <v>0</v>
          </cell>
          <cell r="AG1060" t="str">
            <v>HP</v>
          </cell>
          <cell r="AI1060" t="str">
            <v>6311</v>
          </cell>
          <cell r="AJ1060" t="str">
            <v>6211</v>
          </cell>
          <cell r="AO1060" t="str">
            <v>B</v>
          </cell>
          <cell r="AP1060" t="str">
            <v>G</v>
          </cell>
          <cell r="AQ1060" t="str">
            <v>F</v>
          </cell>
          <cell r="AR1060" t="str">
            <v>.85</v>
          </cell>
          <cell r="AS1060" t="str">
            <v>1.25</v>
          </cell>
          <cell r="AT1060" t="str">
            <v>92.4</v>
          </cell>
          <cell r="AV1060" t="b">
            <v>0</v>
          </cell>
          <cell r="HD1060" t="str">
            <v>Repair Shop</v>
          </cell>
          <cell r="HT1060" t="b">
            <v>0</v>
          </cell>
          <cell r="HU1060" t="str">
            <v>INTEGRATED TURBO MACHINERY, INC.</v>
          </cell>
        </row>
        <row r="1061">
          <cell r="A1061">
            <v>1698</v>
          </cell>
          <cell r="B1061" t="str">
            <v>VEM0642</v>
          </cell>
          <cell r="D1061" t="str">
            <v>EECO</v>
          </cell>
          <cell r="H1061" t="str">
            <v>21607003</v>
          </cell>
          <cell r="I1061" t="str">
            <v>R326TP/DF27K2PA</v>
          </cell>
          <cell r="K1061" t="str">
            <v>50</v>
          </cell>
          <cell r="L1061" t="str">
            <v>1770</v>
          </cell>
          <cell r="O1061" t="str">
            <v>None</v>
          </cell>
          <cell r="R1061" t="str">
            <v>Continuous</v>
          </cell>
          <cell r="U1061" t="str">
            <v>40</v>
          </cell>
          <cell r="V1061" t="str">
            <v>3</v>
          </cell>
          <cell r="W1061" t="str">
            <v>60</v>
          </cell>
          <cell r="X1061" t="str">
            <v>460</v>
          </cell>
          <cell r="Y1061" t="str">
            <v>59</v>
          </cell>
          <cell r="AA1061" t="str">
            <v>Vertical</v>
          </cell>
          <cell r="AD1061" t="str">
            <v>0</v>
          </cell>
          <cell r="AG1061" t="str">
            <v>HP</v>
          </cell>
          <cell r="AO1061" t="str">
            <v>B</v>
          </cell>
          <cell r="AP1061" t="str">
            <v>G</v>
          </cell>
          <cell r="AQ1061" t="str">
            <v>F</v>
          </cell>
          <cell r="AS1061" t="str">
            <v>1.15</v>
          </cell>
          <cell r="AV1061" t="b">
            <v>0</v>
          </cell>
          <cell r="HD1061" t="str">
            <v>Repair Shop</v>
          </cell>
          <cell r="HT1061" t="b">
            <v>0</v>
          </cell>
          <cell r="HU1061" t="str">
            <v>ELECTRICAL EQUIPMENT CO.</v>
          </cell>
        </row>
        <row r="1062">
          <cell r="A1062">
            <v>1697</v>
          </cell>
          <cell r="B1062" t="str">
            <v>VEM0641</v>
          </cell>
          <cell r="D1062" t="str">
            <v>INTEGRATED</v>
          </cell>
          <cell r="I1062" t="str">
            <v>X210TY</v>
          </cell>
          <cell r="K1062" t="str">
            <v>10</v>
          </cell>
          <cell r="L1062" t="str">
            <v>1140</v>
          </cell>
          <cell r="O1062" t="str">
            <v>Full w/ Cord</v>
          </cell>
          <cell r="P1062" t="str">
            <v>TENV</v>
          </cell>
          <cell r="R1062" t="str">
            <v>Continuous</v>
          </cell>
          <cell r="U1062" t="str">
            <v>40</v>
          </cell>
          <cell r="V1062" t="str">
            <v>3</v>
          </cell>
          <cell r="W1062" t="str">
            <v>60</v>
          </cell>
          <cell r="X1062" t="str">
            <v>460</v>
          </cell>
          <cell r="Y1062" t="str">
            <v>16</v>
          </cell>
          <cell r="AA1062" t="str">
            <v>Vertical</v>
          </cell>
          <cell r="AD1062" t="str">
            <v>0</v>
          </cell>
          <cell r="AG1062" t="str">
            <v>HP</v>
          </cell>
          <cell r="AP1062" t="str">
            <v>H</v>
          </cell>
          <cell r="AQ1062" t="str">
            <v>F</v>
          </cell>
          <cell r="AS1062" t="str">
            <v>1.15</v>
          </cell>
          <cell r="AV1062" t="b">
            <v>0</v>
          </cell>
          <cell r="EX1062" t="str">
            <v>6490385</v>
          </cell>
          <cell r="GK1062" t="str">
            <v>CORD CUT OFF</v>
          </cell>
          <cell r="HD1062" t="str">
            <v>Repair Shop</v>
          </cell>
          <cell r="HT1062" t="b">
            <v>0</v>
          </cell>
          <cell r="HU1062" t="str">
            <v>INTEGRATED TURBO MACHINERY, INC.</v>
          </cell>
        </row>
        <row r="1063">
          <cell r="A1063">
            <v>1696</v>
          </cell>
          <cell r="B1063" t="str">
            <v>VEM0640</v>
          </cell>
          <cell r="D1063" t="str">
            <v>INTEGRATED</v>
          </cell>
          <cell r="AG1063" t="str">
            <v>HP</v>
          </cell>
          <cell r="AV1063" t="b">
            <v>0</v>
          </cell>
          <cell r="HD1063" t="str">
            <v>Repair Shop</v>
          </cell>
          <cell r="HT1063" t="b">
            <v>0</v>
          </cell>
          <cell r="HU1063" t="str">
            <v>INTEGRATED TURBO MACHINERY, INC.</v>
          </cell>
        </row>
        <row r="1064">
          <cell r="A1064">
            <v>1695</v>
          </cell>
          <cell r="B1064" t="str">
            <v>VEM0639</v>
          </cell>
          <cell r="D1064" t="str">
            <v>VALLEJOWATER</v>
          </cell>
          <cell r="F1064" t="str">
            <v>FLYGT</v>
          </cell>
          <cell r="H1064" t="str">
            <v>3127.090-0440166</v>
          </cell>
          <cell r="K1064" t="str">
            <v>10</v>
          </cell>
          <cell r="L1064" t="str">
            <v>1735</v>
          </cell>
          <cell r="O1064" t="str">
            <v>Half w/ Cord</v>
          </cell>
          <cell r="R1064" t="str">
            <v>Continuous</v>
          </cell>
          <cell r="U1064" t="str">
            <v>40</v>
          </cell>
          <cell r="V1064" t="str">
            <v>3</v>
          </cell>
          <cell r="W1064" t="str">
            <v>60</v>
          </cell>
          <cell r="X1064" t="str">
            <v>460/230</v>
          </cell>
          <cell r="Y1064" t="str">
            <v>13/25</v>
          </cell>
          <cell r="AA1064" t="str">
            <v>Vertical</v>
          </cell>
          <cell r="AD1064" t="str">
            <v>0</v>
          </cell>
          <cell r="AG1064" t="str">
            <v>HP</v>
          </cell>
          <cell r="AQ1064" t="str">
            <v>F</v>
          </cell>
          <cell r="AV1064" t="b">
            <v>0</v>
          </cell>
          <cell r="EW1064" t="str">
            <v>PRODUCT#3127.090-1824</v>
          </cell>
          <cell r="GK1064" t="str">
            <v>WITH VOLUTE</v>
          </cell>
          <cell r="GL1064" t="str">
            <v>NO LOAD AMPS W/O IMPELLER 4.2</v>
          </cell>
          <cell r="GM1064" t="str">
            <v>OIL  CAP.1 1/2 QTS</v>
          </cell>
          <cell r="GN1064" t="str">
            <v>MEGS AT CABLE 15 G OHMS</v>
          </cell>
          <cell r="HD1064" t="str">
            <v>Repair Shop</v>
          </cell>
          <cell r="HT1064" t="b">
            <v>0</v>
          </cell>
          <cell r="HU1064" t="str">
            <v>CITY OF VALLEJO WATER TREATMENT</v>
          </cell>
        </row>
        <row r="1065">
          <cell r="A1065">
            <v>1694</v>
          </cell>
          <cell r="B1065" t="str">
            <v>VEM0638</v>
          </cell>
          <cell r="D1065" t="str">
            <v>VALERO</v>
          </cell>
          <cell r="F1065" t="str">
            <v>Reliance</v>
          </cell>
          <cell r="I1065" t="str">
            <v>32EA 5812S</v>
          </cell>
          <cell r="K1065" t="str">
            <v>2000</v>
          </cell>
          <cell r="L1065" t="str">
            <v>3564</v>
          </cell>
          <cell r="N1065" t="str">
            <v>7900</v>
          </cell>
          <cell r="O1065" t="str">
            <v>None</v>
          </cell>
          <cell r="P1065" t="str">
            <v>WP1</v>
          </cell>
          <cell r="R1065" t="str">
            <v>Continuous</v>
          </cell>
          <cell r="T1065" t="str">
            <v>YES</v>
          </cell>
          <cell r="V1065" t="str">
            <v>3</v>
          </cell>
          <cell r="W1065" t="str">
            <v>60</v>
          </cell>
          <cell r="X1065" t="str">
            <v>2300/4000</v>
          </cell>
          <cell r="Y1065" t="str">
            <v>433/250</v>
          </cell>
          <cell r="AD1065" t="str">
            <v>0</v>
          </cell>
          <cell r="AG1065" t="str">
            <v>HP</v>
          </cell>
          <cell r="AP1065" t="str">
            <v>E</v>
          </cell>
          <cell r="AQ1065" t="str">
            <v>F</v>
          </cell>
          <cell r="AS1065" t="str">
            <v>1.15</v>
          </cell>
          <cell r="AV1065" t="b">
            <v>0</v>
          </cell>
          <cell r="EX1065" t="str">
            <v>1VAQ22155-A1-ZZ</v>
          </cell>
          <cell r="HD1065" t="str">
            <v>Repair Shop</v>
          </cell>
          <cell r="HT1065" t="b">
            <v>0</v>
          </cell>
          <cell r="HU1065" t="str">
            <v>VALERO REFINING CO. BENICIA</v>
          </cell>
        </row>
        <row r="1066">
          <cell r="A1066">
            <v>1693</v>
          </cell>
          <cell r="B1066" t="str">
            <v>VEM0637</v>
          </cell>
          <cell r="D1066" t="str">
            <v>WESTASSOC</v>
          </cell>
          <cell r="F1066" t="str">
            <v>Worldwide</v>
          </cell>
          <cell r="G1066" t="str">
            <v>TM5-18-184T</v>
          </cell>
          <cell r="I1066" t="str">
            <v>184T</v>
          </cell>
          <cell r="K1066" t="str">
            <v>5</v>
          </cell>
          <cell r="L1066" t="str">
            <v>1740</v>
          </cell>
          <cell r="M1066" t="str">
            <v>TT1P</v>
          </cell>
          <cell r="O1066" t="str">
            <v>Half w/ Cord</v>
          </cell>
          <cell r="P1066" t="str">
            <v>TEFC</v>
          </cell>
          <cell r="R1066" t="str">
            <v>Continuous</v>
          </cell>
          <cell r="S1066" t="str">
            <v>Yes</v>
          </cell>
          <cell r="T1066" t="str">
            <v>NONE</v>
          </cell>
          <cell r="U1066" t="str">
            <v>40</v>
          </cell>
          <cell r="V1066" t="str">
            <v>1</v>
          </cell>
          <cell r="W1066" t="str">
            <v>60</v>
          </cell>
          <cell r="X1066" t="str">
            <v>208-230</v>
          </cell>
          <cell r="Y1066" t="str">
            <v>23.2-21</v>
          </cell>
          <cell r="AA1066" t="str">
            <v>F1</v>
          </cell>
          <cell r="AD1066" t="str">
            <v>0</v>
          </cell>
          <cell r="AG1066" t="str">
            <v>HP</v>
          </cell>
          <cell r="AI1066" t="str">
            <v>6306</v>
          </cell>
          <cell r="AJ1066" t="str">
            <v>6206</v>
          </cell>
          <cell r="AO1066" t="str">
            <v>L</v>
          </cell>
          <cell r="AP1066" t="str">
            <v>G</v>
          </cell>
          <cell r="AQ1066" t="str">
            <v>F</v>
          </cell>
          <cell r="AR1066" t="str">
            <v>0.93</v>
          </cell>
          <cell r="AV1066" t="b">
            <v>0</v>
          </cell>
          <cell r="HD1066" t="str">
            <v>Repair Shop</v>
          </cell>
          <cell r="HT1066" t="b">
            <v>0</v>
          </cell>
          <cell r="HU1066" t="str">
            <v>WEST &amp; ASSOCIATES</v>
          </cell>
        </row>
        <row r="1067">
          <cell r="A1067">
            <v>1692</v>
          </cell>
          <cell r="B1067" t="str">
            <v>VEM0636</v>
          </cell>
          <cell r="D1067" t="str">
            <v>WESTASSOC</v>
          </cell>
          <cell r="F1067" t="str">
            <v>Leeson</v>
          </cell>
          <cell r="G1067" t="str">
            <v>C184K17FB15C</v>
          </cell>
          <cell r="I1067" t="str">
            <v>RX184T</v>
          </cell>
          <cell r="K1067" t="str">
            <v>5</v>
          </cell>
          <cell r="L1067" t="str">
            <v>1740</v>
          </cell>
          <cell r="O1067" t="str">
            <v>Half no Cord</v>
          </cell>
          <cell r="P1067" t="str">
            <v>TEFC</v>
          </cell>
          <cell r="R1067" t="str">
            <v>Continuous</v>
          </cell>
          <cell r="T1067" t="str">
            <v>NONE</v>
          </cell>
          <cell r="U1067" t="str">
            <v>40</v>
          </cell>
          <cell r="V1067" t="str">
            <v>1</v>
          </cell>
          <cell r="W1067" t="str">
            <v>60</v>
          </cell>
          <cell r="X1067" t="str">
            <v>230</v>
          </cell>
          <cell r="Y1067" t="str">
            <v>23</v>
          </cell>
          <cell r="AA1067" t="str">
            <v>F1</v>
          </cell>
          <cell r="AD1067" t="str">
            <v>0</v>
          </cell>
          <cell r="AG1067" t="str">
            <v>HP</v>
          </cell>
          <cell r="AO1067" t="str">
            <v>L</v>
          </cell>
          <cell r="AP1067" t="str">
            <v>H</v>
          </cell>
          <cell r="AQ1067" t="str">
            <v>F</v>
          </cell>
          <cell r="AR1067" t="str">
            <v>92</v>
          </cell>
          <cell r="AS1067" t="str">
            <v>1.0</v>
          </cell>
          <cell r="AT1067" t="str">
            <v>81</v>
          </cell>
          <cell r="AV1067" t="b">
            <v>0</v>
          </cell>
          <cell r="EW1067" t="str">
            <v>131538.00</v>
          </cell>
          <cell r="HD1067" t="str">
            <v>Repair Shop</v>
          </cell>
          <cell r="HT1067" t="b">
            <v>0</v>
          </cell>
          <cell r="HU1067" t="str">
            <v>WEST &amp; ASSOCIATES</v>
          </cell>
        </row>
        <row r="1068">
          <cell r="A1068">
            <v>1691</v>
          </cell>
          <cell r="B1068" t="str">
            <v>VEM0635</v>
          </cell>
          <cell r="D1068" t="str">
            <v>WESTASSOC</v>
          </cell>
          <cell r="F1068" t="str">
            <v>Baldor</v>
          </cell>
          <cell r="H1068" t="str">
            <v>F0703140100</v>
          </cell>
          <cell r="I1068" t="str">
            <v>213T</v>
          </cell>
          <cell r="K1068" t="str">
            <v>5</v>
          </cell>
          <cell r="L1068" t="str">
            <v>1750</v>
          </cell>
          <cell r="O1068" t="str">
            <v>Half w/ Cord</v>
          </cell>
          <cell r="P1068" t="str">
            <v>TEFC</v>
          </cell>
          <cell r="R1068" t="str">
            <v>Continuous</v>
          </cell>
          <cell r="S1068" t="str">
            <v>Yes</v>
          </cell>
          <cell r="T1068" t="str">
            <v>KEY ONLY</v>
          </cell>
          <cell r="U1068" t="str">
            <v>40</v>
          </cell>
          <cell r="V1068" t="str">
            <v>1</v>
          </cell>
          <cell r="W1068" t="str">
            <v>60</v>
          </cell>
          <cell r="X1068" t="str">
            <v>230</v>
          </cell>
          <cell r="Y1068" t="str">
            <v>20.5</v>
          </cell>
          <cell r="AA1068" t="str">
            <v>F1</v>
          </cell>
          <cell r="AD1068" t="str">
            <v>0</v>
          </cell>
          <cell r="AG1068" t="str">
            <v>HP</v>
          </cell>
          <cell r="AI1068" t="str">
            <v>6307</v>
          </cell>
          <cell r="AJ1068" t="str">
            <v>6206</v>
          </cell>
          <cell r="AO1068" t="str">
            <v>L</v>
          </cell>
          <cell r="AP1068" t="str">
            <v>H</v>
          </cell>
          <cell r="AQ1068" t="str">
            <v>F</v>
          </cell>
          <cell r="AR1068" t="str">
            <v>93</v>
          </cell>
          <cell r="AT1068" t="str">
            <v>84</v>
          </cell>
          <cell r="AU1068" t="str">
            <v>37K224T877</v>
          </cell>
          <cell r="AV1068" t="b">
            <v>0</v>
          </cell>
          <cell r="EW1068" t="str">
            <v>L3708T</v>
          </cell>
          <cell r="HD1068" t="str">
            <v>Repair Shop</v>
          </cell>
          <cell r="HT1068" t="b">
            <v>0</v>
          </cell>
          <cell r="HU1068" t="str">
            <v>WEST &amp; ASSOCIATES</v>
          </cell>
        </row>
        <row r="1069">
          <cell r="A1069">
            <v>1690</v>
          </cell>
          <cell r="B1069" t="str">
            <v>VEM0634</v>
          </cell>
          <cell r="D1069" t="str">
            <v>P66</v>
          </cell>
          <cell r="F1069" t="str">
            <v>LOUIS ALLIS</v>
          </cell>
          <cell r="H1069" t="str">
            <v>2449741</v>
          </cell>
          <cell r="I1069" t="str">
            <v>324U</v>
          </cell>
          <cell r="K1069" t="str">
            <v>25</v>
          </cell>
          <cell r="L1069" t="str">
            <v>1700</v>
          </cell>
          <cell r="M1069" t="str">
            <v>CJXC</v>
          </cell>
          <cell r="O1069" t="str">
            <v>Full no Cord</v>
          </cell>
          <cell r="P1069" t="str">
            <v>TEFC</v>
          </cell>
          <cell r="R1069" t="str">
            <v>Continuous</v>
          </cell>
          <cell r="S1069" t="str">
            <v>Yes</v>
          </cell>
          <cell r="T1069" t="str">
            <v>NONE</v>
          </cell>
          <cell r="V1069" t="str">
            <v>3</v>
          </cell>
          <cell r="W1069" t="str">
            <v>60</v>
          </cell>
          <cell r="X1069" t="str">
            <v>220/440</v>
          </cell>
          <cell r="Y1069" t="str">
            <v>60/30</v>
          </cell>
          <cell r="AD1069" t="str">
            <v>0</v>
          </cell>
          <cell r="AG1069" t="str">
            <v>HP</v>
          </cell>
          <cell r="AI1069" t="str">
            <v>6312</v>
          </cell>
          <cell r="AJ1069" t="str">
            <v>6212</v>
          </cell>
          <cell r="AO1069" t="str">
            <v>B</v>
          </cell>
          <cell r="AP1069" t="str">
            <v>F</v>
          </cell>
          <cell r="AS1069" t="str">
            <v>1.00</v>
          </cell>
          <cell r="AV1069" t="b">
            <v>0</v>
          </cell>
          <cell r="HD1069" t="str">
            <v>Repair Shop</v>
          </cell>
          <cell r="HT1069" t="b">
            <v>0</v>
          </cell>
          <cell r="HU1069" t="str">
            <v>PHILLIPS 66</v>
          </cell>
        </row>
        <row r="1070">
          <cell r="A1070">
            <v>1689</v>
          </cell>
          <cell r="B1070" t="str">
            <v>VEM0633</v>
          </cell>
          <cell r="D1070" t="str">
            <v>VALLEJOSAN</v>
          </cell>
          <cell r="F1070" t="str">
            <v>US Motors</v>
          </cell>
          <cell r="I1070" t="str">
            <v>324TPH</v>
          </cell>
          <cell r="K1070" t="str">
            <v>50</v>
          </cell>
          <cell r="L1070" t="str">
            <v>3545</v>
          </cell>
          <cell r="M1070" t="str">
            <v>RU</v>
          </cell>
          <cell r="O1070" t="str">
            <v>Full no Cord</v>
          </cell>
          <cell r="R1070" t="str">
            <v>Continuous</v>
          </cell>
          <cell r="T1070" t="str">
            <v>NONE</v>
          </cell>
          <cell r="U1070" t="str">
            <v>40</v>
          </cell>
          <cell r="V1070" t="str">
            <v>3</v>
          </cell>
          <cell r="W1070" t="str">
            <v>60</v>
          </cell>
          <cell r="X1070" t="str">
            <v>230/460</v>
          </cell>
          <cell r="Y1070" t="str">
            <v>128/64</v>
          </cell>
          <cell r="AA1070" t="str">
            <v>Vertical</v>
          </cell>
          <cell r="AD1070" t="str">
            <v>0</v>
          </cell>
          <cell r="AG1070" t="str">
            <v>HP</v>
          </cell>
          <cell r="AI1070" t="str">
            <v>6211</v>
          </cell>
          <cell r="AJ1070" t="str">
            <v>7220</v>
          </cell>
          <cell r="AP1070" t="str">
            <v>G</v>
          </cell>
          <cell r="AQ1070" t="str">
            <v>B</v>
          </cell>
          <cell r="AS1070" t="str">
            <v>1.15</v>
          </cell>
          <cell r="AT1070" t="str">
            <v>88.5</v>
          </cell>
          <cell r="AV1070" t="b">
            <v>0</v>
          </cell>
          <cell r="EX1070" t="str">
            <v>6230A/U07U102R0015R-5</v>
          </cell>
          <cell r="HD1070" t="str">
            <v>Repair Shop</v>
          </cell>
          <cell r="HT1070" t="b">
            <v>0</v>
          </cell>
          <cell r="HU1070" t="str">
            <v>VALLEJO FLOOD &amp; WASTEWATER DISTRICT</v>
          </cell>
        </row>
        <row r="1071">
          <cell r="A1071">
            <v>1688</v>
          </cell>
          <cell r="B1071" t="str">
            <v>VEM0632</v>
          </cell>
          <cell r="D1071" t="str">
            <v>WESTASSOC</v>
          </cell>
          <cell r="AG1071" t="str">
            <v>HP</v>
          </cell>
          <cell r="AV1071" t="b">
            <v>0</v>
          </cell>
          <cell r="HD1071" t="str">
            <v>Repair Shop</v>
          </cell>
          <cell r="HT1071" t="b">
            <v>0</v>
          </cell>
          <cell r="HU1071" t="str">
            <v>WEST &amp; ASSOCIATES</v>
          </cell>
        </row>
        <row r="1072">
          <cell r="A1072">
            <v>1687</v>
          </cell>
          <cell r="B1072" t="str">
            <v>VEM0631</v>
          </cell>
          <cell r="D1072" t="str">
            <v>BENICIAWASTE</v>
          </cell>
          <cell r="AD1072" t="str">
            <v>0</v>
          </cell>
          <cell r="AG1072" t="str">
            <v>HP</v>
          </cell>
          <cell r="AV1072" t="b">
            <v>0</v>
          </cell>
          <cell r="HD1072" t="str">
            <v>Repair Shop</v>
          </cell>
          <cell r="HT1072" t="b">
            <v>0</v>
          </cell>
          <cell r="HU1072" t="str">
            <v>CITY OF BENICIA WASTE WATER</v>
          </cell>
        </row>
        <row r="1073">
          <cell r="A1073">
            <v>1686</v>
          </cell>
          <cell r="B1073" t="str">
            <v>VEM0630</v>
          </cell>
          <cell r="D1073" t="str">
            <v>VALERO</v>
          </cell>
          <cell r="F1073" t="str">
            <v>Siemens</v>
          </cell>
          <cell r="H1073" t="str">
            <v>1-5110-53117-1-1</v>
          </cell>
          <cell r="I1073" t="str">
            <v>3023SS6</v>
          </cell>
          <cell r="K1073" t="str">
            <v>2000</v>
          </cell>
          <cell r="L1073" t="str">
            <v>3585</v>
          </cell>
          <cell r="M1073" t="str">
            <v>FODS</v>
          </cell>
          <cell r="R1073" t="str">
            <v>Continuous</v>
          </cell>
          <cell r="T1073" t="str">
            <v>KEY ONLY</v>
          </cell>
          <cell r="U1073" t="str">
            <v>40</v>
          </cell>
          <cell r="V1073" t="str">
            <v>3</v>
          </cell>
          <cell r="W1073" t="str">
            <v>60</v>
          </cell>
          <cell r="X1073" t="str">
            <v>4000</v>
          </cell>
          <cell r="Y1073" t="str">
            <v>244</v>
          </cell>
          <cell r="AA1073" t="str">
            <v>F1</v>
          </cell>
          <cell r="AD1073" t="str">
            <v>0</v>
          </cell>
          <cell r="AG1073" t="str">
            <v>HP</v>
          </cell>
          <cell r="AQ1073" t="str">
            <v>F</v>
          </cell>
          <cell r="AS1073" t="str">
            <v>1.15</v>
          </cell>
          <cell r="AV1073" t="b">
            <v>0</v>
          </cell>
          <cell r="HD1073" t="str">
            <v>Repair Shop</v>
          </cell>
          <cell r="HT1073" t="b">
            <v>0</v>
          </cell>
          <cell r="HU1073" t="str">
            <v>VALERO REFINING CO. BENICIA</v>
          </cell>
        </row>
        <row r="1074">
          <cell r="A1074">
            <v>1685</v>
          </cell>
          <cell r="B1074" t="str">
            <v>VEM0629</v>
          </cell>
          <cell r="D1074" t="str">
            <v>CASHSALES</v>
          </cell>
          <cell r="F1074" t="str">
            <v>Westinghouse</v>
          </cell>
          <cell r="H1074" t="str">
            <v>520</v>
          </cell>
          <cell r="I1074" t="str">
            <v>254</v>
          </cell>
          <cell r="K1074" t="str">
            <v>5</v>
          </cell>
          <cell r="L1074" t="str">
            <v>1725</v>
          </cell>
          <cell r="M1074" t="str">
            <v>CAP</v>
          </cell>
          <cell r="O1074" t="str">
            <v>Full w/ Cord</v>
          </cell>
          <cell r="P1074" t="str">
            <v>ODP</v>
          </cell>
          <cell r="R1074" t="str">
            <v>Continuous</v>
          </cell>
          <cell r="S1074" t="str">
            <v>No</v>
          </cell>
          <cell r="T1074" t="str">
            <v>YES</v>
          </cell>
          <cell r="U1074" t="str">
            <v>40</v>
          </cell>
          <cell r="V1074" t="str">
            <v>1</v>
          </cell>
          <cell r="W1074" t="str">
            <v>60</v>
          </cell>
          <cell r="X1074" t="str">
            <v>220</v>
          </cell>
          <cell r="Y1074" t="str">
            <v>27</v>
          </cell>
          <cell r="AA1074" t="str">
            <v>F1</v>
          </cell>
          <cell r="AD1074" t="str">
            <v>0</v>
          </cell>
          <cell r="AG1074" t="str">
            <v>HP</v>
          </cell>
          <cell r="AV1074" t="b">
            <v>0</v>
          </cell>
          <cell r="EY1074" t="str">
            <v>1456113A</v>
          </cell>
          <cell r="HD1074" t="str">
            <v>Repair Shop</v>
          </cell>
          <cell r="HT1074" t="b">
            <v>0</v>
          </cell>
          <cell r="HU1074" t="str">
            <v>CASH SALES</v>
          </cell>
        </row>
        <row r="1075">
          <cell r="A1075">
            <v>1684</v>
          </cell>
          <cell r="B1075" t="str">
            <v>VEM0628</v>
          </cell>
          <cell r="D1075" t="str">
            <v>VALERO</v>
          </cell>
          <cell r="F1075" t="str">
            <v>GE</v>
          </cell>
          <cell r="G1075" t="str">
            <v>5KS215XAB208</v>
          </cell>
          <cell r="H1075" t="str">
            <v>VVP3323M</v>
          </cell>
          <cell r="I1075" t="str">
            <v>215T</v>
          </cell>
          <cell r="K1075" t="str">
            <v>10</v>
          </cell>
          <cell r="L1075" t="str">
            <v>1765</v>
          </cell>
          <cell r="M1075" t="str">
            <v>KS</v>
          </cell>
          <cell r="N1075" t="str">
            <v>220</v>
          </cell>
          <cell r="O1075" t="str">
            <v>None</v>
          </cell>
          <cell r="P1075" t="str">
            <v>TEFC</v>
          </cell>
          <cell r="R1075" t="str">
            <v>Continuous</v>
          </cell>
          <cell r="T1075" t="str">
            <v>NONE NO KEY</v>
          </cell>
          <cell r="U1075" t="str">
            <v>40</v>
          </cell>
          <cell r="V1075" t="str">
            <v>3</v>
          </cell>
          <cell r="W1075" t="str">
            <v>60</v>
          </cell>
          <cell r="X1075" t="str">
            <v>460</v>
          </cell>
          <cell r="Y1075" t="str">
            <v>12.2</v>
          </cell>
          <cell r="AA1075" t="str">
            <v>F1</v>
          </cell>
          <cell r="AD1075" t="str">
            <v>0</v>
          </cell>
          <cell r="AG1075" t="str">
            <v>HP</v>
          </cell>
          <cell r="AI1075" t="str">
            <v>6208</v>
          </cell>
          <cell r="AJ1075" t="str">
            <v>6208</v>
          </cell>
          <cell r="AP1075" t="str">
            <v>H</v>
          </cell>
          <cell r="AQ1075" t="str">
            <v>F</v>
          </cell>
          <cell r="AR1075" t="str">
            <v>83.5</v>
          </cell>
          <cell r="AS1075" t="str">
            <v>1.15</v>
          </cell>
          <cell r="AT1075" t="str">
            <v>91.7</v>
          </cell>
          <cell r="AV1075" t="b">
            <v>0</v>
          </cell>
          <cell r="EW1075" t="str">
            <v>M9431</v>
          </cell>
          <cell r="HD1075" t="str">
            <v>Repair Shop</v>
          </cell>
          <cell r="HT1075" t="b">
            <v>0</v>
          </cell>
          <cell r="HU1075" t="str">
            <v>VALERO REFINING CO. BENICIA</v>
          </cell>
        </row>
        <row r="1076">
          <cell r="A1076">
            <v>1683</v>
          </cell>
          <cell r="B1076" t="str">
            <v>VEM0627</v>
          </cell>
          <cell r="D1076" t="str">
            <v>CONHAGEN</v>
          </cell>
          <cell r="F1076" t="str">
            <v>GE</v>
          </cell>
          <cell r="G1076" t="str">
            <v>5KS449XAA134D2</v>
          </cell>
          <cell r="H1076" t="str">
            <v>JKFT259U006</v>
          </cell>
          <cell r="I1076" t="str">
            <v>449TS</v>
          </cell>
          <cell r="K1076" t="str">
            <v>300</v>
          </cell>
          <cell r="L1076" t="str">
            <v>3580</v>
          </cell>
          <cell r="M1076" t="str">
            <v>KS</v>
          </cell>
          <cell r="N1076" t="str">
            <v>2920</v>
          </cell>
          <cell r="O1076" t="str">
            <v>None</v>
          </cell>
          <cell r="P1076" t="str">
            <v>TEFC</v>
          </cell>
          <cell r="R1076" t="str">
            <v>Continuous</v>
          </cell>
          <cell r="S1076" t="str">
            <v>Yes</v>
          </cell>
          <cell r="T1076" t="str">
            <v>NONE</v>
          </cell>
          <cell r="U1076" t="str">
            <v>40</v>
          </cell>
          <cell r="V1076" t="str">
            <v>3</v>
          </cell>
          <cell r="W1076" t="str">
            <v>60</v>
          </cell>
          <cell r="X1076" t="str">
            <v>460</v>
          </cell>
          <cell r="Y1076" t="str">
            <v>317.0</v>
          </cell>
          <cell r="AA1076" t="str">
            <v>F1</v>
          </cell>
          <cell r="AD1076" t="str">
            <v>0</v>
          </cell>
          <cell r="AG1076" t="str">
            <v>HP</v>
          </cell>
          <cell r="AI1076" t="str">
            <v>6314</v>
          </cell>
          <cell r="AJ1076" t="str">
            <v>6314</v>
          </cell>
          <cell r="AO1076" t="str">
            <v>B</v>
          </cell>
          <cell r="AQ1076" t="str">
            <v>H</v>
          </cell>
          <cell r="AR1076" t="str">
            <v>92.5</v>
          </cell>
          <cell r="AT1076" t="str">
            <v>95.8</v>
          </cell>
          <cell r="AV1076" t="b">
            <v>0</v>
          </cell>
          <cell r="EW1076" t="str">
            <v>M8948</v>
          </cell>
          <cell r="HD1076" t="str">
            <v>Repair Shop</v>
          </cell>
          <cell r="HT1076" t="b">
            <v>0</v>
          </cell>
          <cell r="HU1076" t="str">
            <v>ALFRED CONHAGEN CO. OF CA</v>
          </cell>
        </row>
        <row r="1077">
          <cell r="A1077">
            <v>1682</v>
          </cell>
          <cell r="B1077" t="str">
            <v>VEM0626</v>
          </cell>
          <cell r="D1077" t="str">
            <v>SUPERSTORES</v>
          </cell>
          <cell r="F1077" t="str">
            <v>REULAND</v>
          </cell>
          <cell r="H1077" t="str">
            <v>11-3246A-4</v>
          </cell>
          <cell r="I1077" t="str">
            <v>254U</v>
          </cell>
          <cell r="K1077" t="str">
            <v>10</v>
          </cell>
          <cell r="L1077" t="str">
            <v>1800</v>
          </cell>
          <cell r="M1077" t="str">
            <v>D000-511</v>
          </cell>
          <cell r="O1077" t="str">
            <v>Full no Cord</v>
          </cell>
          <cell r="P1077" t="str">
            <v>ODP</v>
          </cell>
          <cell r="R1077" t="str">
            <v>Continuous</v>
          </cell>
          <cell r="S1077" t="str">
            <v>Yes</v>
          </cell>
          <cell r="T1077" t="str">
            <v>Sleeve</v>
          </cell>
          <cell r="U1077" t="str">
            <v>40</v>
          </cell>
          <cell r="V1077" t="str">
            <v>3</v>
          </cell>
          <cell r="W1077" t="str">
            <v>60</v>
          </cell>
          <cell r="X1077" t="str">
            <v>230/460</v>
          </cell>
          <cell r="Y1077" t="str">
            <v>28.4/14.2</v>
          </cell>
          <cell r="AA1077" t="str">
            <v>F1</v>
          </cell>
          <cell r="AD1077" t="str">
            <v>0</v>
          </cell>
          <cell r="AG1077" t="str">
            <v>HP</v>
          </cell>
          <cell r="AP1077" t="str">
            <v>J</v>
          </cell>
          <cell r="AV1077" t="b">
            <v>0</v>
          </cell>
          <cell r="HD1077" t="str">
            <v>Repair Shop</v>
          </cell>
          <cell r="HT1077" t="b">
            <v>0</v>
          </cell>
          <cell r="HU1077" t="str">
            <v>Producers Dairy Foods</v>
          </cell>
        </row>
        <row r="1078">
          <cell r="A1078">
            <v>1681</v>
          </cell>
          <cell r="B1078" t="str">
            <v>VEM0625</v>
          </cell>
          <cell r="D1078" t="str">
            <v>CITYOFBENICIA</v>
          </cell>
          <cell r="F1078" t="str">
            <v>Reliance</v>
          </cell>
          <cell r="I1078" t="str">
            <v>EC56C</v>
          </cell>
          <cell r="K1078" t="str">
            <v>.50</v>
          </cell>
          <cell r="L1078" t="str">
            <v>1725</v>
          </cell>
          <cell r="O1078" t="str">
            <v>Full no Cord</v>
          </cell>
          <cell r="T1078" t="str">
            <v>NONE NO KEY</v>
          </cell>
          <cell r="U1078" t="str">
            <v>40</v>
          </cell>
          <cell r="X1078" t="str">
            <v>90</v>
          </cell>
          <cell r="Y1078" t="str">
            <v>5.2</v>
          </cell>
          <cell r="AD1078" t="str">
            <v>0</v>
          </cell>
          <cell r="AQ1078" t="str">
            <v>F</v>
          </cell>
          <cell r="AV1078" t="b">
            <v>0</v>
          </cell>
          <cell r="ER1078" t="str">
            <v>PM</v>
          </cell>
          <cell r="EX1078" t="str">
            <v>M28599-T9-SP</v>
          </cell>
          <cell r="GK1078" t="str">
            <v>TACH 45V @100ORPM</v>
          </cell>
          <cell r="HD1078" t="str">
            <v>Repair Shop</v>
          </cell>
          <cell r="HT1078" t="b">
            <v>0</v>
          </cell>
          <cell r="HU1078" t="str">
            <v>CITY OF BENICIA, WATER TREATMENT PLANT</v>
          </cell>
        </row>
        <row r="1079">
          <cell r="A1079">
            <v>1680</v>
          </cell>
          <cell r="B1079" t="str">
            <v>VEM0624</v>
          </cell>
          <cell r="D1079" t="str">
            <v>VALLEJOWATER</v>
          </cell>
          <cell r="F1079" t="str">
            <v>US Motors</v>
          </cell>
          <cell r="I1079" t="str">
            <v>254VP</v>
          </cell>
          <cell r="K1079" t="str">
            <v>15</v>
          </cell>
          <cell r="L1079" t="str">
            <v>1770</v>
          </cell>
          <cell r="M1079" t="str">
            <v>AVE4</v>
          </cell>
          <cell r="O1079" t="str">
            <v>Full no Cord</v>
          </cell>
          <cell r="P1079" t="str">
            <v>TEFC</v>
          </cell>
          <cell r="R1079" t="str">
            <v>Continuous</v>
          </cell>
          <cell r="T1079" t="str">
            <v>NONE  NO KEY</v>
          </cell>
          <cell r="U1079" t="str">
            <v>40</v>
          </cell>
          <cell r="V1079" t="str">
            <v>3</v>
          </cell>
          <cell r="W1079" t="str">
            <v>60</v>
          </cell>
          <cell r="X1079" t="str">
            <v>460</v>
          </cell>
          <cell r="Y1079" t="str">
            <v>19.0</v>
          </cell>
          <cell r="AA1079" t="str">
            <v>Vertical</v>
          </cell>
          <cell r="AD1079" t="str">
            <v>0</v>
          </cell>
          <cell r="AG1079" t="str">
            <v>HP</v>
          </cell>
          <cell r="AI1079" t="str">
            <v>7310</v>
          </cell>
          <cell r="AJ1079" t="str">
            <v>6210</v>
          </cell>
          <cell r="AO1079" t="str">
            <v>B</v>
          </cell>
          <cell r="AR1079" t="str">
            <v>82.0</v>
          </cell>
          <cell r="AS1079" t="str">
            <v>1.15</v>
          </cell>
          <cell r="AT1079" t="str">
            <v>91.7</v>
          </cell>
          <cell r="AV1079" t="b">
            <v>0</v>
          </cell>
          <cell r="EX1079" t="str">
            <v>G47439VD1UD600394F</v>
          </cell>
          <cell r="HD1079" t="str">
            <v>Repair Shop</v>
          </cell>
          <cell r="HT1079" t="b">
            <v>0</v>
          </cell>
          <cell r="HU1079" t="str">
            <v>CITY OF VALLEJO WATER TREATMENT</v>
          </cell>
        </row>
        <row r="1080">
          <cell r="A1080">
            <v>1679</v>
          </cell>
          <cell r="B1080" t="str">
            <v>VEM0623</v>
          </cell>
          <cell r="D1080" t="str">
            <v>C&amp;H</v>
          </cell>
          <cell r="F1080" t="str">
            <v>Westinghouse</v>
          </cell>
          <cell r="G1080" t="str">
            <v>TBFC</v>
          </cell>
          <cell r="H1080" t="str">
            <v>7510R</v>
          </cell>
          <cell r="I1080" t="str">
            <v>215TZ</v>
          </cell>
          <cell r="K1080" t="str">
            <v>10</v>
          </cell>
          <cell r="L1080" t="str">
            <v>1745</v>
          </cell>
          <cell r="O1080" t="str">
            <v>None</v>
          </cell>
          <cell r="P1080" t="str">
            <v>TEFC</v>
          </cell>
          <cell r="R1080" t="str">
            <v>Continuous</v>
          </cell>
          <cell r="S1080" t="str">
            <v>No</v>
          </cell>
          <cell r="T1080" t="str">
            <v>NONE NO KEY</v>
          </cell>
          <cell r="U1080" t="str">
            <v>40C</v>
          </cell>
          <cell r="V1080" t="str">
            <v>3</v>
          </cell>
          <cell r="W1080" t="str">
            <v>60</v>
          </cell>
          <cell r="X1080" t="str">
            <v>230/460</v>
          </cell>
          <cell r="Y1080" t="str">
            <v>26.4/13.2</v>
          </cell>
          <cell r="AA1080" t="str">
            <v>F1</v>
          </cell>
          <cell r="AD1080" t="str">
            <v>-1</v>
          </cell>
          <cell r="AG1080" t="str">
            <v>HP</v>
          </cell>
          <cell r="AI1080" t="str">
            <v>35BC02JPP3</v>
          </cell>
          <cell r="AJ1080" t="str">
            <v>30BC02JPP3</v>
          </cell>
          <cell r="AO1080" t="str">
            <v>B</v>
          </cell>
          <cell r="AP1080" t="str">
            <v>H</v>
          </cell>
          <cell r="AQ1080" t="str">
            <v>B</v>
          </cell>
          <cell r="AS1080" t="str">
            <v>1.0</v>
          </cell>
          <cell r="AV1080" t="b">
            <v>0</v>
          </cell>
          <cell r="BY1080" t="str">
            <v>25.6</v>
          </cell>
          <cell r="BZ1080" t="str">
            <v>1750</v>
          </cell>
          <cell r="CC1080" t="str">
            <v>68</v>
          </cell>
          <cell r="CE1080" t="str">
            <v>10</v>
          </cell>
          <cell r="EY1080" t="str">
            <v>773B846G25</v>
          </cell>
          <cell r="HD1080" t="str">
            <v>Repair Shop</v>
          </cell>
          <cell r="HT1080" t="b">
            <v>0</v>
          </cell>
          <cell r="HU1080" t="str">
            <v>C &amp; H SUGAR CO.</v>
          </cell>
        </row>
        <row r="1081">
          <cell r="A1081">
            <v>1678</v>
          </cell>
          <cell r="B1081" t="str">
            <v>VEM0622</v>
          </cell>
          <cell r="D1081" t="str">
            <v>VALERO</v>
          </cell>
          <cell r="F1081" t="str">
            <v>BALDOR RELIANCE</v>
          </cell>
          <cell r="G1081" t="str">
            <v>B517680</v>
          </cell>
          <cell r="I1081" t="str">
            <v>324T</v>
          </cell>
          <cell r="K1081" t="str">
            <v>40</v>
          </cell>
          <cell r="L1081" t="str">
            <v>17756</v>
          </cell>
          <cell r="M1081" t="str">
            <v>P</v>
          </cell>
          <cell r="N1081" t="str">
            <v>688</v>
          </cell>
          <cell r="O1081" t="str">
            <v>None</v>
          </cell>
          <cell r="P1081" t="str">
            <v>TEFC</v>
          </cell>
          <cell r="R1081" t="str">
            <v>Continuous</v>
          </cell>
          <cell r="S1081" t="str">
            <v>Yes</v>
          </cell>
          <cell r="T1081" t="str">
            <v>NIONE NO KEY</v>
          </cell>
          <cell r="U1081" t="str">
            <v>40</v>
          </cell>
          <cell r="V1081" t="str">
            <v>3</v>
          </cell>
          <cell r="W1081" t="str">
            <v>60</v>
          </cell>
          <cell r="X1081" t="str">
            <v>460</v>
          </cell>
          <cell r="Y1081" t="str">
            <v>47.7</v>
          </cell>
          <cell r="AA1081" t="str">
            <v>F1</v>
          </cell>
          <cell r="AD1081" t="str">
            <v>0</v>
          </cell>
          <cell r="AG1081" t="str">
            <v>HP</v>
          </cell>
          <cell r="AO1081" t="str">
            <v>B</v>
          </cell>
          <cell r="AP1081" t="str">
            <v>G</v>
          </cell>
          <cell r="AV1081" t="b">
            <v>0</v>
          </cell>
          <cell r="GK1081" t="str">
            <v>3 LEADS ONLY</v>
          </cell>
          <cell r="HD1081" t="str">
            <v>Repair Shop</v>
          </cell>
          <cell r="HT1081" t="b">
            <v>0</v>
          </cell>
          <cell r="HU1081" t="str">
            <v>VALERO REFINING CO. BENICIA</v>
          </cell>
        </row>
        <row r="1082">
          <cell r="A1082">
            <v>1677</v>
          </cell>
          <cell r="B1082" t="str">
            <v>VEM0621</v>
          </cell>
          <cell r="D1082" t="str">
            <v>MATHESON</v>
          </cell>
          <cell r="AG1082" t="str">
            <v>HP</v>
          </cell>
          <cell r="AV1082" t="b">
            <v>0</v>
          </cell>
          <cell r="HD1082" t="str">
            <v>Repair Shop</v>
          </cell>
          <cell r="HT1082" t="b">
            <v>0</v>
          </cell>
          <cell r="HU1082" t="str">
            <v>Matheson Tri-Gas Inc.</v>
          </cell>
        </row>
        <row r="1083">
          <cell r="A1083">
            <v>1676</v>
          </cell>
          <cell r="B1083" t="str">
            <v>VEM0620</v>
          </cell>
          <cell r="D1083" t="str">
            <v>BARRY</v>
          </cell>
          <cell r="F1083" t="str">
            <v>SPIELBERG</v>
          </cell>
          <cell r="H1083" t="str">
            <v>N63</v>
          </cell>
          <cell r="K1083" t="str">
            <v>.70</v>
          </cell>
          <cell r="L1083" t="str">
            <v>3240</v>
          </cell>
          <cell r="O1083" t="str">
            <v>Half no Cord</v>
          </cell>
          <cell r="P1083" t="str">
            <v>TEFC</v>
          </cell>
          <cell r="R1083" t="str">
            <v>Continuous</v>
          </cell>
          <cell r="T1083" t="str">
            <v>NONE NO KEY</v>
          </cell>
          <cell r="V1083" t="str">
            <v>3</v>
          </cell>
          <cell r="W1083" t="str">
            <v>60</v>
          </cell>
          <cell r="X1083" t="str">
            <v>400-480/220-280</v>
          </cell>
          <cell r="Y1083" t="str">
            <v>1.75/3.10</v>
          </cell>
          <cell r="AA1083" t="str">
            <v>Vertical</v>
          </cell>
          <cell r="AD1083" t="str">
            <v>0</v>
          </cell>
          <cell r="AG1083" t="str">
            <v>KW</v>
          </cell>
          <cell r="AQ1083" t="str">
            <v>F</v>
          </cell>
          <cell r="AV1083" t="b">
            <v>0</v>
          </cell>
          <cell r="HD1083" t="str">
            <v>Repair Shop</v>
          </cell>
          <cell r="HT1083" t="b">
            <v>0</v>
          </cell>
          <cell r="HU1083" t="str">
            <v>BARRY CALLEBAUT</v>
          </cell>
        </row>
        <row r="1084">
          <cell r="A1084">
            <v>1675</v>
          </cell>
          <cell r="B1084" t="str">
            <v>VEM0619</v>
          </cell>
          <cell r="D1084" t="str">
            <v>TURBO</v>
          </cell>
          <cell r="AG1084" t="str">
            <v>HP</v>
          </cell>
          <cell r="AV1084" t="b">
            <v>0</v>
          </cell>
          <cell r="HD1084" t="str">
            <v>Repair Shop</v>
          </cell>
          <cell r="HT1084" t="b">
            <v>0</v>
          </cell>
          <cell r="HU1084" t="str">
            <v>TURBO MACHINE</v>
          </cell>
        </row>
        <row r="1085">
          <cell r="A1085">
            <v>1674</v>
          </cell>
          <cell r="B1085" t="str">
            <v>VEM0618</v>
          </cell>
          <cell r="D1085" t="str">
            <v>CITYOFBENICIA</v>
          </cell>
          <cell r="F1085" t="str">
            <v>FLYGT</v>
          </cell>
          <cell r="H1085" t="str">
            <v>3127.095-0067</v>
          </cell>
          <cell r="K1085" t="str">
            <v>10</v>
          </cell>
          <cell r="L1085" t="str">
            <v>1720</v>
          </cell>
          <cell r="O1085" t="str">
            <v>Full w/ Cord</v>
          </cell>
          <cell r="R1085" t="str">
            <v>Continuous</v>
          </cell>
          <cell r="V1085" t="str">
            <v>3</v>
          </cell>
          <cell r="W1085" t="str">
            <v>60</v>
          </cell>
          <cell r="X1085" t="str">
            <v>230/460</v>
          </cell>
          <cell r="Y1085" t="str">
            <v>13/25</v>
          </cell>
          <cell r="AD1085" t="str">
            <v>0</v>
          </cell>
          <cell r="AG1085" t="str">
            <v>HP</v>
          </cell>
          <cell r="AQ1085" t="str">
            <v>F</v>
          </cell>
          <cell r="AV1085" t="b">
            <v>0</v>
          </cell>
          <cell r="HD1085" t="str">
            <v>Repair Shop</v>
          </cell>
          <cell r="HT1085" t="b">
            <v>0</v>
          </cell>
          <cell r="HU1085" t="str">
            <v>CITY OF BENICIA, WATER TREATMENT PLANT</v>
          </cell>
        </row>
        <row r="1086">
          <cell r="A1086">
            <v>1673</v>
          </cell>
          <cell r="B1086" t="str">
            <v>VEM0617</v>
          </cell>
          <cell r="D1086" t="str">
            <v>BENICIAWASTE</v>
          </cell>
          <cell r="F1086" t="str">
            <v>FLYGT</v>
          </cell>
          <cell r="O1086" t="str">
            <v>Half no Cord</v>
          </cell>
          <cell r="R1086" t="str">
            <v>Continuous</v>
          </cell>
          <cell r="V1086" t="str">
            <v>3</v>
          </cell>
          <cell r="W1086" t="str">
            <v>60</v>
          </cell>
          <cell r="X1086" t="str">
            <v>230/460</v>
          </cell>
          <cell r="AD1086" t="str">
            <v>0</v>
          </cell>
          <cell r="AG1086" t="str">
            <v>HP</v>
          </cell>
          <cell r="AV1086" t="b">
            <v>0</v>
          </cell>
          <cell r="GK1086" t="str">
            <v>LEADS NOT CONNECTED</v>
          </cell>
          <cell r="HD1086" t="str">
            <v>Repair Shop</v>
          </cell>
          <cell r="HT1086" t="b">
            <v>0</v>
          </cell>
          <cell r="HU1086" t="str">
            <v>CITY OF BENICIA WASTE WATER</v>
          </cell>
        </row>
        <row r="1087">
          <cell r="A1087">
            <v>1672</v>
          </cell>
          <cell r="B1087" t="str">
            <v>VEM0616</v>
          </cell>
          <cell r="D1087" t="str">
            <v>VALLEJOWATER</v>
          </cell>
          <cell r="F1087" t="str">
            <v>FLYGT</v>
          </cell>
          <cell r="H1087" t="str">
            <v>3127.090-182Z</v>
          </cell>
          <cell r="K1087" t="str">
            <v>10</v>
          </cell>
          <cell r="R1087" t="str">
            <v>Continuous</v>
          </cell>
          <cell r="U1087" t="str">
            <v>40</v>
          </cell>
          <cell r="V1087" t="str">
            <v>3</v>
          </cell>
          <cell r="W1087" t="str">
            <v>60</v>
          </cell>
          <cell r="X1087" t="str">
            <v>230/460</v>
          </cell>
          <cell r="Y1087" t="str">
            <v>13/25</v>
          </cell>
          <cell r="AA1087" t="str">
            <v>Other</v>
          </cell>
          <cell r="AD1087" t="str">
            <v>0</v>
          </cell>
          <cell r="AG1087" t="str">
            <v>HP</v>
          </cell>
          <cell r="AV1087" t="b">
            <v>0</v>
          </cell>
          <cell r="GK1087" t="str">
            <v>WITH CABLE</v>
          </cell>
          <cell r="HD1087" t="str">
            <v>Repair Shop</v>
          </cell>
          <cell r="HT1087" t="b">
            <v>0</v>
          </cell>
          <cell r="HU1087" t="str">
            <v>CITY OF VALLEJO WATER TREATMENT</v>
          </cell>
        </row>
        <row r="1088">
          <cell r="A1088">
            <v>1671</v>
          </cell>
          <cell r="B1088" t="str">
            <v>VEM0615</v>
          </cell>
          <cell r="D1088" t="str">
            <v>P66</v>
          </cell>
          <cell r="F1088" t="str">
            <v>GE</v>
          </cell>
          <cell r="H1088" t="str">
            <v>HFJ826400</v>
          </cell>
          <cell r="I1088" t="str">
            <v>B284TP12</v>
          </cell>
          <cell r="K1088" t="str">
            <v>15</v>
          </cell>
          <cell r="L1088" t="str">
            <v>1170</v>
          </cell>
          <cell r="M1088" t="str">
            <v>K</v>
          </cell>
          <cell r="O1088" t="str">
            <v>Full no Cord</v>
          </cell>
          <cell r="P1088" t="str">
            <v>TEFC</v>
          </cell>
          <cell r="R1088" t="str">
            <v>Continuous</v>
          </cell>
          <cell r="T1088" t="str">
            <v>HOLLOW SHAFT</v>
          </cell>
          <cell r="U1088" t="str">
            <v>75</v>
          </cell>
          <cell r="V1088" t="str">
            <v>3</v>
          </cell>
          <cell r="W1088" t="str">
            <v>60</v>
          </cell>
          <cell r="X1088" t="str">
            <v>230/460</v>
          </cell>
          <cell r="Y1088" t="str">
            <v>40.4/20.2</v>
          </cell>
          <cell r="AA1088" t="str">
            <v>Vertical</v>
          </cell>
          <cell r="AD1088" t="str">
            <v>0</v>
          </cell>
          <cell r="AG1088" t="str">
            <v>HP</v>
          </cell>
          <cell r="AO1088" t="str">
            <v>B</v>
          </cell>
          <cell r="AP1088" t="str">
            <v>G</v>
          </cell>
          <cell r="AS1088" t="str">
            <v>1.0</v>
          </cell>
          <cell r="AV1088" t="b">
            <v>0</v>
          </cell>
          <cell r="GK1088" t="str">
            <v>NO  RAIN COVER</v>
          </cell>
          <cell r="HD1088" t="str">
            <v>Repair Shop</v>
          </cell>
          <cell r="HT1088" t="b">
            <v>0</v>
          </cell>
          <cell r="HU1088" t="str">
            <v>PHILLIPS 66</v>
          </cell>
        </row>
        <row r="1089">
          <cell r="A1089">
            <v>1670</v>
          </cell>
          <cell r="B1089" t="str">
            <v>VEM0614</v>
          </cell>
          <cell r="D1089" t="str">
            <v>BENICIAPARK</v>
          </cell>
          <cell r="F1089" t="str">
            <v>Baldor</v>
          </cell>
          <cell r="H1089" t="str">
            <v>Z1202161031</v>
          </cell>
          <cell r="I1089" t="str">
            <v>256JM</v>
          </cell>
          <cell r="K1089" t="str">
            <v>20</v>
          </cell>
          <cell r="L1089" t="str">
            <v>1765</v>
          </cell>
          <cell r="O1089" t="str">
            <v>Half no Cord</v>
          </cell>
          <cell r="P1089" t="str">
            <v>TEFC</v>
          </cell>
          <cell r="R1089" t="str">
            <v>Continuous</v>
          </cell>
          <cell r="T1089" t="str">
            <v>BUSHING ONLY</v>
          </cell>
          <cell r="U1089" t="str">
            <v>40</v>
          </cell>
          <cell r="V1089" t="str">
            <v>3</v>
          </cell>
          <cell r="W1089" t="str">
            <v>60</v>
          </cell>
          <cell r="X1089" t="str">
            <v>230/460</v>
          </cell>
          <cell r="Y1089" t="str">
            <v>47/23.5</v>
          </cell>
          <cell r="AA1089" t="str">
            <v>F1</v>
          </cell>
          <cell r="AG1089" t="str">
            <v>HP</v>
          </cell>
          <cell r="AJ1089" t="str">
            <v>6208</v>
          </cell>
          <cell r="AO1089" t="str">
            <v>B</v>
          </cell>
          <cell r="AP1089" t="str">
            <v>H</v>
          </cell>
          <cell r="AQ1089" t="str">
            <v>F</v>
          </cell>
          <cell r="AR1089" t="str">
            <v>86</v>
          </cell>
          <cell r="AS1089" t="str">
            <v>1.15</v>
          </cell>
          <cell r="AT1089" t="str">
            <v>93</v>
          </cell>
          <cell r="AU1089" t="str">
            <v>39KO62W915G1</v>
          </cell>
          <cell r="AV1089" t="b">
            <v>0</v>
          </cell>
          <cell r="EW1089" t="str">
            <v>EJMM2515T</v>
          </cell>
          <cell r="HD1089" t="str">
            <v>Repair Shop</v>
          </cell>
          <cell r="HT1089" t="b">
            <v>0</v>
          </cell>
          <cell r="HU1089" t="str">
            <v>CITY OF BENICIA PARKS &amp; RECREATION</v>
          </cell>
        </row>
        <row r="1090">
          <cell r="A1090">
            <v>1669</v>
          </cell>
          <cell r="B1090" t="str">
            <v>VEM0613</v>
          </cell>
          <cell r="D1090" t="str">
            <v>BENICIAPARK</v>
          </cell>
          <cell r="AD1090" t="str">
            <v>0</v>
          </cell>
          <cell r="AG1090" t="str">
            <v>HP</v>
          </cell>
          <cell r="AV1090" t="b">
            <v>0</v>
          </cell>
          <cell r="HD1090" t="str">
            <v>Repair Shop</v>
          </cell>
          <cell r="HT1090" t="b">
            <v>0</v>
          </cell>
          <cell r="HU1090" t="str">
            <v>CITY OF BENICIA PARKS &amp; RECREATION</v>
          </cell>
        </row>
        <row r="1091">
          <cell r="A1091">
            <v>1668</v>
          </cell>
          <cell r="B1091" t="str">
            <v>VEM0612</v>
          </cell>
          <cell r="D1091" t="str">
            <v>TRADEWINDS</v>
          </cell>
          <cell r="F1091" t="str">
            <v>GOULDS PUMP</v>
          </cell>
          <cell r="G1091" t="str">
            <v>WS0512BF</v>
          </cell>
          <cell r="K1091" t="str">
            <v>1/2</v>
          </cell>
          <cell r="L1091" t="str">
            <v>1725</v>
          </cell>
          <cell r="R1091" t="str">
            <v>Continuous</v>
          </cell>
          <cell r="V1091" t="str">
            <v>1</v>
          </cell>
          <cell r="X1091" t="str">
            <v>230</v>
          </cell>
          <cell r="Y1091" t="str">
            <v>7.3</v>
          </cell>
          <cell r="AD1091" t="str">
            <v>0</v>
          </cell>
          <cell r="AG1091" t="str">
            <v>HP</v>
          </cell>
          <cell r="AV1091" t="b">
            <v>0</v>
          </cell>
          <cell r="HD1091" t="str">
            <v>Repair Shop</v>
          </cell>
          <cell r="HT1091" t="b">
            <v>0</v>
          </cell>
          <cell r="HU1091" t="str">
            <v>TRADEWINDS</v>
          </cell>
        </row>
        <row r="1092">
          <cell r="A1092">
            <v>1667</v>
          </cell>
          <cell r="B1092" t="str">
            <v>VEM0611</v>
          </cell>
          <cell r="D1092" t="str">
            <v>BENICIAWASTE</v>
          </cell>
          <cell r="F1092" t="str">
            <v>US Motors</v>
          </cell>
          <cell r="I1092" t="str">
            <v>284T</v>
          </cell>
          <cell r="K1092" t="str">
            <v>15</v>
          </cell>
          <cell r="L1092" t="str">
            <v>1770</v>
          </cell>
          <cell r="M1092" t="str">
            <v>R</v>
          </cell>
          <cell r="O1092" t="str">
            <v>Half no Cord</v>
          </cell>
          <cell r="P1092" t="str">
            <v>ODP</v>
          </cell>
          <cell r="Q1092" t="str">
            <v>Yes</v>
          </cell>
          <cell r="R1092" t="str">
            <v>Continuous</v>
          </cell>
          <cell r="S1092" t="str">
            <v>Yes</v>
          </cell>
          <cell r="U1092" t="str">
            <v>40</v>
          </cell>
          <cell r="V1092" t="str">
            <v>3</v>
          </cell>
          <cell r="W1092" t="str">
            <v>60</v>
          </cell>
          <cell r="Y1092" t="str">
            <v>37/18.5</v>
          </cell>
          <cell r="AA1092" t="str">
            <v>F1</v>
          </cell>
          <cell r="AD1092" t="str">
            <v>0</v>
          </cell>
          <cell r="AG1092" t="str">
            <v>HP</v>
          </cell>
          <cell r="AI1092" t="str">
            <v>6310</v>
          </cell>
          <cell r="AJ1092" t="str">
            <v>6210</v>
          </cell>
          <cell r="AO1092" t="str">
            <v>B</v>
          </cell>
          <cell r="AQ1092" t="str">
            <v>F</v>
          </cell>
          <cell r="AS1092" t="str">
            <v>1.25</v>
          </cell>
          <cell r="AV1092" t="b">
            <v>0</v>
          </cell>
          <cell r="EX1092" t="str">
            <v>9905195-737   D2430252</v>
          </cell>
          <cell r="HD1092" t="str">
            <v>Repair Shop</v>
          </cell>
          <cell r="HT1092" t="b">
            <v>0</v>
          </cell>
          <cell r="HU1092" t="str">
            <v>CITY OF BENICIA WASTE WATER</v>
          </cell>
        </row>
        <row r="1093">
          <cell r="A1093">
            <v>1666</v>
          </cell>
          <cell r="B1093" t="str">
            <v>VEM0610</v>
          </cell>
          <cell r="D1093" t="str">
            <v>BENICIAWASTE</v>
          </cell>
          <cell r="F1093" t="str">
            <v>US Motors</v>
          </cell>
          <cell r="I1093" t="str">
            <v>284T</v>
          </cell>
          <cell r="K1093" t="str">
            <v>15</v>
          </cell>
          <cell r="M1093" t="str">
            <v>R</v>
          </cell>
          <cell r="O1093" t="str">
            <v>Half no Cord</v>
          </cell>
          <cell r="P1093" t="str">
            <v>ODP</v>
          </cell>
          <cell r="Q1093" t="str">
            <v>Yes</v>
          </cell>
          <cell r="R1093" t="str">
            <v>Continuous</v>
          </cell>
          <cell r="U1093" t="str">
            <v>40</v>
          </cell>
          <cell r="V1093" t="str">
            <v>3</v>
          </cell>
          <cell r="W1093" t="str">
            <v>60</v>
          </cell>
          <cell r="X1093" t="str">
            <v>230/460</v>
          </cell>
          <cell r="Y1093" t="str">
            <v>37/18.5</v>
          </cell>
          <cell r="AA1093" t="str">
            <v>F1</v>
          </cell>
          <cell r="AD1093" t="str">
            <v>0</v>
          </cell>
          <cell r="AG1093" t="str">
            <v>HP</v>
          </cell>
          <cell r="AI1093" t="str">
            <v>6310</v>
          </cell>
          <cell r="AJ1093" t="str">
            <v>6210</v>
          </cell>
          <cell r="AO1093" t="str">
            <v>B</v>
          </cell>
          <cell r="AQ1093" t="str">
            <v>F</v>
          </cell>
          <cell r="AV1093" t="b">
            <v>0</v>
          </cell>
          <cell r="EX1093" t="str">
            <v>9905195-737 D2430 252</v>
          </cell>
          <cell r="GK1093" t="str">
            <v>3 LEADS ONLY</v>
          </cell>
          <cell r="HD1093" t="str">
            <v>Repair Shop</v>
          </cell>
          <cell r="HT1093" t="b">
            <v>0</v>
          </cell>
          <cell r="HU1093" t="str">
            <v>CITY OF BENICIA WASTE WATER</v>
          </cell>
        </row>
        <row r="1094">
          <cell r="A1094">
            <v>1665</v>
          </cell>
          <cell r="B1094" t="str">
            <v>VEM0609</v>
          </cell>
          <cell r="D1094" t="str">
            <v>CITYOFBENICIA</v>
          </cell>
          <cell r="AG1094" t="str">
            <v>HP</v>
          </cell>
          <cell r="AV1094" t="b">
            <v>0</v>
          </cell>
          <cell r="HD1094" t="str">
            <v>Repair Shop</v>
          </cell>
          <cell r="HT1094" t="b">
            <v>0</v>
          </cell>
          <cell r="HU1094" t="str">
            <v>CITY OF BENICIA, WATER TREATMENT PLANT</v>
          </cell>
        </row>
        <row r="1095">
          <cell r="A1095">
            <v>1664</v>
          </cell>
          <cell r="B1095" t="str">
            <v>VEM0608</v>
          </cell>
          <cell r="D1095" t="str">
            <v>MMS</v>
          </cell>
          <cell r="AD1095" t="str">
            <v>0</v>
          </cell>
          <cell r="AG1095" t="str">
            <v>HP</v>
          </cell>
          <cell r="AV1095" t="b">
            <v>0</v>
          </cell>
          <cell r="HD1095" t="str">
            <v>Repair Shop</v>
          </cell>
          <cell r="HT1095" t="b">
            <v>0</v>
          </cell>
          <cell r="HU1095" t="str">
            <v>MANUFACTURING  MACHINERY SERVICE</v>
          </cell>
        </row>
        <row r="1096">
          <cell r="A1096">
            <v>1663</v>
          </cell>
          <cell r="B1096" t="str">
            <v>VEM0607</v>
          </cell>
          <cell r="D1096" t="str">
            <v>VALERO</v>
          </cell>
          <cell r="F1096" t="str">
            <v>Siemens</v>
          </cell>
          <cell r="H1096" t="str">
            <v>ORD NO.  1LA02864SE41</v>
          </cell>
          <cell r="I1096" t="str">
            <v>286T</v>
          </cell>
          <cell r="K1096" t="str">
            <v>30</v>
          </cell>
          <cell r="L1096" t="str">
            <v>1765</v>
          </cell>
          <cell r="M1096" t="str">
            <v>RGZESD</v>
          </cell>
          <cell r="O1096" t="str">
            <v>None</v>
          </cell>
          <cell r="P1096" t="str">
            <v>TEFC</v>
          </cell>
          <cell r="Q1096" t="str">
            <v>Yes</v>
          </cell>
          <cell r="R1096" t="str">
            <v>Continuous</v>
          </cell>
          <cell r="S1096" t="str">
            <v>Yes</v>
          </cell>
          <cell r="U1096" t="str">
            <v>40</v>
          </cell>
          <cell r="V1096" t="str">
            <v>3</v>
          </cell>
          <cell r="W1096" t="str">
            <v>60</v>
          </cell>
          <cell r="X1096" t="str">
            <v>460</v>
          </cell>
          <cell r="Y1096" t="str">
            <v>34.9</v>
          </cell>
          <cell r="AA1096" t="str">
            <v>F1</v>
          </cell>
          <cell r="AD1096" t="str">
            <v>0</v>
          </cell>
          <cell r="AG1096" t="str">
            <v>HP</v>
          </cell>
          <cell r="AO1096" t="str">
            <v>B</v>
          </cell>
          <cell r="AP1096" t="str">
            <v>G</v>
          </cell>
          <cell r="AQ1096" t="str">
            <v>F</v>
          </cell>
          <cell r="AS1096" t="str">
            <v>1.15</v>
          </cell>
          <cell r="AT1096" t="str">
            <v>93.6</v>
          </cell>
          <cell r="AV1096" t="b">
            <v>0</v>
          </cell>
          <cell r="HD1096" t="str">
            <v>Repair Shop</v>
          </cell>
          <cell r="HT1096" t="b">
            <v>0</v>
          </cell>
          <cell r="HU1096" t="str">
            <v>VALERO REFINING CO. BENICIA</v>
          </cell>
        </row>
        <row r="1097">
          <cell r="A1097">
            <v>1662</v>
          </cell>
          <cell r="B1097" t="str">
            <v>VEM0606</v>
          </cell>
          <cell r="D1097" t="str">
            <v>VALERO</v>
          </cell>
          <cell r="F1097" t="str">
            <v>Siemens</v>
          </cell>
          <cell r="H1097" t="str">
            <v>003T051IJJ  12</v>
          </cell>
          <cell r="I1097" t="str">
            <v>286T</v>
          </cell>
          <cell r="K1097" t="str">
            <v>30</v>
          </cell>
          <cell r="L1097" t="str">
            <v>1765</v>
          </cell>
          <cell r="M1097" t="str">
            <v>RGZESDX</v>
          </cell>
          <cell r="N1097" t="str">
            <v>420</v>
          </cell>
          <cell r="O1097" t="str">
            <v>None</v>
          </cell>
          <cell r="P1097" t="str">
            <v>TEFC</v>
          </cell>
          <cell r="R1097" t="str">
            <v>Continuous</v>
          </cell>
          <cell r="S1097" t="str">
            <v>Yes</v>
          </cell>
          <cell r="T1097" t="str">
            <v>NONE NO KEY</v>
          </cell>
          <cell r="U1097" t="str">
            <v>40</v>
          </cell>
          <cell r="V1097" t="str">
            <v>3</v>
          </cell>
          <cell r="W1097" t="str">
            <v>60</v>
          </cell>
          <cell r="X1097" t="str">
            <v>460</v>
          </cell>
          <cell r="Y1097" t="str">
            <v>35.0</v>
          </cell>
          <cell r="AA1097" t="str">
            <v>F1</v>
          </cell>
          <cell r="AD1097" t="str">
            <v>0</v>
          </cell>
          <cell r="AG1097" t="str">
            <v>HP</v>
          </cell>
          <cell r="AO1097" t="str">
            <v>B</v>
          </cell>
          <cell r="AP1097" t="str">
            <v>G</v>
          </cell>
          <cell r="AQ1097" t="str">
            <v>F</v>
          </cell>
          <cell r="AS1097" t="str">
            <v>1.15</v>
          </cell>
          <cell r="AT1097" t="str">
            <v>93.0</v>
          </cell>
          <cell r="AV1097" t="b">
            <v>0</v>
          </cell>
          <cell r="HD1097" t="str">
            <v>Repair Shop</v>
          </cell>
          <cell r="HT1097" t="b">
            <v>0</v>
          </cell>
          <cell r="HU1097" t="str">
            <v>VALERO REFINING CO. BENICIA</v>
          </cell>
        </row>
        <row r="1098">
          <cell r="A1098">
            <v>1661</v>
          </cell>
          <cell r="B1098" t="str">
            <v>VEM0605</v>
          </cell>
          <cell r="D1098" t="str">
            <v>VALERO</v>
          </cell>
          <cell r="F1098" t="str">
            <v>BALDOR   RELIANCE</v>
          </cell>
          <cell r="H1098" t="str">
            <v>C1604061017</v>
          </cell>
          <cell r="I1098" t="str">
            <v>286T</v>
          </cell>
          <cell r="K1098" t="str">
            <v>30</v>
          </cell>
          <cell r="L1098" t="str">
            <v>1770</v>
          </cell>
          <cell r="N1098" t="str">
            <v>475</v>
          </cell>
          <cell r="O1098" t="str">
            <v>Full no Cord</v>
          </cell>
          <cell r="R1098" t="str">
            <v>Continuous</v>
          </cell>
          <cell r="S1098" t="str">
            <v>Yes</v>
          </cell>
          <cell r="T1098" t="str">
            <v>NONE NO KEY</v>
          </cell>
          <cell r="U1098" t="str">
            <v>40</v>
          </cell>
          <cell r="V1098" t="str">
            <v>3</v>
          </cell>
          <cell r="W1098" t="str">
            <v>60</v>
          </cell>
          <cell r="X1098" t="str">
            <v>230/460</v>
          </cell>
          <cell r="AA1098" t="str">
            <v>F1</v>
          </cell>
          <cell r="AD1098" t="str">
            <v>0</v>
          </cell>
          <cell r="AG1098" t="str">
            <v>HP</v>
          </cell>
          <cell r="AI1098" t="str">
            <v>6311</v>
          </cell>
          <cell r="AJ1098" t="str">
            <v>6311</v>
          </cell>
          <cell r="AO1098" t="str">
            <v>A</v>
          </cell>
          <cell r="AP1098" t="str">
            <v>H</v>
          </cell>
          <cell r="AR1098" t="str">
            <v>83</v>
          </cell>
          <cell r="AS1098" t="str">
            <v>1.15</v>
          </cell>
          <cell r="AT1098" t="str">
            <v>93.6</v>
          </cell>
          <cell r="AV1098" t="b">
            <v>0</v>
          </cell>
          <cell r="EW1098" t="str">
            <v>ECP4104T</v>
          </cell>
          <cell r="HD1098" t="str">
            <v>Repair Shop</v>
          </cell>
          <cell r="HT1098" t="b">
            <v>0</v>
          </cell>
          <cell r="HU1098" t="str">
            <v>VALERO REFINING CO. BENICIA</v>
          </cell>
        </row>
        <row r="1099">
          <cell r="A1099">
            <v>1660</v>
          </cell>
          <cell r="B1099" t="str">
            <v>VEM0604</v>
          </cell>
          <cell r="D1099" t="str">
            <v>VALERO</v>
          </cell>
          <cell r="F1099" t="str">
            <v>RELIANCE -BALDOR</v>
          </cell>
          <cell r="I1099" t="str">
            <v>324T</v>
          </cell>
          <cell r="K1099" t="str">
            <v>40</v>
          </cell>
          <cell r="L1099" t="str">
            <v>1800</v>
          </cell>
          <cell r="M1099" t="str">
            <v>P</v>
          </cell>
          <cell r="N1099" t="str">
            <v>690</v>
          </cell>
          <cell r="O1099" t="str">
            <v>None</v>
          </cell>
          <cell r="P1099" t="str">
            <v>TEFC</v>
          </cell>
          <cell r="R1099" t="str">
            <v>Continuous</v>
          </cell>
          <cell r="S1099" t="str">
            <v>Yes</v>
          </cell>
          <cell r="T1099" t="str">
            <v>NONE NO KEY</v>
          </cell>
          <cell r="U1099" t="str">
            <v>40</v>
          </cell>
          <cell r="V1099" t="str">
            <v>3</v>
          </cell>
          <cell r="W1099" t="str">
            <v>60</v>
          </cell>
          <cell r="X1099" t="str">
            <v>460</v>
          </cell>
          <cell r="Y1099" t="str">
            <v>47.7</v>
          </cell>
          <cell r="AA1099" t="str">
            <v>F1</v>
          </cell>
          <cell r="AD1099" t="str">
            <v>0</v>
          </cell>
          <cell r="AG1099" t="str">
            <v>HP</v>
          </cell>
          <cell r="AI1099" t="str">
            <v>NU 311</v>
          </cell>
          <cell r="AO1099" t="str">
            <v>B</v>
          </cell>
          <cell r="AQ1099" t="str">
            <v>F</v>
          </cell>
          <cell r="AS1099" t="str">
            <v>1.0</v>
          </cell>
          <cell r="AV1099" t="b">
            <v>0</v>
          </cell>
          <cell r="HD1099" t="str">
            <v>Repair Shop</v>
          </cell>
          <cell r="HT1099" t="b">
            <v>0</v>
          </cell>
          <cell r="HU1099" t="str">
            <v>VALERO REFINING CO. BENICIA</v>
          </cell>
        </row>
        <row r="1100">
          <cell r="A1100">
            <v>1659</v>
          </cell>
          <cell r="B1100" t="str">
            <v>VEM0603</v>
          </cell>
          <cell r="D1100" t="str">
            <v>VALERO</v>
          </cell>
          <cell r="F1100" t="str">
            <v>BALDOR RELIANCE</v>
          </cell>
          <cell r="G1100" t="str">
            <v>B517680</v>
          </cell>
          <cell r="H1100" t="str">
            <v>B517680-010 L004JM</v>
          </cell>
          <cell r="I1100" t="str">
            <v>324T</v>
          </cell>
          <cell r="K1100" t="str">
            <v>40</v>
          </cell>
          <cell r="L1100" t="str">
            <v>1775</v>
          </cell>
          <cell r="M1100" t="str">
            <v>P</v>
          </cell>
          <cell r="N1100" t="str">
            <v>688</v>
          </cell>
          <cell r="O1100" t="str">
            <v>None</v>
          </cell>
          <cell r="P1100" t="str">
            <v>TEFC</v>
          </cell>
          <cell r="R1100" t="str">
            <v>Continuous</v>
          </cell>
          <cell r="S1100" t="str">
            <v>Yes</v>
          </cell>
          <cell r="T1100" t="str">
            <v>NONE NO KEY</v>
          </cell>
          <cell r="U1100" t="str">
            <v>40</v>
          </cell>
          <cell r="V1100" t="str">
            <v>3</v>
          </cell>
          <cell r="W1100" t="str">
            <v>60</v>
          </cell>
          <cell r="X1100" t="str">
            <v>460</v>
          </cell>
          <cell r="Y1100" t="str">
            <v>47.7</v>
          </cell>
          <cell r="AA1100" t="str">
            <v>F1</v>
          </cell>
          <cell r="AD1100" t="str">
            <v>0</v>
          </cell>
          <cell r="AG1100" t="str">
            <v>HP</v>
          </cell>
          <cell r="AO1100" t="str">
            <v>B</v>
          </cell>
          <cell r="AP1100" t="str">
            <v>G</v>
          </cell>
          <cell r="AQ1100" t="str">
            <v>F</v>
          </cell>
          <cell r="AS1100" t="str">
            <v>1.0</v>
          </cell>
          <cell r="AV1100" t="b">
            <v>0</v>
          </cell>
          <cell r="HD1100" t="str">
            <v>Repair Shop</v>
          </cell>
          <cell r="HT1100" t="b">
            <v>0</v>
          </cell>
          <cell r="HU1100" t="str">
            <v>VALERO REFINING CO. BENICIA</v>
          </cell>
        </row>
        <row r="1101">
          <cell r="A1101">
            <v>1658</v>
          </cell>
          <cell r="B1101" t="str">
            <v>VEM0602</v>
          </cell>
          <cell r="D1101" t="str">
            <v>VALERO</v>
          </cell>
          <cell r="F1101" t="str">
            <v>Reliance</v>
          </cell>
          <cell r="I1101" t="str">
            <v>284T</v>
          </cell>
          <cell r="K1101" t="str">
            <v>25</v>
          </cell>
          <cell r="L1101" t="str">
            <v>1770</v>
          </cell>
          <cell r="O1101" t="str">
            <v>None</v>
          </cell>
          <cell r="P1101" t="str">
            <v>TEFC</v>
          </cell>
          <cell r="R1101" t="str">
            <v>Continuous</v>
          </cell>
          <cell r="S1101" t="str">
            <v>Yes</v>
          </cell>
          <cell r="T1101" t="str">
            <v>NONE NO KEY</v>
          </cell>
          <cell r="U1101" t="str">
            <v>40</v>
          </cell>
          <cell r="V1101" t="str">
            <v>3</v>
          </cell>
          <cell r="W1101" t="str">
            <v>60</v>
          </cell>
          <cell r="X1101" t="str">
            <v>460</v>
          </cell>
          <cell r="Y1101" t="str">
            <v>30.5</v>
          </cell>
          <cell r="AA1101" t="str">
            <v>F1</v>
          </cell>
          <cell r="AD1101" t="str">
            <v>0</v>
          </cell>
          <cell r="AG1101" t="str">
            <v>HP</v>
          </cell>
          <cell r="AO1101" t="str">
            <v>B</v>
          </cell>
          <cell r="AP1101" t="str">
            <v>G</v>
          </cell>
          <cell r="AQ1101" t="str">
            <v>F</v>
          </cell>
          <cell r="AR1101" t="str">
            <v>82.7</v>
          </cell>
          <cell r="AS1101" t="str">
            <v>1.15</v>
          </cell>
          <cell r="AT1101" t="str">
            <v>93.0</v>
          </cell>
          <cell r="AV1101" t="b">
            <v>0</v>
          </cell>
          <cell r="EX1101" t="str">
            <v>P28G3313G-G2VK</v>
          </cell>
          <cell r="HD1101" t="str">
            <v>Repair Shop</v>
          </cell>
          <cell r="HT1101" t="b">
            <v>0</v>
          </cell>
          <cell r="HU1101" t="str">
            <v>VALERO REFINING CO. BENICIA</v>
          </cell>
        </row>
        <row r="1102">
          <cell r="A1102">
            <v>1657</v>
          </cell>
          <cell r="B1102" t="str">
            <v>VEM0601</v>
          </cell>
          <cell r="D1102" t="str">
            <v>P66</v>
          </cell>
          <cell r="F1102" t="str">
            <v>General Electric</v>
          </cell>
          <cell r="G1102" t="str">
            <v>5K405XBM216</v>
          </cell>
          <cell r="H1102" t="str">
            <v>EFJ520126</v>
          </cell>
          <cell r="I1102" t="str">
            <v>405TS</v>
          </cell>
          <cell r="K1102" t="str">
            <v>100</v>
          </cell>
          <cell r="L1102" t="str">
            <v>1780</v>
          </cell>
          <cell r="M1102" t="str">
            <v>k</v>
          </cell>
          <cell r="O1102" t="str">
            <v>Full no Cord</v>
          </cell>
          <cell r="P1102" t="str">
            <v>TEFC</v>
          </cell>
          <cell r="Q1102" t="str">
            <v>No</v>
          </cell>
          <cell r="R1102" t="str">
            <v>Continuous</v>
          </cell>
          <cell r="S1102" t="str">
            <v>Yes</v>
          </cell>
          <cell r="T1102" t="str">
            <v>YES</v>
          </cell>
          <cell r="U1102" t="str">
            <v>40C</v>
          </cell>
          <cell r="V1102" t="str">
            <v>3</v>
          </cell>
          <cell r="W1102" t="str">
            <v>60</v>
          </cell>
          <cell r="X1102" t="str">
            <v>230/460</v>
          </cell>
          <cell r="Z1102" t="str">
            <v>NO</v>
          </cell>
          <cell r="AA1102" t="str">
            <v>F1</v>
          </cell>
          <cell r="AG1102" t="str">
            <v>HP</v>
          </cell>
          <cell r="AO1102" t="str">
            <v>B</v>
          </cell>
          <cell r="AP1102" t="str">
            <v>G</v>
          </cell>
          <cell r="AQ1102" t="str">
            <v>B</v>
          </cell>
          <cell r="AS1102" t="str">
            <v>1.0</v>
          </cell>
          <cell r="AV1102" t="b">
            <v>0</v>
          </cell>
          <cell r="AW1102" t="str">
            <v>240/120</v>
          </cell>
          <cell r="AX1102" t="str">
            <v>4</v>
          </cell>
          <cell r="HD1102" t="str">
            <v>Repair Shop</v>
          </cell>
          <cell r="HT1102" t="b">
            <v>0</v>
          </cell>
          <cell r="HU1102" t="str">
            <v>PHILLIPS 66</v>
          </cell>
        </row>
        <row r="1103">
          <cell r="A1103">
            <v>1656</v>
          </cell>
          <cell r="B1103" t="str">
            <v>VEM0600</v>
          </cell>
          <cell r="D1103" t="str">
            <v>P66</v>
          </cell>
          <cell r="F1103" t="str">
            <v>US Motors</v>
          </cell>
          <cell r="G1103" t="str">
            <v>BJ68</v>
          </cell>
          <cell r="I1103" t="str">
            <v>254T</v>
          </cell>
          <cell r="K1103" t="str">
            <v>15</v>
          </cell>
          <cell r="L1103" t="str">
            <v>1775</v>
          </cell>
          <cell r="M1103" t="str">
            <v>P</v>
          </cell>
          <cell r="N1103" t="str">
            <v>300</v>
          </cell>
          <cell r="O1103" t="str">
            <v>Full no Cord</v>
          </cell>
          <cell r="P1103" t="str">
            <v>TEFC</v>
          </cell>
          <cell r="R1103" t="str">
            <v>Continuous</v>
          </cell>
          <cell r="S1103" t="str">
            <v>Yes</v>
          </cell>
          <cell r="T1103" t="str">
            <v>NONE NO KEY</v>
          </cell>
          <cell r="U1103" t="str">
            <v>40</v>
          </cell>
          <cell r="V1103" t="str">
            <v>3</v>
          </cell>
          <cell r="W1103" t="str">
            <v>60</v>
          </cell>
          <cell r="X1103" t="str">
            <v>460</v>
          </cell>
          <cell r="Y1103" t="str">
            <v>18.3</v>
          </cell>
          <cell r="AA1103" t="str">
            <v>F1</v>
          </cell>
          <cell r="AD1103" t="str">
            <v>0</v>
          </cell>
          <cell r="AG1103" t="str">
            <v>HP</v>
          </cell>
          <cell r="AO1103" t="str">
            <v>B</v>
          </cell>
          <cell r="AQ1103" t="str">
            <v>F</v>
          </cell>
          <cell r="AS1103" t="str">
            <v>1.15</v>
          </cell>
          <cell r="AV1103" t="b">
            <v>0</v>
          </cell>
          <cell r="HD1103" t="str">
            <v>Repair Shop</v>
          </cell>
          <cell r="HT1103" t="b">
            <v>0</v>
          </cell>
          <cell r="HU1103" t="str">
            <v>PHILLIPS 66</v>
          </cell>
        </row>
        <row r="1104">
          <cell r="A1104">
            <v>1655</v>
          </cell>
          <cell r="B1104" t="str">
            <v>VEM0599</v>
          </cell>
          <cell r="D1104" t="str">
            <v>P66</v>
          </cell>
          <cell r="F1104" t="str">
            <v>Siemens</v>
          </cell>
          <cell r="G1104" t="str">
            <v>055</v>
          </cell>
          <cell r="H1104" t="str">
            <v>0RD#51-386-315</v>
          </cell>
          <cell r="I1104" t="str">
            <v>254T</v>
          </cell>
          <cell r="K1104" t="str">
            <v>15</v>
          </cell>
          <cell r="L1104" t="str">
            <v>1760</v>
          </cell>
          <cell r="M1104" t="str">
            <v>RGZE-CH</v>
          </cell>
          <cell r="O1104" t="str">
            <v>Full no Cord</v>
          </cell>
          <cell r="P1104" t="str">
            <v>TEFC</v>
          </cell>
          <cell r="R1104" t="str">
            <v>Continuous</v>
          </cell>
          <cell r="S1104" t="str">
            <v>Yes</v>
          </cell>
          <cell r="T1104" t="str">
            <v>KEY ONLY</v>
          </cell>
          <cell r="U1104" t="str">
            <v>40</v>
          </cell>
          <cell r="V1104" t="str">
            <v>3</v>
          </cell>
          <cell r="W1104" t="str">
            <v>60</v>
          </cell>
          <cell r="X1104" t="str">
            <v>230/460</v>
          </cell>
          <cell r="Y1104" t="str">
            <v>34.0/17.0</v>
          </cell>
          <cell r="AA1104" t="str">
            <v>F1</v>
          </cell>
          <cell r="AG1104" t="str">
            <v>HP</v>
          </cell>
          <cell r="AO1104" t="str">
            <v>B</v>
          </cell>
          <cell r="AP1104" t="str">
            <v>G</v>
          </cell>
          <cell r="AQ1104" t="str">
            <v>F</v>
          </cell>
          <cell r="AS1104" t="str">
            <v>1.15</v>
          </cell>
          <cell r="AT1104" t="str">
            <v>92.4</v>
          </cell>
          <cell r="AV1104" t="b">
            <v>0</v>
          </cell>
          <cell r="HD1104" t="str">
            <v>Repair Shop</v>
          </cell>
          <cell r="HT1104" t="b">
            <v>0</v>
          </cell>
          <cell r="HU1104" t="str">
            <v>PHILLIPS 66</v>
          </cell>
        </row>
        <row r="1105">
          <cell r="A1105">
            <v>1654</v>
          </cell>
          <cell r="B1105" t="str">
            <v>VEM0598</v>
          </cell>
          <cell r="D1105" t="str">
            <v>P66</v>
          </cell>
          <cell r="F1105" t="str">
            <v>GE</v>
          </cell>
          <cell r="G1105" t="str">
            <v>5KS326SS118D8</v>
          </cell>
          <cell r="I1105" t="str">
            <v>326TS</v>
          </cell>
          <cell r="K1105" t="str">
            <v>50</v>
          </cell>
          <cell r="L1105" t="str">
            <v>3555</v>
          </cell>
          <cell r="M1105" t="str">
            <v>KS</v>
          </cell>
          <cell r="N1105" t="str">
            <v>680</v>
          </cell>
          <cell r="O1105" t="str">
            <v>None</v>
          </cell>
          <cell r="P1105" t="str">
            <v>TEFC</v>
          </cell>
          <cell r="R1105" t="str">
            <v>Continuous</v>
          </cell>
          <cell r="T1105" t="str">
            <v>NONE NO KEY</v>
          </cell>
          <cell r="U1105" t="str">
            <v>40</v>
          </cell>
          <cell r="V1105" t="str">
            <v>3</v>
          </cell>
          <cell r="W1105" t="str">
            <v>60</v>
          </cell>
          <cell r="X1105" t="str">
            <v>460</v>
          </cell>
          <cell r="Y1105" t="str">
            <v>54.7</v>
          </cell>
          <cell r="AA1105" t="str">
            <v>F1</v>
          </cell>
          <cell r="AD1105" t="str">
            <v>-1</v>
          </cell>
          <cell r="AG1105" t="str">
            <v>HP</v>
          </cell>
          <cell r="AI1105" t="str">
            <v>6210</v>
          </cell>
          <cell r="AJ1105" t="str">
            <v>6210</v>
          </cell>
          <cell r="AO1105" t="str">
            <v>B</v>
          </cell>
          <cell r="AP1105" t="str">
            <v>G</v>
          </cell>
          <cell r="AQ1105" t="str">
            <v>F</v>
          </cell>
          <cell r="AR1105" t="str">
            <v>92</v>
          </cell>
          <cell r="AS1105" t="str">
            <v>1.15</v>
          </cell>
          <cell r="AV1105" t="b">
            <v>0</v>
          </cell>
          <cell r="EW1105" t="str">
            <v>E997</v>
          </cell>
          <cell r="HD1105" t="str">
            <v>Repair Shop</v>
          </cell>
          <cell r="HT1105" t="b">
            <v>0</v>
          </cell>
          <cell r="HU1105" t="str">
            <v>PHILLIPS 66</v>
          </cell>
        </row>
        <row r="1106">
          <cell r="A1106">
            <v>1653</v>
          </cell>
          <cell r="B1106" t="str">
            <v>VEM0597</v>
          </cell>
          <cell r="D1106" t="str">
            <v>P66</v>
          </cell>
          <cell r="F1106" t="str">
            <v>Reliance</v>
          </cell>
          <cell r="I1106" t="str">
            <v>324TSC</v>
          </cell>
          <cell r="K1106" t="str">
            <v>40</v>
          </cell>
          <cell r="L1106" t="str">
            <v>3560</v>
          </cell>
          <cell r="M1106" t="str">
            <v>P</v>
          </cell>
          <cell r="N1106" t="str">
            <v>660</v>
          </cell>
          <cell r="O1106" t="str">
            <v>None</v>
          </cell>
          <cell r="P1106" t="str">
            <v>TEFC</v>
          </cell>
          <cell r="R1106" t="str">
            <v>Continuous</v>
          </cell>
          <cell r="T1106" t="str">
            <v>NONE NO KEY</v>
          </cell>
          <cell r="U1106" t="str">
            <v>40</v>
          </cell>
          <cell r="V1106" t="str">
            <v>3</v>
          </cell>
          <cell r="W1106" t="str">
            <v>60</v>
          </cell>
          <cell r="X1106" t="str">
            <v>460</v>
          </cell>
          <cell r="Y1106" t="str">
            <v>44.3</v>
          </cell>
          <cell r="AA1106" t="str">
            <v>Vertical</v>
          </cell>
          <cell r="AD1106" t="str">
            <v>0</v>
          </cell>
          <cell r="AG1106" t="str">
            <v>HP</v>
          </cell>
          <cell r="AO1106" t="str">
            <v>B</v>
          </cell>
          <cell r="AP1106" t="str">
            <v>F</v>
          </cell>
          <cell r="AR1106" t="str">
            <v>89.7</v>
          </cell>
          <cell r="AS1106" t="str">
            <v>1.15</v>
          </cell>
          <cell r="AT1106" t="str">
            <v>94.1</v>
          </cell>
          <cell r="AV1106" t="b">
            <v>0</v>
          </cell>
          <cell r="EX1106" t="str">
            <v>7419538-001  L001AL</v>
          </cell>
          <cell r="HD1106" t="str">
            <v>Repair Shop</v>
          </cell>
          <cell r="HT1106" t="b">
            <v>0</v>
          </cell>
          <cell r="HU1106" t="str">
            <v>PHILLIPS 66</v>
          </cell>
        </row>
        <row r="1107">
          <cell r="A1107">
            <v>1652</v>
          </cell>
          <cell r="B1107" t="str">
            <v>VEM0596</v>
          </cell>
          <cell r="D1107" t="str">
            <v>C&amp;H</v>
          </cell>
          <cell r="F1107" t="str">
            <v>Westinghouse</v>
          </cell>
          <cell r="G1107" t="str">
            <v>GEAR BOX MOTOR</v>
          </cell>
          <cell r="K1107" t="str">
            <v>60</v>
          </cell>
          <cell r="L1107" t="str">
            <v>1800</v>
          </cell>
          <cell r="O1107" t="str">
            <v>None</v>
          </cell>
          <cell r="R1107" t="str">
            <v>Continuous</v>
          </cell>
          <cell r="S1107" t="str">
            <v>Yes</v>
          </cell>
          <cell r="T1107" t="str">
            <v>PINION GEAR</v>
          </cell>
          <cell r="V1107" t="str">
            <v>3</v>
          </cell>
          <cell r="W1107" t="str">
            <v>60</v>
          </cell>
          <cell r="X1107" t="str">
            <v>460</v>
          </cell>
          <cell r="AA1107" t="str">
            <v>F1</v>
          </cell>
          <cell r="AD1107" t="str">
            <v>0</v>
          </cell>
          <cell r="AG1107" t="str">
            <v>HP</v>
          </cell>
          <cell r="AI1107" t="str">
            <v>NU-313</v>
          </cell>
          <cell r="AJ1107" t="str">
            <v>6314</v>
          </cell>
          <cell r="AV1107" t="b">
            <v>0</v>
          </cell>
          <cell r="GK1107" t="str">
            <v>3 LEADS ONLY</v>
          </cell>
          <cell r="GL1107" t="str">
            <v>no load  amps 19</v>
          </cell>
          <cell r="HD1107" t="str">
            <v>Repair Shop</v>
          </cell>
          <cell r="HT1107" t="b">
            <v>0</v>
          </cell>
          <cell r="HU1107" t="str">
            <v>C &amp; H SUGAR CO.</v>
          </cell>
        </row>
        <row r="1108">
          <cell r="A1108">
            <v>1651</v>
          </cell>
          <cell r="B1108" t="str">
            <v>VEM0595</v>
          </cell>
          <cell r="D1108" t="str">
            <v>CONHAGEN</v>
          </cell>
          <cell r="F1108" t="str">
            <v>Reliance</v>
          </cell>
          <cell r="I1108" t="str">
            <v>180LPZ</v>
          </cell>
          <cell r="K1108" t="str">
            <v>5</v>
          </cell>
          <cell r="L1108" t="str">
            <v>1750</v>
          </cell>
          <cell r="N1108" t="str">
            <v>163</v>
          </cell>
          <cell r="O1108" t="str">
            <v>None</v>
          </cell>
          <cell r="P1108" t="str">
            <v>TEFC</v>
          </cell>
          <cell r="R1108" t="str">
            <v>Continuous</v>
          </cell>
          <cell r="T1108" t="str">
            <v>NONE NO KEY</v>
          </cell>
          <cell r="U1108" t="str">
            <v>40</v>
          </cell>
          <cell r="V1108" t="str">
            <v>3</v>
          </cell>
          <cell r="W1108" t="str">
            <v>60</v>
          </cell>
          <cell r="X1108" t="str">
            <v>230/460</v>
          </cell>
          <cell r="Y1108" t="str">
            <v>12.2/6.1</v>
          </cell>
          <cell r="AA1108" t="str">
            <v>Vertical</v>
          </cell>
          <cell r="AG1108" t="str">
            <v>HP</v>
          </cell>
          <cell r="AI1108" t="str">
            <v>6210</v>
          </cell>
          <cell r="AJ1108" t="str">
            <v>2-7305</v>
          </cell>
          <cell r="AO1108" t="str">
            <v>B</v>
          </cell>
          <cell r="AP1108" t="str">
            <v>J</v>
          </cell>
          <cell r="AQ1108" t="str">
            <v>F</v>
          </cell>
          <cell r="AS1108" t="str">
            <v>1.15</v>
          </cell>
          <cell r="AV1108" t="b">
            <v>0</v>
          </cell>
          <cell r="EX1108" t="str">
            <v>10MAN98338G001LD</v>
          </cell>
          <cell r="HD1108" t="str">
            <v>Repair Shop</v>
          </cell>
          <cell r="HT1108" t="b">
            <v>0</v>
          </cell>
          <cell r="HU1108" t="str">
            <v>ALFRED CONHAGEN CO. OF CA</v>
          </cell>
        </row>
        <row r="1109">
          <cell r="A1109">
            <v>1650</v>
          </cell>
          <cell r="B1109" t="str">
            <v>VEM0594</v>
          </cell>
          <cell r="D1109" t="str">
            <v>CONHAGEN</v>
          </cell>
          <cell r="F1109" t="str">
            <v>GE</v>
          </cell>
          <cell r="G1109" t="str">
            <v>5K6226XJ286A</v>
          </cell>
          <cell r="H1109" t="str">
            <v>JEJ910433</v>
          </cell>
          <cell r="I1109" t="str">
            <v>215TP10</v>
          </cell>
          <cell r="K1109" t="str">
            <v>5</v>
          </cell>
          <cell r="L1109" t="str">
            <v>3510</v>
          </cell>
          <cell r="M1109" t="str">
            <v>K</v>
          </cell>
          <cell r="O1109" t="str">
            <v>None</v>
          </cell>
          <cell r="R1109" t="str">
            <v>Continuous</v>
          </cell>
          <cell r="T1109" t="str">
            <v>NONE NO KEY</v>
          </cell>
          <cell r="U1109" t="str">
            <v>40</v>
          </cell>
          <cell r="V1109" t="str">
            <v>3</v>
          </cell>
          <cell r="W1109" t="str">
            <v>60</v>
          </cell>
          <cell r="X1109" t="str">
            <v>230/460</v>
          </cell>
          <cell r="Y1109" t="str">
            <v>13,8/6.9</v>
          </cell>
          <cell r="AA1109" t="str">
            <v>Vertical</v>
          </cell>
          <cell r="AD1109" t="str">
            <v>0</v>
          </cell>
          <cell r="AG1109" t="str">
            <v>HP</v>
          </cell>
          <cell r="AO1109" t="str">
            <v>B</v>
          </cell>
          <cell r="AP1109" t="str">
            <v>H</v>
          </cell>
          <cell r="AS1109" t="str">
            <v>1.0</v>
          </cell>
          <cell r="AV1109" t="b">
            <v>0</v>
          </cell>
          <cell r="GK1109" t="str">
            <v>3 LEADS ONLY</v>
          </cell>
          <cell r="HD1109" t="str">
            <v>Repair Shop</v>
          </cell>
          <cell r="HT1109" t="b">
            <v>0</v>
          </cell>
          <cell r="HU1109" t="str">
            <v>ALFRED CONHAGEN CO. OF CA</v>
          </cell>
        </row>
        <row r="1110">
          <cell r="A1110">
            <v>1649</v>
          </cell>
          <cell r="B1110" t="str">
            <v>VEM0593</v>
          </cell>
          <cell r="D1110" t="str">
            <v>VALERO</v>
          </cell>
          <cell r="F1110" t="str">
            <v>Siemens</v>
          </cell>
          <cell r="H1110" t="str">
            <v>E05869-01-3</v>
          </cell>
          <cell r="I1110" t="str">
            <v>509S</v>
          </cell>
          <cell r="K1110" t="str">
            <v>500</v>
          </cell>
          <cell r="L1110" t="str">
            <v>1787</v>
          </cell>
          <cell r="M1110" t="str">
            <v>CG11</v>
          </cell>
          <cell r="O1110" t="str">
            <v>None</v>
          </cell>
          <cell r="R1110" t="str">
            <v>Continuous</v>
          </cell>
          <cell r="S1110" t="str">
            <v>Yes</v>
          </cell>
          <cell r="T1110" t="str">
            <v>YES</v>
          </cell>
          <cell r="V1110" t="str">
            <v>3</v>
          </cell>
          <cell r="W1110" t="str">
            <v>60</v>
          </cell>
          <cell r="X1110" t="str">
            <v>4000</v>
          </cell>
          <cell r="Y1110" t="str">
            <v>65.4</v>
          </cell>
          <cell r="AA1110" t="str">
            <v>F1</v>
          </cell>
          <cell r="AD1110" t="str">
            <v>0</v>
          </cell>
          <cell r="AG1110" t="str">
            <v>HP</v>
          </cell>
          <cell r="AQ1110" t="str">
            <v>F</v>
          </cell>
          <cell r="AT1110" t="str">
            <v>94.6</v>
          </cell>
          <cell r="AV1110" t="b">
            <v>0</v>
          </cell>
          <cell r="GK1110" t="str">
            <v>SPACE HEATER 240V/525W</v>
          </cell>
          <cell r="HD1110" t="str">
            <v>Repair Shop</v>
          </cell>
          <cell r="HT1110" t="b">
            <v>0</v>
          </cell>
          <cell r="HU1110" t="str">
            <v>VALERO REFINING CO. BENICIA</v>
          </cell>
        </row>
        <row r="1111">
          <cell r="A1111">
            <v>1648</v>
          </cell>
          <cell r="B1111" t="str">
            <v>VEM0592</v>
          </cell>
          <cell r="D1111" t="str">
            <v>P66</v>
          </cell>
          <cell r="F1111" t="str">
            <v>GE</v>
          </cell>
          <cell r="G1111" t="str">
            <v>5K6246XJ34A</v>
          </cell>
          <cell r="H1111" t="str">
            <v>KEJ1015493</v>
          </cell>
          <cell r="I1111" t="str">
            <v>286TP16</v>
          </cell>
          <cell r="K1111" t="str">
            <v>20</v>
          </cell>
          <cell r="L1111" t="str">
            <v>1175</v>
          </cell>
          <cell r="M1111" t="str">
            <v>K</v>
          </cell>
          <cell r="O1111" t="str">
            <v>Full no Cord</v>
          </cell>
          <cell r="P1111" t="str">
            <v>TEFC</v>
          </cell>
          <cell r="R1111" t="str">
            <v>Continuous</v>
          </cell>
          <cell r="U1111" t="str">
            <v>75</v>
          </cell>
          <cell r="V1111" t="str">
            <v>3</v>
          </cell>
          <cell r="W1111" t="str">
            <v>60</v>
          </cell>
          <cell r="X1111" t="str">
            <v>230/460</v>
          </cell>
          <cell r="Y1111" t="str">
            <v>52.6/26.3</v>
          </cell>
          <cell r="AA1111" t="str">
            <v>Vertical</v>
          </cell>
          <cell r="AD1111" t="str">
            <v>0</v>
          </cell>
          <cell r="AG1111" t="str">
            <v>HP</v>
          </cell>
          <cell r="AO1111" t="str">
            <v>B</v>
          </cell>
          <cell r="AP1111" t="str">
            <v>F</v>
          </cell>
          <cell r="AS1111" t="str">
            <v>1.0</v>
          </cell>
          <cell r="AV1111" t="b">
            <v>0</v>
          </cell>
          <cell r="HD1111" t="str">
            <v>Repair Shop</v>
          </cell>
          <cell r="HT1111" t="b">
            <v>0</v>
          </cell>
          <cell r="HU1111" t="str">
            <v>PHILLIPS 66</v>
          </cell>
        </row>
        <row r="1112">
          <cell r="A1112">
            <v>1647</v>
          </cell>
          <cell r="B1112" t="str">
            <v>VEM0591</v>
          </cell>
          <cell r="D1112" t="str">
            <v>P66</v>
          </cell>
          <cell r="F1112" t="str">
            <v>US Motors</v>
          </cell>
          <cell r="I1112" t="str">
            <v>364VP</v>
          </cell>
          <cell r="K1112" t="str">
            <v>60</v>
          </cell>
          <cell r="L1112" t="str">
            <v>3570</v>
          </cell>
          <cell r="M1112" t="str">
            <v>TVC84</v>
          </cell>
          <cell r="N1112" t="str">
            <v>950</v>
          </cell>
          <cell r="O1112" t="str">
            <v>Full no Cord</v>
          </cell>
          <cell r="P1112" t="str">
            <v>TEFC</v>
          </cell>
          <cell r="R1112" t="str">
            <v>Continuous</v>
          </cell>
          <cell r="S1112" t="str">
            <v>Yes</v>
          </cell>
          <cell r="T1112" t="str">
            <v>NONE NO KEY</v>
          </cell>
          <cell r="U1112" t="str">
            <v>40</v>
          </cell>
          <cell r="V1112" t="str">
            <v>3</v>
          </cell>
          <cell r="W1112" t="str">
            <v>60</v>
          </cell>
          <cell r="X1112" t="str">
            <v>460</v>
          </cell>
          <cell r="Y1112" t="str">
            <v>66</v>
          </cell>
          <cell r="AA1112" t="str">
            <v>Vertical</v>
          </cell>
          <cell r="AG1112" t="str">
            <v>HP</v>
          </cell>
          <cell r="AI1112" t="str">
            <v>7314</v>
          </cell>
          <cell r="AJ1112" t="str">
            <v>6212</v>
          </cell>
          <cell r="AO1112" t="str">
            <v>B</v>
          </cell>
          <cell r="AP1112" t="str">
            <v>G</v>
          </cell>
          <cell r="AQ1112" t="str">
            <v>F</v>
          </cell>
          <cell r="AR1112" t="str">
            <v>90.3</v>
          </cell>
          <cell r="AS1112" t="str">
            <v>1.15</v>
          </cell>
          <cell r="AT1112" t="str">
            <v>94.1</v>
          </cell>
          <cell r="AV1112" t="b">
            <v>0</v>
          </cell>
          <cell r="EX1112" t="str">
            <v>C1098119175-001R</v>
          </cell>
          <cell r="HD1112" t="str">
            <v>Repair Shop</v>
          </cell>
          <cell r="HT1112" t="b">
            <v>0</v>
          </cell>
          <cell r="HU1112" t="str">
            <v>PHILLIPS 66</v>
          </cell>
        </row>
        <row r="1113">
          <cell r="A1113">
            <v>1646</v>
          </cell>
          <cell r="B1113" t="str">
            <v>FE1019</v>
          </cell>
          <cell r="D1113" t="str">
            <v>NAPARECYCLING</v>
          </cell>
          <cell r="AD1113" t="str">
            <v>0</v>
          </cell>
          <cell r="AG1113" t="str">
            <v>HP</v>
          </cell>
          <cell r="AV1113" t="b">
            <v>0</v>
          </cell>
          <cell r="HD1113" t="str">
            <v>Field Service</v>
          </cell>
          <cell r="HT1113" t="b">
            <v>0</v>
          </cell>
          <cell r="HU1113" t="str">
            <v>NAPA RECYCLING &amp; WASTE</v>
          </cell>
        </row>
        <row r="1114">
          <cell r="A1114">
            <v>1645</v>
          </cell>
          <cell r="B1114" t="str">
            <v>FE1018</v>
          </cell>
          <cell r="D1114" t="str">
            <v>ALFBURTLESON</v>
          </cell>
          <cell r="AG1114" t="str">
            <v>HP</v>
          </cell>
          <cell r="AV1114" t="b">
            <v>0</v>
          </cell>
          <cell r="HD1114" t="str">
            <v>Field Service</v>
          </cell>
          <cell r="HT1114" t="b">
            <v>0</v>
          </cell>
          <cell r="HU1114" t="str">
            <v>ALF BURTLESON CONSTRUCTION CO.</v>
          </cell>
        </row>
        <row r="1115">
          <cell r="A1115">
            <v>1644</v>
          </cell>
          <cell r="B1115" t="str">
            <v>VEM0590</v>
          </cell>
          <cell r="D1115" t="str">
            <v>TIMET</v>
          </cell>
          <cell r="F1115" t="str">
            <v>Emerson</v>
          </cell>
          <cell r="G1115" t="str">
            <v>S942A</v>
          </cell>
          <cell r="I1115" t="str">
            <v>215T</v>
          </cell>
          <cell r="K1115" t="str">
            <v>10</v>
          </cell>
          <cell r="L1115" t="str">
            <v>1755</v>
          </cell>
          <cell r="M1115" t="str">
            <v>FS</v>
          </cell>
          <cell r="O1115" t="str">
            <v>Full no Cord</v>
          </cell>
          <cell r="P1115" t="str">
            <v>TEFC</v>
          </cell>
          <cell r="R1115" t="str">
            <v>Continuous</v>
          </cell>
          <cell r="T1115" t="str">
            <v>KEY ONLY</v>
          </cell>
          <cell r="U1115" t="str">
            <v>40</v>
          </cell>
          <cell r="V1115" t="str">
            <v>3</v>
          </cell>
          <cell r="W1115" t="str">
            <v>60</v>
          </cell>
          <cell r="X1115" t="str">
            <v>208-230/460</v>
          </cell>
          <cell r="Y1115" t="str">
            <v>27-24.40/12.20</v>
          </cell>
          <cell r="AA1115" t="str">
            <v>F1</v>
          </cell>
          <cell r="AD1115" t="str">
            <v>0</v>
          </cell>
          <cell r="AG1115" t="str">
            <v>HP</v>
          </cell>
          <cell r="AI1115" t="str">
            <v>6208</v>
          </cell>
          <cell r="AJ1115" t="str">
            <v>6205</v>
          </cell>
          <cell r="AO1115" t="str">
            <v>B</v>
          </cell>
          <cell r="AP1115" t="str">
            <v>G</v>
          </cell>
          <cell r="AS1115" t="str">
            <v>1.15</v>
          </cell>
          <cell r="AT1115" t="str">
            <v>89.5</v>
          </cell>
          <cell r="AV1115" t="b">
            <v>0</v>
          </cell>
          <cell r="EW1115" t="str">
            <v>S10E2D</v>
          </cell>
          <cell r="EX1115" t="str">
            <v>N04-S942A-M</v>
          </cell>
          <cell r="HD1115" t="str">
            <v>Repair Shop</v>
          </cell>
          <cell r="HT1115" t="b">
            <v>0</v>
          </cell>
          <cell r="HU1115" t="str">
            <v>TIMET - TITANIUM METALS</v>
          </cell>
        </row>
        <row r="1116">
          <cell r="A1116">
            <v>1643</v>
          </cell>
          <cell r="B1116" t="str">
            <v>VEM0589</v>
          </cell>
          <cell r="D1116" t="str">
            <v>RUSZEL</v>
          </cell>
          <cell r="F1116" t="str">
            <v>Lincoln</v>
          </cell>
          <cell r="H1116" t="str">
            <v>U3970507022</v>
          </cell>
          <cell r="I1116" t="str">
            <v>286T</v>
          </cell>
          <cell r="K1116" t="str">
            <v>30</v>
          </cell>
          <cell r="L1116" t="str">
            <v>1755</v>
          </cell>
          <cell r="O1116" t="str">
            <v>Full no Cord</v>
          </cell>
          <cell r="P1116" t="str">
            <v>ODP</v>
          </cell>
          <cell r="Q1116" t="str">
            <v>Yes</v>
          </cell>
          <cell r="R1116" t="str">
            <v>Continuous</v>
          </cell>
          <cell r="U1116" t="str">
            <v>40</v>
          </cell>
          <cell r="V1116" t="str">
            <v>3</v>
          </cell>
          <cell r="W1116" t="str">
            <v>60</v>
          </cell>
          <cell r="X1116" t="str">
            <v>200/400</v>
          </cell>
          <cell r="Y1116" t="str">
            <v>85/42.5</v>
          </cell>
          <cell r="AA1116" t="str">
            <v>F1</v>
          </cell>
          <cell r="AD1116" t="str">
            <v>0</v>
          </cell>
          <cell r="AG1116" t="str">
            <v>HP</v>
          </cell>
          <cell r="AO1116" t="str">
            <v>B</v>
          </cell>
          <cell r="AP1116" t="str">
            <v>G</v>
          </cell>
          <cell r="AQ1116" t="str">
            <v>F</v>
          </cell>
          <cell r="AS1116" t="str">
            <v>1.15</v>
          </cell>
          <cell r="AT1116" t="str">
            <v>85.5</v>
          </cell>
          <cell r="AV1116" t="b">
            <v>0</v>
          </cell>
          <cell r="HD1116" t="str">
            <v>Repair Shop</v>
          </cell>
          <cell r="HT1116" t="b">
            <v>0</v>
          </cell>
          <cell r="HU1116" t="str">
            <v>RUSZEL WOODWORKS</v>
          </cell>
        </row>
        <row r="1117">
          <cell r="A1117">
            <v>1642</v>
          </cell>
          <cell r="B1117" t="str">
            <v>VEM0588</v>
          </cell>
          <cell r="D1117" t="str">
            <v>TRADEWINDS</v>
          </cell>
          <cell r="F1117" t="str">
            <v>GOULDS  SUB PUMP</v>
          </cell>
          <cell r="G1117" t="str">
            <v>WS1012BF</v>
          </cell>
          <cell r="K1117" t="str">
            <v>1</v>
          </cell>
          <cell r="L1117" t="str">
            <v>1725</v>
          </cell>
          <cell r="R1117" t="str">
            <v>Continuous</v>
          </cell>
          <cell r="V1117" t="str">
            <v>1</v>
          </cell>
          <cell r="W1117" t="str">
            <v>60</v>
          </cell>
          <cell r="X1117" t="str">
            <v>230</v>
          </cell>
          <cell r="Y1117" t="str">
            <v>12.3</v>
          </cell>
          <cell r="AA1117" t="str">
            <v>Other</v>
          </cell>
          <cell r="AD1117" t="str">
            <v>0</v>
          </cell>
          <cell r="AG1117" t="str">
            <v>HP</v>
          </cell>
          <cell r="AV1117" t="b">
            <v>0</v>
          </cell>
          <cell r="HD1117" t="str">
            <v>Repair Shop</v>
          </cell>
          <cell r="HT1117" t="b">
            <v>0</v>
          </cell>
          <cell r="HU1117" t="str">
            <v>TRADEWINDS</v>
          </cell>
        </row>
        <row r="1118">
          <cell r="A1118">
            <v>1641</v>
          </cell>
          <cell r="B1118" t="str">
            <v>VEM0587</v>
          </cell>
          <cell r="D1118" t="str">
            <v>VALERO</v>
          </cell>
          <cell r="F1118" t="str">
            <v>GE</v>
          </cell>
          <cell r="G1118" t="str">
            <v>5KS254XAE5722A</v>
          </cell>
          <cell r="H1118" t="str">
            <v>LLFT332S032</v>
          </cell>
          <cell r="I1118" t="str">
            <v>L254LP10</v>
          </cell>
          <cell r="K1118" t="str">
            <v>15</v>
          </cell>
          <cell r="L1118" t="str">
            <v>3550</v>
          </cell>
          <cell r="M1118" t="str">
            <v>KS</v>
          </cell>
          <cell r="N1118" t="str">
            <v>315</v>
          </cell>
          <cell r="O1118" t="str">
            <v>Full no Cord</v>
          </cell>
          <cell r="P1118" t="str">
            <v>TEFC</v>
          </cell>
          <cell r="Q1118" t="str">
            <v>NONE</v>
          </cell>
          <cell r="R1118" t="str">
            <v>Continuous</v>
          </cell>
          <cell r="S1118" t="str">
            <v>NONE</v>
          </cell>
          <cell r="T1118" t="str">
            <v>yes</v>
          </cell>
          <cell r="U1118" t="str">
            <v>40C</v>
          </cell>
          <cell r="V1118" t="str">
            <v>3</v>
          </cell>
          <cell r="W1118" t="str">
            <v>60</v>
          </cell>
          <cell r="X1118" t="str">
            <v>460</v>
          </cell>
          <cell r="Y1118" t="str">
            <v>17.3</v>
          </cell>
          <cell r="Z1118" t="str">
            <v>Yes</v>
          </cell>
          <cell r="AA1118" t="str">
            <v>Vertical</v>
          </cell>
          <cell r="AD1118" t="str">
            <v>-1</v>
          </cell>
          <cell r="AG1118" t="str">
            <v>HP</v>
          </cell>
          <cell r="AI1118" t="str">
            <v>3211</v>
          </cell>
          <cell r="AJ1118" t="str">
            <v>6309</v>
          </cell>
          <cell r="AO1118" t="str">
            <v>B</v>
          </cell>
          <cell r="AP1118" t="str">
            <v>G</v>
          </cell>
          <cell r="AQ1118" t="str">
            <v>H</v>
          </cell>
          <cell r="AS1118" t="str">
            <v>1.15</v>
          </cell>
          <cell r="AT1118" t="str">
            <v>88.5</v>
          </cell>
          <cell r="AV1118" t="b">
            <v>0</v>
          </cell>
          <cell r="AW1118" t="str">
            <v>34/17</v>
          </cell>
          <cell r="EW1118" t="str">
            <v>V772</v>
          </cell>
          <cell r="HD1118" t="str">
            <v>Repair Shop</v>
          </cell>
          <cell r="HT1118" t="b">
            <v>0</v>
          </cell>
          <cell r="HU1118" t="str">
            <v>VALERO REFINING CO. BENICIA</v>
          </cell>
        </row>
        <row r="1119">
          <cell r="A1119">
            <v>1640</v>
          </cell>
          <cell r="B1119" t="str">
            <v>VEM0586</v>
          </cell>
          <cell r="D1119" t="str">
            <v>ALLPOINTS</v>
          </cell>
          <cell r="AG1119" t="str">
            <v>HP</v>
          </cell>
          <cell r="AV1119" t="b">
            <v>0</v>
          </cell>
          <cell r="HD1119" t="str">
            <v>Repair Shop</v>
          </cell>
          <cell r="HT1119" t="b">
            <v>0</v>
          </cell>
          <cell r="HU1119" t="str">
            <v>ALL POINTS MANUFACTURING</v>
          </cell>
        </row>
        <row r="1120">
          <cell r="A1120">
            <v>1639</v>
          </cell>
          <cell r="B1120" t="str">
            <v>VEM0585</v>
          </cell>
          <cell r="D1120" t="str">
            <v>VALERO</v>
          </cell>
          <cell r="AD1120" t="str">
            <v>0</v>
          </cell>
          <cell r="AG1120" t="str">
            <v>HP</v>
          </cell>
          <cell r="AV1120" t="b">
            <v>0</v>
          </cell>
          <cell r="HD1120" t="str">
            <v>Repair Shop</v>
          </cell>
          <cell r="HT1120" t="b">
            <v>0</v>
          </cell>
          <cell r="HU1120" t="str">
            <v>VALERO REFINING CO. BENICIA</v>
          </cell>
        </row>
        <row r="1121">
          <cell r="A1121">
            <v>1638</v>
          </cell>
          <cell r="B1121" t="str">
            <v>FE1017</v>
          </cell>
          <cell r="D1121" t="str">
            <v>NAPARECYCLING</v>
          </cell>
          <cell r="AD1121" t="str">
            <v>0</v>
          </cell>
          <cell r="AG1121" t="str">
            <v>HP</v>
          </cell>
          <cell r="AV1121" t="b">
            <v>0</v>
          </cell>
          <cell r="HD1121" t="str">
            <v>Field Service</v>
          </cell>
          <cell r="HT1121" t="b">
            <v>0</v>
          </cell>
          <cell r="HU1121" t="str">
            <v>NAPA RECYCLING &amp; WASTE</v>
          </cell>
        </row>
        <row r="1122">
          <cell r="A1122">
            <v>1637</v>
          </cell>
          <cell r="B1122" t="str">
            <v>VEM0584</v>
          </cell>
          <cell r="D1122" t="str">
            <v>P66</v>
          </cell>
          <cell r="F1122" t="str">
            <v>Baldor</v>
          </cell>
          <cell r="H1122" t="str">
            <v>W0512151638</v>
          </cell>
          <cell r="I1122" t="str">
            <v>56C</v>
          </cell>
          <cell r="K1122" t="str">
            <v>.75</v>
          </cell>
          <cell r="L1122" t="str">
            <v>1725</v>
          </cell>
          <cell r="O1122" t="str">
            <v>Full no Cord</v>
          </cell>
          <cell r="P1122" t="str">
            <v>TEFC</v>
          </cell>
          <cell r="R1122" t="str">
            <v>Continuous</v>
          </cell>
          <cell r="U1122" t="str">
            <v>40</v>
          </cell>
          <cell r="V1122" t="str">
            <v>3</v>
          </cell>
          <cell r="W1122" t="str">
            <v>60</v>
          </cell>
          <cell r="X1122" t="str">
            <v>208-230/460</v>
          </cell>
          <cell r="Y1122" t="str">
            <v>3.2-3/1.5</v>
          </cell>
          <cell r="AA1122" t="str">
            <v>Vertical</v>
          </cell>
          <cell r="AD1122" t="str">
            <v>0</v>
          </cell>
          <cell r="AG1122" t="str">
            <v>HP</v>
          </cell>
          <cell r="AO1122" t="str">
            <v>B</v>
          </cell>
          <cell r="AP1122" t="str">
            <v>K</v>
          </cell>
          <cell r="AQ1122" t="str">
            <v>B</v>
          </cell>
          <cell r="AR1122" t="str">
            <v>60</v>
          </cell>
          <cell r="AS1122" t="str">
            <v>1,25</v>
          </cell>
          <cell r="AT1122" t="str">
            <v>75.5</v>
          </cell>
          <cell r="AU1122" t="str">
            <v>34A63-883</v>
          </cell>
          <cell r="AV1122" t="b">
            <v>0</v>
          </cell>
          <cell r="EW1122" t="str">
            <v>VM3542</v>
          </cell>
          <cell r="HD1122" t="str">
            <v>Repair Shop</v>
          </cell>
          <cell r="HT1122" t="b">
            <v>0</v>
          </cell>
          <cell r="HU1122" t="str">
            <v>PHILLIPS 66</v>
          </cell>
        </row>
        <row r="1123">
          <cell r="A1123">
            <v>1636</v>
          </cell>
          <cell r="B1123" t="str">
            <v>FE1016</v>
          </cell>
          <cell r="D1123" t="str">
            <v>VALLEJOWATER</v>
          </cell>
          <cell r="F1123" t="str">
            <v>GE</v>
          </cell>
          <cell r="G1123" t="str">
            <v>VSS</v>
          </cell>
          <cell r="I1123" t="str">
            <v>449VP20</v>
          </cell>
          <cell r="K1123" t="str">
            <v>250</v>
          </cell>
          <cell r="L1123" t="str">
            <v>1200</v>
          </cell>
          <cell r="M1123" t="str">
            <v>KS</v>
          </cell>
          <cell r="P1123" t="str">
            <v>TEFC</v>
          </cell>
          <cell r="R1123" t="str">
            <v>Continuous</v>
          </cell>
          <cell r="V1123" t="str">
            <v>3</v>
          </cell>
          <cell r="W1123" t="str">
            <v>60</v>
          </cell>
          <cell r="X1123" t="str">
            <v>460</v>
          </cell>
          <cell r="AA1123" t="str">
            <v>Vertical</v>
          </cell>
          <cell r="AD1123" t="str">
            <v>0</v>
          </cell>
          <cell r="AG1123" t="str">
            <v>HP</v>
          </cell>
          <cell r="AP1123" t="str">
            <v>G</v>
          </cell>
          <cell r="AV1123" t="b">
            <v>0</v>
          </cell>
          <cell r="HD1123" t="str">
            <v>Field Service</v>
          </cell>
          <cell r="HT1123" t="b">
            <v>0</v>
          </cell>
          <cell r="HU1123" t="str">
            <v>CITY OF VALLEJO WATER TREATMENT</v>
          </cell>
        </row>
        <row r="1124">
          <cell r="A1124">
            <v>1635</v>
          </cell>
          <cell r="B1124" t="str">
            <v>VEM0583</v>
          </cell>
          <cell r="D1124" t="str">
            <v>LINDMARINE</v>
          </cell>
          <cell r="F1124" t="str">
            <v>Leeson</v>
          </cell>
          <cell r="G1124" t="str">
            <v>C404T17DK2A</v>
          </cell>
          <cell r="H1124" t="str">
            <v>110005</v>
          </cell>
          <cell r="I1124" t="str">
            <v>404TC</v>
          </cell>
          <cell r="K1124" t="str">
            <v>100</v>
          </cell>
          <cell r="L1124" t="str">
            <v>1780</v>
          </cell>
          <cell r="O1124" t="str">
            <v>Full no Cord</v>
          </cell>
          <cell r="P1124" t="str">
            <v>ODP</v>
          </cell>
          <cell r="R1124" t="str">
            <v>Continuous</v>
          </cell>
          <cell r="S1124" t="str">
            <v>No</v>
          </cell>
          <cell r="T1124" t="str">
            <v>NONE NO KEY</v>
          </cell>
          <cell r="U1124" t="str">
            <v>40</v>
          </cell>
          <cell r="V1124" t="str">
            <v>3</v>
          </cell>
          <cell r="W1124" t="str">
            <v>60</v>
          </cell>
          <cell r="X1124" t="str">
            <v>208-230/460</v>
          </cell>
          <cell r="Y1124" t="str">
            <v>250-225/112.5</v>
          </cell>
          <cell r="AA1124" t="str">
            <v>F1</v>
          </cell>
          <cell r="AD1124" t="str">
            <v>0</v>
          </cell>
          <cell r="AG1124" t="str">
            <v>HP</v>
          </cell>
          <cell r="AI1124" t="str">
            <v>6316</v>
          </cell>
          <cell r="AJ1124" t="str">
            <v>6314</v>
          </cell>
          <cell r="AO1124" t="str">
            <v>B</v>
          </cell>
          <cell r="AP1124" t="str">
            <v>G</v>
          </cell>
          <cell r="AQ1124" t="str">
            <v>F</v>
          </cell>
          <cell r="AT1124" t="str">
            <v>95.4</v>
          </cell>
          <cell r="AV1124" t="b">
            <v>0</v>
          </cell>
          <cell r="EW1124" t="str">
            <v>171691.60</v>
          </cell>
          <cell r="GK1124" t="str">
            <v>12 MOTOR LEADS 2 RED OL LEADS</v>
          </cell>
          <cell r="HD1124" t="str">
            <v>Repair Shop</v>
          </cell>
          <cell r="HT1124" t="b">
            <v>0</v>
          </cell>
          <cell r="HU1124" t="str">
            <v>LIND MARINE</v>
          </cell>
        </row>
        <row r="1125">
          <cell r="A1125">
            <v>1634</v>
          </cell>
          <cell r="B1125" t="str">
            <v>VEM0582</v>
          </cell>
          <cell r="D1125" t="str">
            <v>P66</v>
          </cell>
          <cell r="F1125" t="str">
            <v>Westinghouse</v>
          </cell>
          <cell r="G1125" t="str">
            <v>TAFC</v>
          </cell>
          <cell r="H1125" t="str">
            <v>6912</v>
          </cell>
          <cell r="I1125" t="str">
            <v>405TS</v>
          </cell>
          <cell r="K1125" t="str">
            <v>100</v>
          </cell>
          <cell r="L1125" t="str">
            <v>3555</v>
          </cell>
          <cell r="O1125" t="str">
            <v>None</v>
          </cell>
          <cell r="P1125" t="str">
            <v>TEFC</v>
          </cell>
          <cell r="R1125" t="str">
            <v>Continuous</v>
          </cell>
          <cell r="S1125" t="str">
            <v>Yes</v>
          </cell>
          <cell r="T1125" t="str">
            <v>None no key</v>
          </cell>
          <cell r="U1125" t="str">
            <v>40</v>
          </cell>
          <cell r="V1125" t="str">
            <v>3</v>
          </cell>
          <cell r="W1125" t="str">
            <v>60</v>
          </cell>
          <cell r="X1125" t="str">
            <v>230/460</v>
          </cell>
          <cell r="Y1125" t="str">
            <v>224/112</v>
          </cell>
          <cell r="AA1125" t="str">
            <v>F1</v>
          </cell>
          <cell r="AD1125" t="str">
            <v>-1</v>
          </cell>
          <cell r="AG1125" t="str">
            <v>HP</v>
          </cell>
          <cell r="AI1125" t="str">
            <v>6312</v>
          </cell>
          <cell r="AJ1125" t="str">
            <v>6312</v>
          </cell>
          <cell r="AP1125" t="str">
            <v>G</v>
          </cell>
          <cell r="AQ1125" t="str">
            <v>B</v>
          </cell>
          <cell r="AS1125" t="str">
            <v>1.0</v>
          </cell>
          <cell r="AV1125" t="b">
            <v>0</v>
          </cell>
          <cell r="EY1125" t="str">
            <v>680B104G53</v>
          </cell>
          <cell r="HD1125" t="str">
            <v>Repair Shop</v>
          </cell>
          <cell r="HT1125" t="b">
            <v>0</v>
          </cell>
          <cell r="HU1125" t="str">
            <v>PHILLIPS 66</v>
          </cell>
        </row>
        <row r="1126">
          <cell r="A1126">
            <v>1633</v>
          </cell>
          <cell r="B1126" t="str">
            <v>VEM0581</v>
          </cell>
          <cell r="D1126" t="str">
            <v>CONHAGEN</v>
          </cell>
          <cell r="F1126" t="str">
            <v>TECO</v>
          </cell>
          <cell r="H1126" t="str">
            <v>HWP3118320026</v>
          </cell>
          <cell r="I1126" t="str">
            <v>184T</v>
          </cell>
          <cell r="K1126" t="str">
            <v>5</v>
          </cell>
          <cell r="L1126" t="str">
            <v>1745</v>
          </cell>
          <cell r="O1126" t="str">
            <v>None</v>
          </cell>
          <cell r="P1126" t="str">
            <v>TEFC</v>
          </cell>
          <cell r="R1126" t="str">
            <v>Continuous</v>
          </cell>
          <cell r="S1126" t="str">
            <v>Yes</v>
          </cell>
          <cell r="T1126" t="str">
            <v>NONE NO KEY</v>
          </cell>
          <cell r="U1126" t="str">
            <v>40</v>
          </cell>
          <cell r="V1126" t="str">
            <v>3</v>
          </cell>
          <cell r="W1126" t="str">
            <v>60</v>
          </cell>
          <cell r="X1126" t="str">
            <v>230/460</v>
          </cell>
          <cell r="Y1126" t="str">
            <v>12.24/6.12</v>
          </cell>
          <cell r="AA1126" t="str">
            <v>F1</v>
          </cell>
          <cell r="AD1126" t="str">
            <v>0</v>
          </cell>
          <cell r="AG1126" t="str">
            <v>HP</v>
          </cell>
          <cell r="AO1126" t="str">
            <v>B</v>
          </cell>
          <cell r="AP1126" t="str">
            <v>J</v>
          </cell>
          <cell r="AQ1126" t="str">
            <v>F</v>
          </cell>
          <cell r="AS1126" t="str">
            <v>1.15</v>
          </cell>
          <cell r="AT1126" t="str">
            <v>89.5</v>
          </cell>
          <cell r="AV1126" t="b">
            <v>0</v>
          </cell>
          <cell r="HD1126" t="str">
            <v>Repair Shop</v>
          </cell>
          <cell r="HT1126" t="b">
            <v>0</v>
          </cell>
          <cell r="HU1126" t="str">
            <v>ALFRED CONHAGEN CO. OF CA</v>
          </cell>
        </row>
        <row r="1127">
          <cell r="A1127">
            <v>1632</v>
          </cell>
          <cell r="B1127" t="str">
            <v>VEM0580</v>
          </cell>
          <cell r="D1127" t="str">
            <v>VALERO</v>
          </cell>
          <cell r="F1127" t="str">
            <v>Westinghouse</v>
          </cell>
          <cell r="G1127" t="str">
            <v>TBFC</v>
          </cell>
          <cell r="H1127" t="str">
            <v>6710</v>
          </cell>
          <cell r="I1127" t="str">
            <v>182TY</v>
          </cell>
          <cell r="K1127" t="str">
            <v>3</v>
          </cell>
          <cell r="L1127" t="str">
            <v>1735</v>
          </cell>
          <cell r="O1127" t="str">
            <v>None</v>
          </cell>
          <cell r="P1127" t="str">
            <v>TEFC</v>
          </cell>
          <cell r="R1127" t="str">
            <v>Continuous</v>
          </cell>
          <cell r="S1127" t="str">
            <v>Yes</v>
          </cell>
          <cell r="T1127" t="str">
            <v>Other</v>
          </cell>
          <cell r="U1127" t="str">
            <v>40</v>
          </cell>
          <cell r="V1127" t="str">
            <v>3</v>
          </cell>
          <cell r="W1127" t="str">
            <v>60</v>
          </cell>
          <cell r="X1127" t="str">
            <v>230/460</v>
          </cell>
          <cell r="Y1127" t="str">
            <v>9.4/4.7</v>
          </cell>
          <cell r="AA1127" t="str">
            <v>F1</v>
          </cell>
          <cell r="AD1127" t="str">
            <v>0</v>
          </cell>
          <cell r="AG1127" t="str">
            <v>HP</v>
          </cell>
          <cell r="AP1127" t="str">
            <v>K</v>
          </cell>
          <cell r="AQ1127" t="str">
            <v>B</v>
          </cell>
          <cell r="AV1127" t="b">
            <v>0</v>
          </cell>
          <cell r="GK1127" t="str">
            <v>3 LEADS ONLY</v>
          </cell>
          <cell r="HD1127" t="str">
            <v>Repair Shop</v>
          </cell>
          <cell r="HT1127" t="b">
            <v>0</v>
          </cell>
          <cell r="HU1127" t="str">
            <v>VALERO REFINING CO. BENICIA</v>
          </cell>
        </row>
        <row r="1128">
          <cell r="A1128">
            <v>1631</v>
          </cell>
          <cell r="B1128" t="str">
            <v>VEM0579</v>
          </cell>
          <cell r="D1128" t="str">
            <v>TURBO</v>
          </cell>
          <cell r="F1128" t="str">
            <v>Reliance</v>
          </cell>
          <cell r="I1128" t="str">
            <v>256LP</v>
          </cell>
          <cell r="K1128" t="str">
            <v>7.5</v>
          </cell>
          <cell r="L1128" t="str">
            <v>880</v>
          </cell>
          <cell r="M1128" t="str">
            <v>P</v>
          </cell>
          <cell r="N1128" t="str">
            <v>382</v>
          </cell>
          <cell r="O1128" t="str">
            <v>Full no Cord</v>
          </cell>
          <cell r="P1128" t="str">
            <v>TEFC</v>
          </cell>
          <cell r="R1128" t="str">
            <v>Continuous</v>
          </cell>
          <cell r="T1128" t="str">
            <v>NONE NO KEY</v>
          </cell>
          <cell r="U1128" t="str">
            <v>40</v>
          </cell>
          <cell r="V1128" t="str">
            <v>3</v>
          </cell>
          <cell r="W1128" t="str">
            <v>60</v>
          </cell>
          <cell r="X1128" t="str">
            <v>460</v>
          </cell>
          <cell r="Y1128" t="str">
            <v>10.5</v>
          </cell>
          <cell r="AA1128" t="str">
            <v>Vertical</v>
          </cell>
          <cell r="AD1128" t="str">
            <v>0</v>
          </cell>
          <cell r="AG1128" t="str">
            <v>HP</v>
          </cell>
          <cell r="AO1128" t="str">
            <v>B</v>
          </cell>
          <cell r="AP1128" t="str">
            <v>H</v>
          </cell>
          <cell r="AQ1128" t="str">
            <v>F</v>
          </cell>
          <cell r="AS1128" t="str">
            <v>1.15</v>
          </cell>
          <cell r="AT1128" t="str">
            <v>90.2</v>
          </cell>
          <cell r="AV1128" t="b">
            <v>0</v>
          </cell>
          <cell r="EX1128" t="str">
            <v>01MAN97779  G001</v>
          </cell>
          <cell r="HD1128" t="str">
            <v>Repair Shop</v>
          </cell>
          <cell r="HT1128" t="b">
            <v>0</v>
          </cell>
          <cell r="HU1128" t="str">
            <v>TURBO MACHINE</v>
          </cell>
        </row>
        <row r="1129">
          <cell r="A1129">
            <v>1630</v>
          </cell>
          <cell r="B1129" t="str">
            <v>VEM0578</v>
          </cell>
          <cell r="D1129" t="str">
            <v>P66</v>
          </cell>
          <cell r="F1129" t="str">
            <v>Siemens</v>
          </cell>
          <cell r="H1129" t="str">
            <v>E03 TG06878</v>
          </cell>
          <cell r="I1129" t="str">
            <v>405TS</v>
          </cell>
          <cell r="K1129" t="str">
            <v>100</v>
          </cell>
          <cell r="L1129" t="str">
            <v>3570</v>
          </cell>
          <cell r="M1129" t="str">
            <v>RGZESDX</v>
          </cell>
          <cell r="N1129" t="str">
            <v>1175</v>
          </cell>
          <cell r="P1129" t="str">
            <v>TEFC</v>
          </cell>
          <cell r="R1129" t="str">
            <v>Continuous</v>
          </cell>
          <cell r="S1129" t="str">
            <v>Yes</v>
          </cell>
          <cell r="T1129" t="str">
            <v>NONE NO KEY</v>
          </cell>
          <cell r="U1129" t="str">
            <v>40</v>
          </cell>
          <cell r="V1129" t="str">
            <v>3</v>
          </cell>
          <cell r="W1129" t="str">
            <v>60</v>
          </cell>
          <cell r="X1129" t="str">
            <v>460</v>
          </cell>
          <cell r="Y1129" t="str">
            <v>108</v>
          </cell>
          <cell r="AA1129" t="str">
            <v>F1</v>
          </cell>
          <cell r="AD1129" t="str">
            <v>0</v>
          </cell>
          <cell r="AG1129" t="str">
            <v>HP</v>
          </cell>
          <cell r="AO1129" t="str">
            <v>B</v>
          </cell>
          <cell r="AP1129" t="str">
            <v>G</v>
          </cell>
          <cell r="AQ1129" t="str">
            <v>F</v>
          </cell>
          <cell r="AS1129" t="str">
            <v>1.15</v>
          </cell>
          <cell r="AT1129" t="str">
            <v>94.1</v>
          </cell>
          <cell r="AV1129" t="b">
            <v>0</v>
          </cell>
          <cell r="HD1129" t="str">
            <v>Repair Shop</v>
          </cell>
          <cell r="HT1129" t="b">
            <v>0</v>
          </cell>
          <cell r="HU1129" t="str">
            <v>PHILLIPS 66</v>
          </cell>
        </row>
        <row r="1130">
          <cell r="A1130">
            <v>1629</v>
          </cell>
          <cell r="B1130" t="str">
            <v>VEM0577</v>
          </cell>
          <cell r="D1130" t="str">
            <v>VALERO</v>
          </cell>
          <cell r="F1130" t="str">
            <v>GE</v>
          </cell>
          <cell r="G1130" t="str">
            <v>5K6266XK81A</v>
          </cell>
          <cell r="H1130" t="str">
            <v>KLJ1008138</v>
          </cell>
          <cell r="I1130" t="str">
            <v>365TP16</v>
          </cell>
          <cell r="K1130" t="str">
            <v>50</v>
          </cell>
          <cell r="L1130" t="str">
            <v>1175</v>
          </cell>
          <cell r="O1130" t="str">
            <v>Full no Cord</v>
          </cell>
          <cell r="P1130" t="str">
            <v>TEFC</v>
          </cell>
          <cell r="R1130" t="str">
            <v>Continuous</v>
          </cell>
          <cell r="T1130" t="str">
            <v>NONE</v>
          </cell>
          <cell r="U1130" t="str">
            <v>40</v>
          </cell>
          <cell r="V1130" t="str">
            <v>3</v>
          </cell>
          <cell r="W1130" t="str">
            <v>60</v>
          </cell>
          <cell r="X1130" t="str">
            <v>460</v>
          </cell>
          <cell r="Y1130" t="str">
            <v>64.5</v>
          </cell>
          <cell r="AA1130" t="str">
            <v>Vertical</v>
          </cell>
          <cell r="AD1130" t="str">
            <v>0</v>
          </cell>
          <cell r="AG1130" t="str">
            <v>HP</v>
          </cell>
          <cell r="AP1130" t="str">
            <v>K</v>
          </cell>
          <cell r="AQ1130" t="str">
            <v>F</v>
          </cell>
          <cell r="AS1130" t="str">
            <v>1.00</v>
          </cell>
          <cell r="AV1130" t="b">
            <v>0</v>
          </cell>
          <cell r="GK1130" t="str">
            <v>HAS WATER GLASS</v>
          </cell>
          <cell r="HD1130" t="str">
            <v>Repair Shop</v>
          </cell>
          <cell r="HT1130" t="b">
            <v>0</v>
          </cell>
          <cell r="HU1130" t="str">
            <v>VALERO REFINING CO. BENICIA</v>
          </cell>
        </row>
        <row r="1131">
          <cell r="A1131">
            <v>1628</v>
          </cell>
          <cell r="B1131" t="str">
            <v>VEM0576</v>
          </cell>
          <cell r="D1131" t="str">
            <v>SUPERSTORES</v>
          </cell>
          <cell r="F1131" t="str">
            <v>Baldor</v>
          </cell>
          <cell r="H1131" t="str">
            <v>Z0204300021</v>
          </cell>
          <cell r="I1131" t="str">
            <v>256TC</v>
          </cell>
          <cell r="K1131" t="str">
            <v>20</v>
          </cell>
          <cell r="L1131" t="str">
            <v>3525</v>
          </cell>
          <cell r="O1131" t="str">
            <v>Half no Cord</v>
          </cell>
          <cell r="P1131" t="str">
            <v>TEFC</v>
          </cell>
          <cell r="R1131" t="str">
            <v>Continuous</v>
          </cell>
          <cell r="S1131" t="str">
            <v>Yes</v>
          </cell>
          <cell r="T1131" t="str">
            <v>NONE NO KEY</v>
          </cell>
          <cell r="V1131" t="str">
            <v>3</v>
          </cell>
          <cell r="W1131" t="str">
            <v>60</v>
          </cell>
          <cell r="X1131" t="str">
            <v>230/460</v>
          </cell>
          <cell r="Y1131" t="str">
            <v>45.4/22.7</v>
          </cell>
          <cell r="AA1131" t="str">
            <v>F1</v>
          </cell>
          <cell r="AD1131" t="str">
            <v>0</v>
          </cell>
          <cell r="AG1131" t="str">
            <v>HP</v>
          </cell>
          <cell r="AI1131" t="str">
            <v>6309</v>
          </cell>
          <cell r="AJ1131" t="str">
            <v>6208</v>
          </cell>
          <cell r="AO1131" t="str">
            <v>B</v>
          </cell>
          <cell r="AP1131" t="str">
            <v>J</v>
          </cell>
          <cell r="AQ1131" t="str">
            <v>F</v>
          </cell>
          <cell r="AS1131" t="str">
            <v>1.15</v>
          </cell>
          <cell r="AU1131" t="str">
            <v>39R098W846H1</v>
          </cell>
          <cell r="AV1131" t="b">
            <v>0</v>
          </cell>
          <cell r="EW1131" t="str">
            <v>CWDH41906T</v>
          </cell>
          <cell r="EX1131" t="str">
            <v>ZO204300021</v>
          </cell>
          <cell r="HD1131" t="str">
            <v>Repair Shop</v>
          </cell>
          <cell r="HT1131" t="b">
            <v>0</v>
          </cell>
          <cell r="HU1131" t="str">
            <v>Producers Dairy Foods</v>
          </cell>
        </row>
        <row r="1132">
          <cell r="A1132">
            <v>1627</v>
          </cell>
          <cell r="B1132" t="str">
            <v>VEM0575</v>
          </cell>
          <cell r="D1132" t="str">
            <v>CITYOFBENICIA</v>
          </cell>
          <cell r="F1132" t="str">
            <v>US Motors</v>
          </cell>
          <cell r="I1132" t="str">
            <v>213T</v>
          </cell>
          <cell r="K1132" t="str">
            <v>3</v>
          </cell>
          <cell r="L1132" t="str">
            <v>1165</v>
          </cell>
          <cell r="O1132" t="str">
            <v>Half no Cord</v>
          </cell>
          <cell r="P1132" t="str">
            <v>ODP</v>
          </cell>
          <cell r="Q1132" t="str">
            <v>Yes</v>
          </cell>
          <cell r="R1132" t="str">
            <v>Continuous</v>
          </cell>
          <cell r="S1132" t="str">
            <v>Yes</v>
          </cell>
          <cell r="U1132" t="str">
            <v>40</v>
          </cell>
          <cell r="V1132" t="str">
            <v>3</v>
          </cell>
          <cell r="W1132" t="str">
            <v>60</v>
          </cell>
          <cell r="X1132" t="str">
            <v>230/460</v>
          </cell>
          <cell r="Y1132" t="str">
            <v>11.1/5.56</v>
          </cell>
          <cell r="AA1132" t="str">
            <v>F1</v>
          </cell>
          <cell r="AD1132" t="str">
            <v>-1</v>
          </cell>
          <cell r="AG1132" t="str">
            <v>HP</v>
          </cell>
          <cell r="AI1132" t="str">
            <v>6208</v>
          </cell>
          <cell r="AJ1132" t="str">
            <v>6206</v>
          </cell>
          <cell r="AP1132" t="str">
            <v>G</v>
          </cell>
          <cell r="AQ1132" t="str">
            <v>B</v>
          </cell>
          <cell r="AS1132" t="str">
            <v>1.15</v>
          </cell>
          <cell r="AV1132" t="b">
            <v>0</v>
          </cell>
          <cell r="EX1132" t="str">
            <v>F-9245-02670</v>
          </cell>
          <cell r="GK1132" t="str">
            <v>9 LEADS</v>
          </cell>
          <cell r="HD1132" t="str">
            <v>Repair Shop</v>
          </cell>
          <cell r="HT1132" t="b">
            <v>0</v>
          </cell>
          <cell r="HU1132" t="str">
            <v>CITY OF BENICIA, WATER TREATMENT PLANT</v>
          </cell>
        </row>
        <row r="1133">
          <cell r="A1133">
            <v>1626</v>
          </cell>
          <cell r="B1133" t="str">
            <v>VEM0574</v>
          </cell>
          <cell r="D1133" t="str">
            <v>CITYOFBENICIA</v>
          </cell>
          <cell r="F1133" t="str">
            <v>US Motors</v>
          </cell>
          <cell r="I1133" t="str">
            <v>213T</v>
          </cell>
          <cell r="K1133" t="str">
            <v>3</v>
          </cell>
          <cell r="L1133" t="str">
            <v>1165</v>
          </cell>
          <cell r="O1133" t="str">
            <v>Half no Cord</v>
          </cell>
          <cell r="P1133" t="str">
            <v>ODP</v>
          </cell>
          <cell r="Q1133" t="str">
            <v>Yes</v>
          </cell>
          <cell r="R1133" t="str">
            <v>Continuous</v>
          </cell>
          <cell r="S1133" t="str">
            <v>Yes</v>
          </cell>
          <cell r="U1133" t="str">
            <v>40</v>
          </cell>
          <cell r="V1133" t="str">
            <v>3</v>
          </cell>
          <cell r="W1133" t="str">
            <v>60</v>
          </cell>
          <cell r="X1133" t="str">
            <v>230/460</v>
          </cell>
          <cell r="Y1133" t="str">
            <v>11.1/5.58</v>
          </cell>
          <cell r="AA1133" t="str">
            <v>F1</v>
          </cell>
          <cell r="AG1133" t="str">
            <v>HP</v>
          </cell>
          <cell r="AI1133" t="str">
            <v>6208</v>
          </cell>
          <cell r="AJ1133" t="str">
            <v>6206</v>
          </cell>
          <cell r="AO1133" t="str">
            <v>B</v>
          </cell>
          <cell r="AP1133" t="str">
            <v>G</v>
          </cell>
          <cell r="AQ1133" t="str">
            <v>B</v>
          </cell>
          <cell r="AS1133" t="str">
            <v>1.15</v>
          </cell>
          <cell r="AV1133" t="b">
            <v>0</v>
          </cell>
          <cell r="EX1133" t="str">
            <v>F-9245-02570</v>
          </cell>
          <cell r="GK1133" t="str">
            <v>3 LEADS ONLY</v>
          </cell>
          <cell r="HD1133" t="str">
            <v>Repair Shop</v>
          </cell>
          <cell r="HT1133" t="b">
            <v>0</v>
          </cell>
          <cell r="HU1133" t="str">
            <v>CITY OF BENICIA, WATER TREATMENT PLANT</v>
          </cell>
        </row>
        <row r="1134">
          <cell r="A1134">
            <v>1625</v>
          </cell>
          <cell r="B1134" t="str">
            <v>VEM0573</v>
          </cell>
          <cell r="D1134" t="str">
            <v>P66</v>
          </cell>
          <cell r="AG1134" t="str">
            <v>HP</v>
          </cell>
          <cell r="AV1134" t="b">
            <v>0</v>
          </cell>
          <cell r="HD1134" t="str">
            <v>Repair Shop</v>
          </cell>
          <cell r="HT1134" t="b">
            <v>0</v>
          </cell>
          <cell r="HU1134" t="str">
            <v>PHILLIPS 66</v>
          </cell>
        </row>
        <row r="1135">
          <cell r="A1135">
            <v>1624</v>
          </cell>
          <cell r="B1135" t="str">
            <v>VEM0572</v>
          </cell>
          <cell r="D1135" t="str">
            <v>60 APS</v>
          </cell>
          <cell r="F1135" t="str">
            <v>DEMAG</v>
          </cell>
          <cell r="H1135" t="str">
            <v>12906160</v>
          </cell>
          <cell r="K1135" t="str">
            <v>15.5</v>
          </cell>
          <cell r="L1135" t="str">
            <v>1740</v>
          </cell>
          <cell r="M1135" t="str">
            <v>ZBA 132 C4 B140</v>
          </cell>
          <cell r="O1135" t="str">
            <v>Full no Cord</v>
          </cell>
          <cell r="P1135" t="str">
            <v>TEFC</v>
          </cell>
          <cell r="R1135" t="str">
            <v>Continuous</v>
          </cell>
          <cell r="T1135" t="str">
            <v>PINION GEAR</v>
          </cell>
          <cell r="U1135" t="str">
            <v>40</v>
          </cell>
          <cell r="V1135" t="str">
            <v>3</v>
          </cell>
          <cell r="W1135" t="str">
            <v>60</v>
          </cell>
          <cell r="X1135" t="str">
            <v>240/480</v>
          </cell>
          <cell r="Y1135" t="str">
            <v>18.5/37</v>
          </cell>
          <cell r="AA1135" t="str">
            <v>Other</v>
          </cell>
          <cell r="AD1135" t="str">
            <v>0</v>
          </cell>
          <cell r="AQ1135" t="str">
            <v>F</v>
          </cell>
          <cell r="AR1135" t="str">
            <v>.83</v>
          </cell>
          <cell r="AV1135" t="b">
            <v>0</v>
          </cell>
          <cell r="CM1135" t="str">
            <v>51.4</v>
          </cell>
          <cell r="CN1135" t="str">
            <v>AC 480 DC 216V</v>
          </cell>
          <cell r="CO1135" t="str">
            <v>.21</v>
          </cell>
          <cell r="HD1135" t="str">
            <v>Repair Shop</v>
          </cell>
          <cell r="HT1135" t="b">
            <v>0</v>
          </cell>
          <cell r="HU1135" t="str">
            <v>60 APS  TRAVIS AFB</v>
          </cell>
        </row>
        <row r="1136">
          <cell r="A1136">
            <v>1623</v>
          </cell>
          <cell r="B1136" t="str">
            <v>VEM0571</v>
          </cell>
          <cell r="D1136" t="str">
            <v>60 APS</v>
          </cell>
          <cell r="AD1136" t="str">
            <v>0</v>
          </cell>
          <cell r="AG1136" t="str">
            <v>HP</v>
          </cell>
          <cell r="AV1136" t="b">
            <v>0</v>
          </cell>
          <cell r="DZ1136" t="str">
            <v>DC</v>
          </cell>
          <cell r="EG1136" t="str">
            <v>510...650</v>
          </cell>
          <cell r="EH1136" t="str">
            <v>380...480</v>
          </cell>
          <cell r="HD1136" t="str">
            <v>Repair Shop</v>
          </cell>
          <cell r="HT1136" t="b">
            <v>0</v>
          </cell>
          <cell r="HU1136" t="str">
            <v>60 APS  TRAVIS AFB</v>
          </cell>
        </row>
        <row r="1137">
          <cell r="A1137">
            <v>1622</v>
          </cell>
          <cell r="B1137" t="str">
            <v>VEM0570</v>
          </cell>
          <cell r="D1137" t="str">
            <v>CLEANHARBORS</v>
          </cell>
          <cell r="F1137" t="str">
            <v>Reliance</v>
          </cell>
          <cell r="I1137" t="str">
            <v>365T</v>
          </cell>
          <cell r="K1137" t="str">
            <v>40</v>
          </cell>
          <cell r="L1137" t="str">
            <v>3555</v>
          </cell>
          <cell r="O1137" t="str">
            <v>Full no Cord</v>
          </cell>
          <cell r="Q1137" t="str">
            <v>Yes</v>
          </cell>
          <cell r="R1137" t="str">
            <v>Continuous</v>
          </cell>
          <cell r="S1137" t="str">
            <v>Yes</v>
          </cell>
          <cell r="U1137" t="str">
            <v>40</v>
          </cell>
          <cell r="V1137" t="str">
            <v>3</v>
          </cell>
          <cell r="W1137" t="str">
            <v>60</v>
          </cell>
          <cell r="X1137" t="str">
            <v>230/460</v>
          </cell>
          <cell r="Y1137" t="str">
            <v>95.6/47.8</v>
          </cell>
          <cell r="AA1137" t="str">
            <v>F2</v>
          </cell>
          <cell r="AG1137" t="str">
            <v>HP</v>
          </cell>
          <cell r="AO1137" t="str">
            <v>A</v>
          </cell>
          <cell r="AP1137" t="str">
            <v>K</v>
          </cell>
          <cell r="AQ1137" t="str">
            <v>H</v>
          </cell>
          <cell r="AS1137" t="str">
            <v>1.15</v>
          </cell>
          <cell r="AV1137" t="b">
            <v>0</v>
          </cell>
          <cell r="EX1137" t="str">
            <v>RB-82512EM-TR</v>
          </cell>
          <cell r="HD1137" t="str">
            <v>Repair Shop</v>
          </cell>
          <cell r="HT1137" t="b">
            <v>0</v>
          </cell>
          <cell r="HU1137" t="str">
            <v>CLEAN HARBORS</v>
          </cell>
        </row>
        <row r="1138">
          <cell r="A1138">
            <v>1621</v>
          </cell>
          <cell r="B1138" t="str">
            <v>VEM0569</v>
          </cell>
          <cell r="D1138" t="str">
            <v>BENICIAPARK</v>
          </cell>
          <cell r="AD1138" t="str">
            <v>0</v>
          </cell>
          <cell r="AG1138" t="str">
            <v>HP</v>
          </cell>
          <cell r="AV1138" t="b">
            <v>0</v>
          </cell>
          <cell r="HD1138" t="str">
            <v>Repair Shop</v>
          </cell>
          <cell r="HT1138" t="b">
            <v>0</v>
          </cell>
          <cell r="HU1138" t="str">
            <v>CITY OF BENICIA PARKS &amp; RECREATION</v>
          </cell>
        </row>
        <row r="1139">
          <cell r="A1139">
            <v>1620</v>
          </cell>
          <cell r="B1139" t="str">
            <v>VEM0568</v>
          </cell>
          <cell r="D1139" t="str">
            <v>ALLBAY</v>
          </cell>
          <cell r="AG1139" t="str">
            <v>HP</v>
          </cell>
          <cell r="AV1139" t="b">
            <v>0</v>
          </cell>
          <cell r="HD1139" t="str">
            <v>Repair Shop</v>
          </cell>
          <cell r="HT1139" t="b">
            <v>0</v>
          </cell>
          <cell r="HU1139" t="str">
            <v>ALL BAY LUMBER</v>
          </cell>
        </row>
        <row r="1140">
          <cell r="A1140">
            <v>1619</v>
          </cell>
          <cell r="B1140" t="str">
            <v>VEM0567</v>
          </cell>
          <cell r="D1140" t="str">
            <v>CONHAGEN</v>
          </cell>
          <cell r="AG1140" t="str">
            <v>HP</v>
          </cell>
          <cell r="AV1140" t="b">
            <v>0</v>
          </cell>
          <cell r="HD1140" t="str">
            <v>Repair Shop</v>
          </cell>
          <cell r="HT1140" t="b">
            <v>0</v>
          </cell>
          <cell r="HU1140" t="str">
            <v>ALFRED CONHAGEN CO. OF CA</v>
          </cell>
        </row>
        <row r="1141">
          <cell r="A1141">
            <v>1618</v>
          </cell>
          <cell r="B1141" t="str">
            <v>VEM0566</v>
          </cell>
          <cell r="D1141" t="str">
            <v>CONHAGEN</v>
          </cell>
          <cell r="AV1141" t="b">
            <v>0</v>
          </cell>
          <cell r="HD1141" t="str">
            <v>Repair Shop</v>
          </cell>
          <cell r="HT1141" t="b">
            <v>0</v>
          </cell>
          <cell r="HU1141" t="str">
            <v>ALFRED CONHAGEN CO. OF CA</v>
          </cell>
        </row>
        <row r="1142">
          <cell r="A1142">
            <v>1617</v>
          </cell>
          <cell r="B1142" t="str">
            <v>VEM0565</v>
          </cell>
          <cell r="D1142" t="str">
            <v>CONHAGEN</v>
          </cell>
          <cell r="F1142" t="str">
            <v>Reliance</v>
          </cell>
          <cell r="I1142" t="str">
            <v>284TSC</v>
          </cell>
          <cell r="K1142" t="str">
            <v>25</v>
          </cell>
          <cell r="L1142" t="str">
            <v>1770</v>
          </cell>
          <cell r="M1142" t="str">
            <v>P</v>
          </cell>
          <cell r="P1142" t="str">
            <v>TEFC</v>
          </cell>
          <cell r="R1142" t="str">
            <v>Continuous</v>
          </cell>
          <cell r="S1142" t="str">
            <v>Yes</v>
          </cell>
          <cell r="T1142" t="str">
            <v>NONE NO KEY</v>
          </cell>
          <cell r="U1142" t="str">
            <v>40</v>
          </cell>
          <cell r="V1142" t="str">
            <v>3</v>
          </cell>
          <cell r="W1142" t="str">
            <v>60</v>
          </cell>
          <cell r="X1142" t="str">
            <v>230/460</v>
          </cell>
          <cell r="Y1142" t="str">
            <v>61/30.5</v>
          </cell>
          <cell r="AA1142" t="str">
            <v>Other</v>
          </cell>
          <cell r="AD1142" t="str">
            <v>0</v>
          </cell>
          <cell r="AG1142" t="str">
            <v>HP</v>
          </cell>
          <cell r="AO1142" t="str">
            <v>B</v>
          </cell>
          <cell r="AV1142" t="b">
            <v>0</v>
          </cell>
          <cell r="GK1142" t="str">
            <v>DOUBLE SHAFTED</v>
          </cell>
          <cell r="HD1142" t="str">
            <v>Repair Shop</v>
          </cell>
          <cell r="HT1142" t="b">
            <v>0</v>
          </cell>
          <cell r="HU1142" t="str">
            <v>ALFRED CONHAGEN CO. OF CA</v>
          </cell>
        </row>
        <row r="1143">
          <cell r="A1143">
            <v>1616</v>
          </cell>
          <cell r="B1143" t="str">
            <v>VEM0564</v>
          </cell>
          <cell r="D1143" t="str">
            <v>CONHAGEN</v>
          </cell>
          <cell r="F1143" t="str">
            <v>Westinghouse</v>
          </cell>
          <cell r="G1143" t="str">
            <v>TBFC</v>
          </cell>
          <cell r="H1143" t="str">
            <v>6801</v>
          </cell>
          <cell r="I1143" t="str">
            <v>256TPZ</v>
          </cell>
          <cell r="K1143" t="str">
            <v>20</v>
          </cell>
          <cell r="L1143" t="str">
            <v>3505</v>
          </cell>
          <cell r="M1143" t="str">
            <v>P</v>
          </cell>
          <cell r="O1143" t="str">
            <v>None</v>
          </cell>
          <cell r="P1143" t="str">
            <v>TEFC</v>
          </cell>
          <cell r="R1143" t="str">
            <v>Continuous</v>
          </cell>
          <cell r="S1143" t="str">
            <v>Yes</v>
          </cell>
          <cell r="T1143" t="str">
            <v>NONE NO KEY</v>
          </cell>
          <cell r="U1143" t="str">
            <v>40</v>
          </cell>
          <cell r="V1143" t="str">
            <v>3</v>
          </cell>
          <cell r="W1143" t="str">
            <v>60</v>
          </cell>
          <cell r="X1143" t="str">
            <v>460</v>
          </cell>
          <cell r="Y1143" t="str">
            <v>23.4</v>
          </cell>
          <cell r="AA1143" t="str">
            <v>Vertical</v>
          </cell>
          <cell r="AD1143" t="str">
            <v>-1</v>
          </cell>
          <cell r="AG1143" t="str">
            <v>HP</v>
          </cell>
          <cell r="AO1143" t="str">
            <v>B</v>
          </cell>
          <cell r="AQ1143" t="str">
            <v>F</v>
          </cell>
          <cell r="AS1143" t="str">
            <v>1.0</v>
          </cell>
          <cell r="AV1143" t="b">
            <v>0</v>
          </cell>
          <cell r="GK1143" t="str">
            <v>3 LEADS ONLY</v>
          </cell>
          <cell r="HD1143" t="str">
            <v>Repair Shop</v>
          </cell>
          <cell r="HT1143" t="b">
            <v>0</v>
          </cell>
          <cell r="HU1143" t="str">
            <v>ALFRED CONHAGEN CO. OF CA</v>
          </cell>
        </row>
        <row r="1144">
          <cell r="A1144">
            <v>1615</v>
          </cell>
          <cell r="B1144" t="str">
            <v>VEM0563</v>
          </cell>
          <cell r="D1144" t="str">
            <v>P66</v>
          </cell>
          <cell r="AG1144" t="str">
            <v>HP</v>
          </cell>
          <cell r="AV1144" t="b">
            <v>0</v>
          </cell>
          <cell r="HD1144" t="str">
            <v>Repair Shop</v>
          </cell>
          <cell r="HT1144" t="b">
            <v>0</v>
          </cell>
          <cell r="HU1144" t="str">
            <v>PHILLIPS 66</v>
          </cell>
        </row>
        <row r="1145">
          <cell r="A1145">
            <v>1614</v>
          </cell>
          <cell r="B1145" t="str">
            <v>VEM0562</v>
          </cell>
          <cell r="D1145" t="str">
            <v>P66</v>
          </cell>
          <cell r="F1145" t="str">
            <v>Reliance</v>
          </cell>
          <cell r="I1145" t="str">
            <v>FL143TC</v>
          </cell>
          <cell r="K1145" t="str">
            <v>.75</v>
          </cell>
          <cell r="L1145" t="str">
            <v>1725</v>
          </cell>
          <cell r="M1145" t="str">
            <v>P</v>
          </cell>
          <cell r="O1145" t="str">
            <v>Full no Cord</v>
          </cell>
          <cell r="P1145" t="str">
            <v>TENV</v>
          </cell>
          <cell r="R1145" t="str">
            <v>Continuous</v>
          </cell>
          <cell r="S1145" t="str">
            <v>No</v>
          </cell>
          <cell r="T1145" t="str">
            <v>NONE NO KEY</v>
          </cell>
          <cell r="U1145" t="str">
            <v>40</v>
          </cell>
          <cell r="V1145" t="str">
            <v>3</v>
          </cell>
          <cell r="W1145" t="str">
            <v>60</v>
          </cell>
          <cell r="X1145" t="str">
            <v>230/460</v>
          </cell>
          <cell r="Y1145" t="str">
            <v>2.2/1.1</v>
          </cell>
          <cell r="AA1145" t="str">
            <v>Vertical</v>
          </cell>
          <cell r="AD1145" t="str">
            <v>0</v>
          </cell>
          <cell r="AG1145" t="str">
            <v>HP</v>
          </cell>
          <cell r="AO1145" t="str">
            <v>B</v>
          </cell>
          <cell r="AP1145" t="str">
            <v>M</v>
          </cell>
          <cell r="AQ1145" t="str">
            <v>F</v>
          </cell>
          <cell r="AS1145" t="str">
            <v>1.15</v>
          </cell>
          <cell r="AV1145" t="b">
            <v>0</v>
          </cell>
          <cell r="EX1145" t="str">
            <v>P14G7524M-ZZ</v>
          </cell>
          <cell r="HD1145" t="str">
            <v>Repair Shop</v>
          </cell>
          <cell r="HT1145" t="b">
            <v>0</v>
          </cell>
          <cell r="HU1145" t="str">
            <v>PHILLIPS 66</v>
          </cell>
        </row>
        <row r="1146">
          <cell r="A1146">
            <v>1613</v>
          </cell>
          <cell r="B1146" t="str">
            <v>VEM0561</v>
          </cell>
          <cell r="D1146" t="str">
            <v>VALERO</v>
          </cell>
          <cell r="F1146" t="str">
            <v>Reliance</v>
          </cell>
          <cell r="I1146" t="str">
            <v>286LP</v>
          </cell>
          <cell r="K1146" t="str">
            <v>30</v>
          </cell>
          <cell r="L1146" t="str">
            <v>1765</v>
          </cell>
          <cell r="M1146" t="str">
            <v>P</v>
          </cell>
          <cell r="O1146" t="str">
            <v>None</v>
          </cell>
          <cell r="P1146" t="str">
            <v>TEFC</v>
          </cell>
          <cell r="Q1146" t="str">
            <v>No</v>
          </cell>
          <cell r="R1146" t="str">
            <v>Continuous</v>
          </cell>
          <cell r="S1146" t="str">
            <v>No</v>
          </cell>
          <cell r="T1146" t="str">
            <v>YES</v>
          </cell>
          <cell r="U1146" t="str">
            <v>40C</v>
          </cell>
          <cell r="V1146" t="str">
            <v>3</v>
          </cell>
          <cell r="W1146" t="str">
            <v>60</v>
          </cell>
          <cell r="X1146" t="str">
            <v>460</v>
          </cell>
          <cell r="Z1146" t="str">
            <v>Yes</v>
          </cell>
          <cell r="AA1146" t="str">
            <v>Vertical</v>
          </cell>
          <cell r="AD1146" t="str">
            <v>0</v>
          </cell>
          <cell r="AG1146" t="str">
            <v>HP</v>
          </cell>
          <cell r="AI1146" t="str">
            <v>6212</v>
          </cell>
          <cell r="AJ1146" t="str">
            <v>(2) 7309</v>
          </cell>
          <cell r="AO1146" t="str">
            <v>B</v>
          </cell>
          <cell r="AP1146" t="str">
            <v>G</v>
          </cell>
          <cell r="AQ1146" t="str">
            <v>F</v>
          </cell>
          <cell r="AS1146" t="str">
            <v>1.15</v>
          </cell>
          <cell r="AV1146" t="b">
            <v>0</v>
          </cell>
          <cell r="AW1146" t="str">
            <v>35.8</v>
          </cell>
          <cell r="EX1146" t="str">
            <v>1MAF54689</v>
          </cell>
          <cell r="HD1146" t="str">
            <v>Repair Shop</v>
          </cell>
          <cell r="HT1146" t="b">
            <v>0</v>
          </cell>
          <cell r="HU1146" t="str">
            <v>VALERO REFINING CO. BENICIA</v>
          </cell>
        </row>
        <row r="1147">
          <cell r="A1147">
            <v>1612</v>
          </cell>
          <cell r="B1147" t="str">
            <v>VEM0560</v>
          </cell>
          <cell r="D1147" t="str">
            <v>VALERO</v>
          </cell>
          <cell r="F1147" t="str">
            <v>Reliance</v>
          </cell>
          <cell r="I1147" t="str">
            <v>364LPZ</v>
          </cell>
          <cell r="K1147" t="str">
            <v>40</v>
          </cell>
          <cell r="L1147" t="str">
            <v>1185</v>
          </cell>
          <cell r="M1147" t="str">
            <v>P</v>
          </cell>
          <cell r="O1147" t="str">
            <v>None</v>
          </cell>
          <cell r="P1147" t="str">
            <v>TEFC</v>
          </cell>
          <cell r="R1147" t="str">
            <v>Continuous</v>
          </cell>
          <cell r="T1147" t="str">
            <v>YES</v>
          </cell>
          <cell r="U1147" t="str">
            <v>40</v>
          </cell>
          <cell r="V1147" t="str">
            <v>3</v>
          </cell>
          <cell r="W1147" t="str">
            <v>60</v>
          </cell>
          <cell r="X1147" t="str">
            <v>460</v>
          </cell>
          <cell r="Y1147" t="str">
            <v>47.7</v>
          </cell>
          <cell r="AA1147" t="str">
            <v>Vertical</v>
          </cell>
          <cell r="AD1147" t="str">
            <v>0</v>
          </cell>
          <cell r="AG1147" t="str">
            <v>HP</v>
          </cell>
          <cell r="AO1147" t="str">
            <v>B</v>
          </cell>
          <cell r="AP1147" t="str">
            <v>G</v>
          </cell>
          <cell r="AQ1147" t="str">
            <v>F</v>
          </cell>
          <cell r="AR1147" t="str">
            <v>83.9</v>
          </cell>
          <cell r="AT1147" t="str">
            <v>93.0</v>
          </cell>
          <cell r="AV1147" t="b">
            <v>0</v>
          </cell>
          <cell r="EX1147" t="str">
            <v>1MAF30863-C1-UN</v>
          </cell>
          <cell r="HD1147" t="str">
            <v>Repair Shop</v>
          </cell>
          <cell r="HT1147" t="b">
            <v>0</v>
          </cell>
          <cell r="HU1147" t="str">
            <v>VALERO REFINING CO. BENICIA</v>
          </cell>
        </row>
        <row r="1148">
          <cell r="A1148">
            <v>1611</v>
          </cell>
          <cell r="B1148" t="str">
            <v>VEM0559</v>
          </cell>
          <cell r="D1148" t="str">
            <v>ELLIOTT</v>
          </cell>
          <cell r="F1148" t="str">
            <v>GE</v>
          </cell>
          <cell r="G1148" t="str">
            <v>5K215BG2024</v>
          </cell>
          <cell r="H1148" t="str">
            <v>EB</v>
          </cell>
          <cell r="I1148" t="str">
            <v>215</v>
          </cell>
          <cell r="K1148" t="str">
            <v>5</v>
          </cell>
          <cell r="L1148" t="str">
            <v>1750</v>
          </cell>
          <cell r="M1148" t="str">
            <v>K</v>
          </cell>
          <cell r="O1148" t="str">
            <v>Full no Cord</v>
          </cell>
          <cell r="P1148" t="str">
            <v>ODP</v>
          </cell>
          <cell r="R1148" t="str">
            <v>Continuous</v>
          </cell>
          <cell r="T1148" t="str">
            <v>YES</v>
          </cell>
          <cell r="V1148" t="str">
            <v>3</v>
          </cell>
          <cell r="W1148" t="str">
            <v>60</v>
          </cell>
          <cell r="X1148" t="str">
            <v>208-220/440</v>
          </cell>
          <cell r="Y1148" t="str">
            <v>14,2/7.1</v>
          </cell>
          <cell r="AA1148" t="str">
            <v>F1</v>
          </cell>
          <cell r="AD1148" t="str">
            <v>0</v>
          </cell>
          <cell r="AG1148" t="str">
            <v>HP</v>
          </cell>
          <cell r="AO1148" t="str">
            <v>B</v>
          </cell>
          <cell r="AP1148" t="str">
            <v>H</v>
          </cell>
          <cell r="AV1148" t="b">
            <v>0</v>
          </cell>
          <cell r="HD1148" t="str">
            <v>Repair Shop</v>
          </cell>
          <cell r="HT1148" t="b">
            <v>0</v>
          </cell>
          <cell r="HU1148" t="str">
            <v>ELLIOTT GROUP</v>
          </cell>
        </row>
        <row r="1149">
          <cell r="A1149">
            <v>1610</v>
          </cell>
          <cell r="B1149" t="str">
            <v>VEM0558</v>
          </cell>
          <cell r="D1149" t="str">
            <v>P66</v>
          </cell>
          <cell r="F1149" t="str">
            <v>US Motors</v>
          </cell>
          <cell r="G1149" t="str">
            <v>A436B</v>
          </cell>
          <cell r="I1149" t="str">
            <v>213T</v>
          </cell>
          <cell r="K1149" t="str">
            <v>7.5</v>
          </cell>
          <cell r="L1149" t="str">
            <v>3525</v>
          </cell>
          <cell r="O1149" t="str">
            <v>Full no Cord</v>
          </cell>
          <cell r="P1149" t="str">
            <v>TEFC</v>
          </cell>
          <cell r="R1149" t="str">
            <v>Continuous</v>
          </cell>
          <cell r="S1149" t="str">
            <v>Yes</v>
          </cell>
          <cell r="T1149" t="str">
            <v>KEY ONLY</v>
          </cell>
          <cell r="U1149" t="str">
            <v>40</v>
          </cell>
          <cell r="V1149" t="str">
            <v>3</v>
          </cell>
          <cell r="W1149" t="str">
            <v>60</v>
          </cell>
          <cell r="X1149" t="str">
            <v>230/460</v>
          </cell>
          <cell r="Y1149" t="str">
            <v>18.6/9.3</v>
          </cell>
          <cell r="AA1149" t="str">
            <v>F1</v>
          </cell>
          <cell r="AD1149" t="str">
            <v>0</v>
          </cell>
          <cell r="AG1149" t="str">
            <v>HP</v>
          </cell>
          <cell r="AI1149" t="str">
            <v>6208</v>
          </cell>
          <cell r="AJ1149" t="str">
            <v>6206</v>
          </cell>
          <cell r="AO1149" t="str">
            <v>A</v>
          </cell>
          <cell r="AP1149" t="str">
            <v>J</v>
          </cell>
          <cell r="AQ1149" t="str">
            <v>F</v>
          </cell>
          <cell r="AS1149" t="str">
            <v>1.25</v>
          </cell>
          <cell r="AV1149" t="b">
            <v>0</v>
          </cell>
          <cell r="EX1149" t="str">
            <v>Y11Y262R110M</v>
          </cell>
          <cell r="HD1149" t="str">
            <v>Repair Shop</v>
          </cell>
          <cell r="HT1149" t="b">
            <v>0</v>
          </cell>
          <cell r="HU1149" t="str">
            <v>PHILLIPS 66</v>
          </cell>
        </row>
        <row r="1150">
          <cell r="A1150">
            <v>1609</v>
          </cell>
          <cell r="B1150" t="str">
            <v>VEM0557</v>
          </cell>
          <cell r="D1150" t="str">
            <v>P66</v>
          </cell>
          <cell r="F1150" t="str">
            <v>Baldor</v>
          </cell>
          <cell r="H1150" t="str">
            <v>Z1510020171</v>
          </cell>
          <cell r="I1150" t="str">
            <v>254T</v>
          </cell>
          <cell r="K1150" t="str">
            <v>15</v>
          </cell>
          <cell r="L1150" t="str">
            <v>1760</v>
          </cell>
          <cell r="O1150" t="str">
            <v>None</v>
          </cell>
          <cell r="P1150" t="str">
            <v>TEFC</v>
          </cell>
          <cell r="R1150" t="str">
            <v>Continuous</v>
          </cell>
          <cell r="S1150" t="str">
            <v>Yes</v>
          </cell>
          <cell r="T1150" t="str">
            <v>FLUSH</v>
          </cell>
          <cell r="U1150" t="str">
            <v>40</v>
          </cell>
          <cell r="V1150" t="str">
            <v>3</v>
          </cell>
          <cell r="W1150" t="str">
            <v>60</v>
          </cell>
          <cell r="X1150" t="str">
            <v>460</v>
          </cell>
          <cell r="Y1150" t="str">
            <v>17.6</v>
          </cell>
          <cell r="AA1150" t="str">
            <v>F1</v>
          </cell>
          <cell r="AD1150" t="str">
            <v>0</v>
          </cell>
          <cell r="AG1150" t="str">
            <v>HP</v>
          </cell>
          <cell r="AO1150" t="str">
            <v>B</v>
          </cell>
          <cell r="AQ1150" t="str">
            <v>F</v>
          </cell>
          <cell r="AR1150" t="str">
            <v>85</v>
          </cell>
          <cell r="AS1150" t="str">
            <v>1.15</v>
          </cell>
          <cell r="AT1150" t="str">
            <v>92.4</v>
          </cell>
          <cell r="AU1150" t="str">
            <v>096944Z997</v>
          </cell>
          <cell r="AV1150" t="b">
            <v>0</v>
          </cell>
          <cell r="EW1150" t="str">
            <v>ECP82333T-4</v>
          </cell>
          <cell r="GK1150" t="str">
            <v>3 LEADS ONLY</v>
          </cell>
          <cell r="HD1150" t="str">
            <v>Repair Shop</v>
          </cell>
          <cell r="HT1150" t="b">
            <v>0</v>
          </cell>
          <cell r="HU1150" t="str">
            <v>PHILLIPS 66</v>
          </cell>
        </row>
        <row r="1151">
          <cell r="A1151">
            <v>1608</v>
          </cell>
          <cell r="B1151" t="str">
            <v>VEM0556</v>
          </cell>
          <cell r="D1151" t="str">
            <v>P66</v>
          </cell>
          <cell r="F1151" t="str">
            <v>Baldor</v>
          </cell>
          <cell r="H1151" t="str">
            <v>F1196</v>
          </cell>
          <cell r="I1151" t="str">
            <v>184T</v>
          </cell>
          <cell r="K1151" t="str">
            <v>5</v>
          </cell>
          <cell r="L1151" t="str">
            <v>1760</v>
          </cell>
          <cell r="O1151" t="str">
            <v>Full no Cord</v>
          </cell>
          <cell r="R1151" t="str">
            <v>Continuous</v>
          </cell>
          <cell r="S1151" t="str">
            <v>Yes</v>
          </cell>
          <cell r="T1151" t="str">
            <v>KEY ONLY</v>
          </cell>
          <cell r="U1151" t="str">
            <v>40</v>
          </cell>
          <cell r="V1151" t="str">
            <v>3</v>
          </cell>
          <cell r="W1151" t="str">
            <v>60</v>
          </cell>
          <cell r="X1151" t="str">
            <v>460</v>
          </cell>
          <cell r="Y1151" t="str">
            <v>6.8</v>
          </cell>
          <cell r="AA1151" t="str">
            <v>F1</v>
          </cell>
          <cell r="AD1151" t="str">
            <v>0</v>
          </cell>
          <cell r="AG1151" t="str">
            <v>HP</v>
          </cell>
          <cell r="AI1151" t="str">
            <v>6206</v>
          </cell>
          <cell r="AJ1151" t="str">
            <v>6206</v>
          </cell>
          <cell r="AO1151" t="str">
            <v>B</v>
          </cell>
          <cell r="AP1151" t="str">
            <v>J</v>
          </cell>
          <cell r="AQ1151" t="str">
            <v>F</v>
          </cell>
          <cell r="AS1151" t="str">
            <v>1.15</v>
          </cell>
          <cell r="AU1151" t="str">
            <v>06H0I3X55</v>
          </cell>
          <cell r="AV1151" t="b">
            <v>0</v>
          </cell>
          <cell r="EW1151" t="str">
            <v>ECP3665T-4</v>
          </cell>
          <cell r="HD1151" t="str">
            <v>Repair Shop</v>
          </cell>
          <cell r="HT1151" t="b">
            <v>0</v>
          </cell>
          <cell r="HU1151" t="str">
            <v>PHILLIPS 66</v>
          </cell>
        </row>
        <row r="1152">
          <cell r="A1152">
            <v>1607</v>
          </cell>
          <cell r="B1152" t="str">
            <v>VEM0555</v>
          </cell>
          <cell r="D1152" t="str">
            <v>P66</v>
          </cell>
          <cell r="F1152" t="str">
            <v>GE</v>
          </cell>
          <cell r="G1152" t="str">
            <v>5KS215SS208A</v>
          </cell>
          <cell r="I1152" t="str">
            <v>215T</v>
          </cell>
          <cell r="K1152" t="str">
            <v>10</v>
          </cell>
          <cell r="L1152" t="str">
            <v>1750</v>
          </cell>
          <cell r="M1152" t="str">
            <v>KS</v>
          </cell>
          <cell r="O1152" t="str">
            <v>Full no Cord</v>
          </cell>
          <cell r="R1152" t="str">
            <v>Continuous</v>
          </cell>
          <cell r="T1152" t="str">
            <v>NONE NO KEY</v>
          </cell>
          <cell r="U1152" t="str">
            <v>40</v>
          </cell>
          <cell r="V1152" t="str">
            <v>3</v>
          </cell>
          <cell r="W1152" t="str">
            <v>60</v>
          </cell>
          <cell r="X1152" t="str">
            <v>460</v>
          </cell>
          <cell r="Y1152" t="str">
            <v>12</v>
          </cell>
          <cell r="AA1152" t="str">
            <v>F1</v>
          </cell>
          <cell r="AD1152" t="str">
            <v>0</v>
          </cell>
          <cell r="AG1152" t="str">
            <v>HP</v>
          </cell>
          <cell r="AO1152" t="str">
            <v>B</v>
          </cell>
          <cell r="AP1152" t="str">
            <v>H</v>
          </cell>
          <cell r="AR1152" t="str">
            <v>86.0</v>
          </cell>
          <cell r="AS1152" t="str">
            <v>1.15</v>
          </cell>
          <cell r="AT1152" t="str">
            <v>90.2</v>
          </cell>
          <cell r="AV1152" t="b">
            <v>0</v>
          </cell>
          <cell r="HD1152" t="str">
            <v>Repair Shop</v>
          </cell>
          <cell r="HT1152" t="b">
            <v>0</v>
          </cell>
          <cell r="HU1152" t="str">
            <v>PHILLIPS 66</v>
          </cell>
        </row>
        <row r="1153">
          <cell r="A1153">
            <v>1606</v>
          </cell>
          <cell r="B1153" t="str">
            <v>VEM0554</v>
          </cell>
          <cell r="D1153" t="str">
            <v>P66</v>
          </cell>
          <cell r="F1153" t="str">
            <v>Reliance</v>
          </cell>
          <cell r="I1153" t="str">
            <v>284T</v>
          </cell>
          <cell r="K1153" t="str">
            <v>25</v>
          </cell>
          <cell r="L1153" t="str">
            <v>1770</v>
          </cell>
          <cell r="M1153" t="str">
            <v>P</v>
          </cell>
          <cell r="O1153" t="str">
            <v>Full no Cord</v>
          </cell>
          <cell r="P1153" t="str">
            <v>TEFC</v>
          </cell>
          <cell r="R1153" t="str">
            <v>Continuous</v>
          </cell>
          <cell r="S1153" t="str">
            <v>Yes</v>
          </cell>
          <cell r="T1153" t="str">
            <v>KEY ONLY</v>
          </cell>
          <cell r="U1153" t="str">
            <v>40</v>
          </cell>
          <cell r="V1153" t="str">
            <v>3</v>
          </cell>
          <cell r="W1153" t="str">
            <v>60</v>
          </cell>
          <cell r="X1153" t="str">
            <v>460</v>
          </cell>
          <cell r="Y1153" t="str">
            <v>29.7</v>
          </cell>
          <cell r="AA1153" t="str">
            <v>F1</v>
          </cell>
          <cell r="AD1153" t="str">
            <v>0</v>
          </cell>
          <cell r="AG1153" t="str">
            <v>HP</v>
          </cell>
          <cell r="AI1153" t="str">
            <v>6310</v>
          </cell>
          <cell r="AJ1153" t="str">
            <v>6310</v>
          </cell>
          <cell r="AO1153" t="str">
            <v>B</v>
          </cell>
          <cell r="AR1153" t="str">
            <v>84.3</v>
          </cell>
          <cell r="AS1153" t="str">
            <v>1.15</v>
          </cell>
          <cell r="AT1153" t="str">
            <v>93.6</v>
          </cell>
          <cell r="AV1153" t="b">
            <v>0</v>
          </cell>
          <cell r="EX1153" t="str">
            <v>HM421036-004-AK</v>
          </cell>
          <cell r="HD1153" t="str">
            <v>Repair Shop</v>
          </cell>
          <cell r="HT1153" t="b">
            <v>0</v>
          </cell>
          <cell r="HU1153" t="str">
            <v>PHILLIPS 66</v>
          </cell>
        </row>
        <row r="1154">
          <cell r="A1154">
            <v>1605</v>
          </cell>
          <cell r="B1154" t="str">
            <v>VEM0553</v>
          </cell>
          <cell r="D1154" t="str">
            <v>P66</v>
          </cell>
          <cell r="F1154" t="str">
            <v>ALLIS CHALMERS</v>
          </cell>
          <cell r="H1154" t="str">
            <v>1-5124-82940-7-1</v>
          </cell>
          <cell r="I1154" t="str">
            <v>405S</v>
          </cell>
          <cell r="K1154" t="str">
            <v>40</v>
          </cell>
          <cell r="L1154" t="str">
            <v>3550</v>
          </cell>
          <cell r="M1154" t="str">
            <v>APZ-CH</v>
          </cell>
          <cell r="O1154" t="str">
            <v>Full no Cord</v>
          </cell>
          <cell r="P1154" t="str">
            <v>TEFC</v>
          </cell>
          <cell r="R1154" t="str">
            <v>Continuous</v>
          </cell>
          <cell r="S1154" t="str">
            <v>Yes</v>
          </cell>
          <cell r="T1154" t="str">
            <v>NONE NO KEY</v>
          </cell>
          <cell r="U1154" t="str">
            <v>55</v>
          </cell>
          <cell r="W1154" t="str">
            <v>60</v>
          </cell>
          <cell r="X1154" t="str">
            <v>220/440</v>
          </cell>
          <cell r="Y1154" t="str">
            <v>98/49</v>
          </cell>
          <cell r="AA1154" t="str">
            <v>F1</v>
          </cell>
          <cell r="AD1154" t="str">
            <v>-1</v>
          </cell>
          <cell r="AG1154" t="str">
            <v>HP</v>
          </cell>
          <cell r="AO1154" t="str">
            <v>A</v>
          </cell>
          <cell r="AS1154" t="str">
            <v>1.0</v>
          </cell>
          <cell r="AV1154" t="b">
            <v>0</v>
          </cell>
          <cell r="GK1154" t="str">
            <v>9 LEADS SEALED</v>
          </cell>
          <cell r="GL1154" t="str">
            <v>LEADS SEALED</v>
          </cell>
          <cell r="HD1154" t="str">
            <v>Repair Shop</v>
          </cell>
          <cell r="HT1154" t="b">
            <v>0</v>
          </cell>
          <cell r="HU1154" t="str">
            <v>PHILLIPS 66</v>
          </cell>
        </row>
        <row r="1155">
          <cell r="A1155">
            <v>1604</v>
          </cell>
          <cell r="B1155" t="str">
            <v>VEM0552</v>
          </cell>
          <cell r="D1155" t="str">
            <v>P66</v>
          </cell>
          <cell r="F1155" t="str">
            <v>Toshiba</v>
          </cell>
          <cell r="G1155" t="str">
            <v>B0152YLF2AM</v>
          </cell>
          <cell r="H1155" t="str">
            <v>91X02190</v>
          </cell>
          <cell r="I1155" t="str">
            <v>254T</v>
          </cell>
          <cell r="K1155" t="str">
            <v>15</v>
          </cell>
          <cell r="L1155" t="str">
            <v>3520</v>
          </cell>
          <cell r="M1155" t="str">
            <v>IKK</v>
          </cell>
          <cell r="O1155" t="str">
            <v>Full no Cord</v>
          </cell>
          <cell r="P1155" t="str">
            <v>EXP</v>
          </cell>
          <cell r="R1155" t="str">
            <v>Continuous</v>
          </cell>
          <cell r="S1155" t="str">
            <v>Yes</v>
          </cell>
          <cell r="T1155" t="str">
            <v>NONE NO KEY</v>
          </cell>
          <cell r="U1155" t="str">
            <v>40</v>
          </cell>
          <cell r="V1155" t="str">
            <v>3</v>
          </cell>
          <cell r="W1155" t="str">
            <v>60</v>
          </cell>
          <cell r="X1155" t="str">
            <v>230/460</v>
          </cell>
          <cell r="Y1155" t="str">
            <v>36/18</v>
          </cell>
          <cell r="AA1155" t="str">
            <v>F1</v>
          </cell>
          <cell r="AG1155" t="str">
            <v>HP</v>
          </cell>
          <cell r="AI1155" t="str">
            <v>6309</v>
          </cell>
          <cell r="AJ1155" t="str">
            <v>6309</v>
          </cell>
          <cell r="AO1155" t="str">
            <v>B</v>
          </cell>
          <cell r="AP1155" t="str">
            <v>G</v>
          </cell>
          <cell r="AV1155" t="b">
            <v>0</v>
          </cell>
          <cell r="HD1155" t="str">
            <v>Repair Shop</v>
          </cell>
          <cell r="HT1155" t="b">
            <v>0</v>
          </cell>
          <cell r="HU1155" t="str">
            <v>PHILLIPS 66</v>
          </cell>
        </row>
        <row r="1156">
          <cell r="A1156">
            <v>1603</v>
          </cell>
          <cell r="B1156" t="str">
            <v>VEM0551</v>
          </cell>
          <cell r="D1156" t="str">
            <v>SUPERSTORES</v>
          </cell>
          <cell r="F1156" t="str">
            <v>Baldor</v>
          </cell>
          <cell r="H1156" t="str">
            <v>F1206143995</v>
          </cell>
          <cell r="I1156" t="str">
            <v>215TC</v>
          </cell>
          <cell r="K1156" t="str">
            <v>15</v>
          </cell>
          <cell r="L1156" t="str">
            <v>3500</v>
          </cell>
          <cell r="O1156" t="str">
            <v>Full w/ Cord</v>
          </cell>
          <cell r="P1156" t="str">
            <v>TEFC</v>
          </cell>
          <cell r="R1156" t="str">
            <v>Continuous</v>
          </cell>
          <cell r="S1156" t="str">
            <v>Yes</v>
          </cell>
          <cell r="T1156" t="str">
            <v>NONE NO KEY</v>
          </cell>
          <cell r="U1156" t="str">
            <v>40</v>
          </cell>
          <cell r="V1156" t="str">
            <v>3</v>
          </cell>
          <cell r="W1156" t="str">
            <v>60</v>
          </cell>
          <cell r="X1156" t="str">
            <v>230/460</v>
          </cell>
          <cell r="Y1156" t="str">
            <v>34/17</v>
          </cell>
          <cell r="AA1156" t="str">
            <v>F1</v>
          </cell>
          <cell r="AD1156" t="str">
            <v>0</v>
          </cell>
          <cell r="AG1156" t="str">
            <v>HP</v>
          </cell>
          <cell r="AI1156" t="str">
            <v>6307</v>
          </cell>
          <cell r="AJ1156" t="str">
            <v>6206</v>
          </cell>
          <cell r="AO1156" t="str">
            <v>A</v>
          </cell>
          <cell r="AP1156" t="str">
            <v>J</v>
          </cell>
          <cell r="AR1156" t="str">
            <v>89</v>
          </cell>
          <cell r="AT1156" t="str">
            <v>91</v>
          </cell>
          <cell r="AU1156" t="str">
            <v>37H886R228G1</v>
          </cell>
          <cell r="AV1156" t="b">
            <v>0</v>
          </cell>
          <cell r="EW1156" t="str">
            <v>CEWDM3713T</v>
          </cell>
          <cell r="HD1156" t="str">
            <v>Repair Shop</v>
          </cell>
          <cell r="HT1156" t="b">
            <v>0</v>
          </cell>
          <cell r="HU1156" t="str">
            <v>Producers Dairy Foods</v>
          </cell>
        </row>
        <row r="1157">
          <cell r="A1157">
            <v>1602</v>
          </cell>
          <cell r="B1157" t="str">
            <v>VEM0550</v>
          </cell>
          <cell r="D1157" t="str">
            <v>BENICIAPARK</v>
          </cell>
          <cell r="F1157" t="str">
            <v>Baldor</v>
          </cell>
          <cell r="I1157" t="str">
            <v>256JM</v>
          </cell>
          <cell r="K1157" t="str">
            <v>20</v>
          </cell>
          <cell r="L1157" t="str">
            <v>1765</v>
          </cell>
          <cell r="O1157" t="str">
            <v>Half no Cord</v>
          </cell>
          <cell r="P1157" t="str">
            <v>ODP</v>
          </cell>
          <cell r="R1157" t="str">
            <v>Continuous</v>
          </cell>
          <cell r="T1157" t="str">
            <v>NONE</v>
          </cell>
          <cell r="U1157" t="str">
            <v>40</v>
          </cell>
          <cell r="V1157" t="str">
            <v>3</v>
          </cell>
          <cell r="W1157" t="str">
            <v>60</v>
          </cell>
          <cell r="Y1157" t="str">
            <v>47/23.5</v>
          </cell>
          <cell r="AA1157" t="str">
            <v>F1</v>
          </cell>
          <cell r="AD1157" t="str">
            <v>0</v>
          </cell>
          <cell r="AG1157" t="str">
            <v>HP</v>
          </cell>
          <cell r="AI1157" t="str">
            <v>6309</v>
          </cell>
          <cell r="AJ1157" t="str">
            <v>6208</v>
          </cell>
          <cell r="AO1157" t="str">
            <v>B</v>
          </cell>
          <cell r="AP1157" t="str">
            <v>H</v>
          </cell>
          <cell r="AQ1157" t="str">
            <v>F</v>
          </cell>
          <cell r="AT1157" t="str">
            <v>93</v>
          </cell>
          <cell r="AU1157" t="str">
            <v>39K062W915G</v>
          </cell>
          <cell r="AV1157" t="b">
            <v>0</v>
          </cell>
          <cell r="EW1157" t="str">
            <v>EJMM2515T</v>
          </cell>
          <cell r="HD1157" t="str">
            <v>Repair Shop</v>
          </cell>
          <cell r="HT1157" t="b">
            <v>0</v>
          </cell>
          <cell r="HU1157" t="str">
            <v>CITY OF BENICIA PARKS &amp; RECREATION</v>
          </cell>
        </row>
        <row r="1158">
          <cell r="A1158">
            <v>1601</v>
          </cell>
          <cell r="B1158" t="str">
            <v>VEM0549</v>
          </cell>
          <cell r="D1158" t="str">
            <v>VALERO</v>
          </cell>
          <cell r="F1158" t="str">
            <v>Siemens</v>
          </cell>
          <cell r="H1158" t="str">
            <v>E07T0041NPXC04</v>
          </cell>
          <cell r="I1158" t="str">
            <v>405TS</v>
          </cell>
          <cell r="K1158" t="str">
            <v>100</v>
          </cell>
          <cell r="L1158" t="str">
            <v>3570</v>
          </cell>
          <cell r="M1158" t="str">
            <v>RGZEESDX</v>
          </cell>
          <cell r="N1158" t="str">
            <v>1100</v>
          </cell>
          <cell r="O1158" t="str">
            <v>Full no Cord</v>
          </cell>
          <cell r="P1158" t="str">
            <v>TEFC</v>
          </cell>
          <cell r="R1158" t="str">
            <v>Continuous</v>
          </cell>
          <cell r="S1158" t="str">
            <v>Yes</v>
          </cell>
          <cell r="T1158" t="str">
            <v>YES</v>
          </cell>
          <cell r="U1158" t="str">
            <v>40</v>
          </cell>
          <cell r="V1158" t="str">
            <v>3</v>
          </cell>
          <cell r="W1158" t="str">
            <v>60</v>
          </cell>
          <cell r="X1158" t="str">
            <v>460</v>
          </cell>
          <cell r="Y1158" t="str">
            <v>10-8</v>
          </cell>
          <cell r="AA1158" t="str">
            <v>F1</v>
          </cell>
          <cell r="AD1158" t="str">
            <v>0</v>
          </cell>
          <cell r="AG1158" t="str">
            <v>HP</v>
          </cell>
          <cell r="AO1158" t="str">
            <v>B</v>
          </cell>
          <cell r="AP1158" t="str">
            <v>G</v>
          </cell>
          <cell r="AQ1158" t="str">
            <v>F</v>
          </cell>
          <cell r="AS1158" t="str">
            <v>1.15</v>
          </cell>
          <cell r="AV1158" t="b">
            <v>0</v>
          </cell>
          <cell r="HD1158" t="str">
            <v>Repair Shop</v>
          </cell>
          <cell r="HT1158" t="b">
            <v>0</v>
          </cell>
          <cell r="HU1158" t="str">
            <v>VALERO REFINING CO. BENICIA</v>
          </cell>
        </row>
        <row r="1159">
          <cell r="A1159">
            <v>1600</v>
          </cell>
          <cell r="B1159" t="str">
            <v>VEM0548</v>
          </cell>
          <cell r="D1159" t="str">
            <v>P66</v>
          </cell>
          <cell r="AD1159" t="str">
            <v>0</v>
          </cell>
          <cell r="AG1159" t="str">
            <v>HP</v>
          </cell>
          <cell r="AV1159" t="b">
            <v>0</v>
          </cell>
          <cell r="EG1159" t="str">
            <v>380-500</v>
          </cell>
          <cell r="EI1159" t="str">
            <v>46</v>
          </cell>
          <cell r="EJ1159" t="str">
            <v>38/46</v>
          </cell>
          <cell r="EL1159" t="str">
            <v>3</v>
          </cell>
          <cell r="HD1159" t="str">
            <v>Repair Shop</v>
          </cell>
          <cell r="HN1159" t="str">
            <v>0-320</v>
          </cell>
          <cell r="HT1159" t="b">
            <v>0</v>
          </cell>
          <cell r="HU1159" t="str">
            <v>PHILLIPS 66</v>
          </cell>
        </row>
        <row r="1160">
          <cell r="A1160">
            <v>1599</v>
          </cell>
          <cell r="B1160" t="str">
            <v>VEM0547</v>
          </cell>
          <cell r="D1160" t="str">
            <v>NAPARECYCLING</v>
          </cell>
          <cell r="F1160" t="str">
            <v>SEW</v>
          </cell>
          <cell r="K1160" t="str">
            <v>7.5</v>
          </cell>
          <cell r="L1160" t="str">
            <v>300-1800</v>
          </cell>
          <cell r="M1160" t="str">
            <v>KA77/TDRE132M4/DH</v>
          </cell>
          <cell r="O1160" t="str">
            <v>Half no Cord</v>
          </cell>
          <cell r="P1160" t="str">
            <v>TEFC</v>
          </cell>
          <cell r="R1160" t="str">
            <v>Continuous</v>
          </cell>
          <cell r="S1160" t="str">
            <v>Yes</v>
          </cell>
          <cell r="U1160" t="str">
            <v>40</v>
          </cell>
          <cell r="V1160" t="str">
            <v>3</v>
          </cell>
          <cell r="W1160" t="str">
            <v>60</v>
          </cell>
          <cell r="X1160" t="str">
            <v>230/460</v>
          </cell>
          <cell r="Y1160" t="str">
            <v>18/9</v>
          </cell>
          <cell r="AA1160" t="str">
            <v>Vertical</v>
          </cell>
          <cell r="AD1160" t="str">
            <v>0</v>
          </cell>
          <cell r="AG1160" t="str">
            <v>HP</v>
          </cell>
          <cell r="AO1160" t="str">
            <v>B</v>
          </cell>
          <cell r="AT1160" t="str">
            <v>89.5</v>
          </cell>
          <cell r="AV1160" t="b">
            <v>0</v>
          </cell>
          <cell r="GK1160" t="str">
            <v>OUTPUT RPM 57</v>
          </cell>
          <cell r="GL1160" t="str">
            <v>RATIO 30.89</v>
          </cell>
          <cell r="GM1160" t="str">
            <v>TORQUE 8.142</v>
          </cell>
          <cell r="HD1160" t="str">
            <v>Repair Shop</v>
          </cell>
          <cell r="HT1160" t="b">
            <v>0</v>
          </cell>
          <cell r="HU1160" t="str">
            <v>NAPA RECYCLING &amp; WASTE</v>
          </cell>
        </row>
        <row r="1161">
          <cell r="A1161">
            <v>1598</v>
          </cell>
          <cell r="B1161" t="str">
            <v>VEM0546</v>
          </cell>
          <cell r="D1161" t="str">
            <v>CONHAGEN</v>
          </cell>
          <cell r="F1161" t="str">
            <v>US Motors</v>
          </cell>
          <cell r="I1161" t="str">
            <v>284TSC</v>
          </cell>
          <cell r="K1161" t="str">
            <v>25</v>
          </cell>
          <cell r="L1161" t="str">
            <v>3560</v>
          </cell>
          <cell r="M1161" t="str">
            <v>CEF</v>
          </cell>
          <cell r="N1161" t="str">
            <v>380</v>
          </cell>
          <cell r="O1161" t="str">
            <v>Full no Cord</v>
          </cell>
          <cell r="P1161" t="str">
            <v>TEFC</v>
          </cell>
          <cell r="R1161" t="str">
            <v>Continuous</v>
          </cell>
          <cell r="S1161" t="str">
            <v>Yes</v>
          </cell>
          <cell r="T1161" t="str">
            <v>NONE NO KEY</v>
          </cell>
          <cell r="U1161" t="str">
            <v>40</v>
          </cell>
          <cell r="V1161" t="str">
            <v>3</v>
          </cell>
          <cell r="W1161" t="str">
            <v>60</v>
          </cell>
          <cell r="X1161" t="str">
            <v>460</v>
          </cell>
          <cell r="Y1161" t="str">
            <v>29.5</v>
          </cell>
          <cell r="AA1161" t="str">
            <v>Vertical</v>
          </cell>
          <cell r="AD1161" t="str">
            <v>-1</v>
          </cell>
          <cell r="AG1161" t="str">
            <v>HP</v>
          </cell>
          <cell r="AO1161" t="str">
            <v>B</v>
          </cell>
          <cell r="AP1161" t="str">
            <v>F</v>
          </cell>
          <cell r="AQ1161" t="str">
            <v>F</v>
          </cell>
          <cell r="AR1161" t="str">
            <v>87.2</v>
          </cell>
          <cell r="AS1161" t="str">
            <v>1.15</v>
          </cell>
          <cell r="AT1161" t="str">
            <v>91.0</v>
          </cell>
          <cell r="AV1161" t="b">
            <v>0</v>
          </cell>
          <cell r="EX1161" t="str">
            <v>C0298033171-001R-01</v>
          </cell>
          <cell r="HD1161" t="str">
            <v>Repair Shop</v>
          </cell>
          <cell r="HT1161" t="b">
            <v>0</v>
          </cell>
          <cell r="HU1161" t="str">
            <v>ALFRED CONHAGEN CO. OF CA</v>
          </cell>
        </row>
        <row r="1162">
          <cell r="A1162">
            <v>1597</v>
          </cell>
          <cell r="B1162" t="str">
            <v>VEM0545</v>
          </cell>
          <cell r="D1162" t="str">
            <v>SUGARCITY</v>
          </cell>
          <cell r="F1162" t="str">
            <v>A.O. SMITH</v>
          </cell>
          <cell r="H1162" t="str">
            <v>71216</v>
          </cell>
          <cell r="I1162" t="str">
            <v>364-3</v>
          </cell>
          <cell r="K1162" t="str">
            <v>25</v>
          </cell>
          <cell r="L1162" t="str">
            <v>1750</v>
          </cell>
          <cell r="O1162" t="str">
            <v>Half no Cord</v>
          </cell>
          <cell r="P1162" t="str">
            <v>ODP</v>
          </cell>
          <cell r="R1162" t="str">
            <v>Continuous</v>
          </cell>
          <cell r="S1162" t="str">
            <v>Yes</v>
          </cell>
          <cell r="V1162" t="str">
            <v>3</v>
          </cell>
          <cell r="W1162" t="str">
            <v>60</v>
          </cell>
          <cell r="X1162" t="str">
            <v>440</v>
          </cell>
          <cell r="Y1162" t="str">
            <v>30</v>
          </cell>
          <cell r="AD1162" t="str">
            <v>0</v>
          </cell>
          <cell r="AG1162" t="str">
            <v>HP</v>
          </cell>
          <cell r="AQ1162" t="str">
            <v>F</v>
          </cell>
          <cell r="AV1162" t="b">
            <v>0</v>
          </cell>
          <cell r="HD1162" t="str">
            <v>Repair Shop</v>
          </cell>
          <cell r="HT1162" t="b">
            <v>0</v>
          </cell>
          <cell r="HU1162" t="str">
            <v>SUGAR CITY BUILDING MATERIALS</v>
          </cell>
        </row>
        <row r="1163">
          <cell r="A1163">
            <v>1596</v>
          </cell>
          <cell r="B1163" t="str">
            <v>VEM0544</v>
          </cell>
          <cell r="D1163" t="str">
            <v>MAREISLDRYDK</v>
          </cell>
          <cell r="F1163" t="str">
            <v>Marathon</v>
          </cell>
          <cell r="G1163" t="str">
            <v>EH 324THFS19033AP</v>
          </cell>
          <cell r="H1163" t="str">
            <v>11020899-01</v>
          </cell>
          <cell r="I1163" t="str">
            <v>324T</v>
          </cell>
          <cell r="K1163" t="str">
            <v>40</v>
          </cell>
          <cell r="L1163" t="str">
            <v>1780</v>
          </cell>
          <cell r="M1163" t="str">
            <v>TFS</v>
          </cell>
          <cell r="O1163" t="str">
            <v>Full no Cord</v>
          </cell>
          <cell r="P1163" t="str">
            <v>EXP</v>
          </cell>
          <cell r="R1163" t="str">
            <v>Continuous</v>
          </cell>
          <cell r="S1163" t="str">
            <v>Yes</v>
          </cell>
          <cell r="T1163" t="str">
            <v>YES</v>
          </cell>
          <cell r="U1163" t="str">
            <v>40</v>
          </cell>
          <cell r="V1163" t="str">
            <v>3</v>
          </cell>
          <cell r="W1163" t="str">
            <v>60</v>
          </cell>
          <cell r="X1163" t="str">
            <v>575</v>
          </cell>
          <cell r="Y1163" t="str">
            <v>38</v>
          </cell>
          <cell r="AA1163" t="str">
            <v>F1</v>
          </cell>
          <cell r="AD1163" t="str">
            <v>0</v>
          </cell>
          <cell r="AG1163" t="str">
            <v>HP</v>
          </cell>
          <cell r="AI1163" t="str">
            <v>6312</v>
          </cell>
          <cell r="AJ1163" t="str">
            <v>6311</v>
          </cell>
          <cell r="AO1163" t="str">
            <v>B</v>
          </cell>
          <cell r="AS1163" t="str">
            <v>1.15</v>
          </cell>
          <cell r="AV1163" t="b">
            <v>0</v>
          </cell>
          <cell r="HD1163" t="str">
            <v>Repair Shop</v>
          </cell>
          <cell r="HT1163" t="b">
            <v>0</v>
          </cell>
          <cell r="HU1163" t="str">
            <v>MARE ISLAND DRY DOCK</v>
          </cell>
        </row>
        <row r="1164">
          <cell r="A1164">
            <v>1595</v>
          </cell>
          <cell r="B1164" t="str">
            <v>VEM0543</v>
          </cell>
          <cell r="D1164" t="str">
            <v>EECO</v>
          </cell>
          <cell r="F1164" t="str">
            <v>KTB</v>
          </cell>
          <cell r="H1164" t="str">
            <v>204686801-15</v>
          </cell>
          <cell r="K1164" t="str">
            <v>11</v>
          </cell>
          <cell r="L1164" t="str">
            <v>3510</v>
          </cell>
          <cell r="O1164" t="str">
            <v>Half no Cord</v>
          </cell>
          <cell r="P1164" t="str">
            <v>TEFC</v>
          </cell>
          <cell r="R1164" t="str">
            <v>Continuous</v>
          </cell>
          <cell r="S1164" t="str">
            <v>Yes</v>
          </cell>
          <cell r="V1164" t="str">
            <v>3</v>
          </cell>
          <cell r="W1164" t="str">
            <v>60</v>
          </cell>
          <cell r="X1164" t="str">
            <v>480/220</v>
          </cell>
          <cell r="Y1164" t="str">
            <v>22/38</v>
          </cell>
          <cell r="AA1164" t="str">
            <v>UNKNOWN</v>
          </cell>
          <cell r="AD1164" t="str">
            <v>0</v>
          </cell>
          <cell r="AG1164" t="str">
            <v>KW</v>
          </cell>
          <cell r="AQ1164" t="str">
            <v>F</v>
          </cell>
          <cell r="AV1164" t="b">
            <v>0</v>
          </cell>
          <cell r="GK1164" t="str">
            <v>3 MOTOR LEADS PLUS 2 SMALL LEADS</v>
          </cell>
          <cell r="HD1164" t="str">
            <v>Repair Shop</v>
          </cell>
          <cell r="HT1164" t="b">
            <v>0</v>
          </cell>
          <cell r="HU1164" t="str">
            <v>ELECTRICAL EQUIPMENT CO.</v>
          </cell>
        </row>
        <row r="1165">
          <cell r="A1165">
            <v>1594</v>
          </cell>
          <cell r="B1165" t="str">
            <v>VEM0542</v>
          </cell>
          <cell r="D1165" t="str">
            <v>MAREISLDRYDK</v>
          </cell>
          <cell r="F1165" t="str">
            <v>Marathon</v>
          </cell>
          <cell r="I1165" t="str">
            <v>324t</v>
          </cell>
          <cell r="K1165" t="str">
            <v>40</v>
          </cell>
          <cell r="L1165" t="str">
            <v>1800</v>
          </cell>
          <cell r="P1165" t="str">
            <v>TEFC</v>
          </cell>
          <cell r="X1165" t="str">
            <v>575</v>
          </cell>
          <cell r="AG1165" t="str">
            <v>HP</v>
          </cell>
          <cell r="AI1165" t="str">
            <v>312</v>
          </cell>
          <cell r="AJ1165" t="str">
            <v>311</v>
          </cell>
          <cell r="AV1165" t="b">
            <v>0</v>
          </cell>
          <cell r="AW1165" t="str">
            <v>38</v>
          </cell>
          <cell r="HD1165" t="str">
            <v>Repair Shop</v>
          </cell>
          <cell r="HT1165" t="b">
            <v>0</v>
          </cell>
          <cell r="HU1165" t="str">
            <v>MARE ISLAND DRY DOCK</v>
          </cell>
        </row>
        <row r="1166">
          <cell r="A1166">
            <v>1593</v>
          </cell>
          <cell r="B1166" t="str">
            <v>VEM0541</v>
          </cell>
          <cell r="D1166" t="str">
            <v>ABCO</v>
          </cell>
          <cell r="F1166" t="str">
            <v>WUXI ZHONGDA</v>
          </cell>
          <cell r="H1166" t="str">
            <v>81491</v>
          </cell>
          <cell r="K1166" t="str">
            <v>22</v>
          </cell>
          <cell r="L1166" t="str">
            <v>3545</v>
          </cell>
          <cell r="M1166" t="str">
            <v>Y2-180M-2</v>
          </cell>
          <cell r="N1166" t="str">
            <v>169KG</v>
          </cell>
          <cell r="O1166" t="str">
            <v>Full no Cord</v>
          </cell>
          <cell r="P1166" t="str">
            <v>TEFC</v>
          </cell>
          <cell r="R1166" t="str">
            <v>Continuous</v>
          </cell>
          <cell r="V1166" t="str">
            <v>3</v>
          </cell>
          <cell r="W1166" t="str">
            <v>60</v>
          </cell>
          <cell r="X1166" t="str">
            <v>480</v>
          </cell>
          <cell r="Y1166" t="str">
            <v>32.5</v>
          </cell>
          <cell r="AA1166" t="str">
            <v>Top</v>
          </cell>
          <cell r="AG1166" t="str">
            <v>KW</v>
          </cell>
          <cell r="AI1166" t="str">
            <v>6311</v>
          </cell>
          <cell r="AJ1166" t="str">
            <v>6311</v>
          </cell>
          <cell r="AQ1166" t="str">
            <v>F</v>
          </cell>
          <cell r="AT1166" t="str">
            <v>90.5</v>
          </cell>
          <cell r="AV1166" t="b">
            <v>0</v>
          </cell>
          <cell r="HD1166" t="str">
            <v>Repair Shop</v>
          </cell>
          <cell r="HT1166" t="b">
            <v>0</v>
          </cell>
          <cell r="HU1166" t="str">
            <v>ABCO LABORATORIES</v>
          </cell>
        </row>
        <row r="1167">
          <cell r="A1167">
            <v>1592</v>
          </cell>
          <cell r="B1167" t="str">
            <v>VEM0540</v>
          </cell>
          <cell r="D1167" t="str">
            <v>RUSZEL</v>
          </cell>
          <cell r="F1167" t="str">
            <v>NISHIMURA</v>
          </cell>
          <cell r="H1167" t="str">
            <v>6005835</v>
          </cell>
          <cell r="K1167" t="str">
            <v>5.5</v>
          </cell>
          <cell r="L1167" t="str">
            <v>3400</v>
          </cell>
          <cell r="O1167" t="str">
            <v>Full w/ Cord</v>
          </cell>
          <cell r="P1167" t="str">
            <v>TEFC</v>
          </cell>
          <cell r="R1167" t="str">
            <v>Continuous</v>
          </cell>
          <cell r="V1167" t="str">
            <v>3</v>
          </cell>
          <cell r="W1167" t="str">
            <v>60</v>
          </cell>
          <cell r="X1167" t="str">
            <v>200</v>
          </cell>
          <cell r="Y1167" t="str">
            <v>21</v>
          </cell>
          <cell r="AA1167" t="str">
            <v>F1</v>
          </cell>
          <cell r="AD1167" t="str">
            <v>0</v>
          </cell>
          <cell r="AG1167" t="str">
            <v>KW</v>
          </cell>
          <cell r="AV1167" t="b">
            <v>0</v>
          </cell>
          <cell r="HD1167" t="str">
            <v>Repair Shop</v>
          </cell>
          <cell r="HT1167" t="b">
            <v>0</v>
          </cell>
          <cell r="HU1167" t="str">
            <v>RUSZEL WOODWORKS</v>
          </cell>
        </row>
        <row r="1168">
          <cell r="A1168">
            <v>1590</v>
          </cell>
          <cell r="B1168" t="str">
            <v>VEM0538</v>
          </cell>
          <cell r="D1168" t="str">
            <v>P66</v>
          </cell>
          <cell r="F1168" t="str">
            <v>UNKNOWN</v>
          </cell>
          <cell r="I1168" t="str">
            <v>143HP</v>
          </cell>
          <cell r="K1168" t="str">
            <v>1</v>
          </cell>
          <cell r="L1168" t="str">
            <v>1710</v>
          </cell>
          <cell r="M1168" t="str">
            <v>LV</v>
          </cell>
          <cell r="O1168" t="str">
            <v>Full no Cord</v>
          </cell>
          <cell r="P1168" t="str">
            <v>EXP</v>
          </cell>
          <cell r="R1168" t="str">
            <v>Continuous</v>
          </cell>
          <cell r="T1168" t="str">
            <v>NONE NO KEY</v>
          </cell>
          <cell r="V1168" t="str">
            <v>3</v>
          </cell>
          <cell r="W1168" t="str">
            <v>60</v>
          </cell>
          <cell r="X1168" t="str">
            <v>230/460</v>
          </cell>
          <cell r="AA1168" t="str">
            <v>Vertical</v>
          </cell>
          <cell r="AD1168" t="str">
            <v>0</v>
          </cell>
          <cell r="AG1168" t="str">
            <v>HP</v>
          </cell>
          <cell r="AO1168" t="str">
            <v>B</v>
          </cell>
          <cell r="AV1168" t="b">
            <v>0</v>
          </cell>
          <cell r="EX1168" t="str">
            <v>P4402122</v>
          </cell>
          <cell r="GK1168" t="str">
            <v>NO LOAD AMPS 1.0</v>
          </cell>
          <cell r="HD1168" t="str">
            <v>Repair Shop</v>
          </cell>
          <cell r="HT1168" t="b">
            <v>0</v>
          </cell>
          <cell r="HU1168" t="str">
            <v>PHILLIPS 66</v>
          </cell>
        </row>
        <row r="1169">
          <cell r="A1169">
            <v>1589</v>
          </cell>
          <cell r="B1169" t="str">
            <v>VEM0537</v>
          </cell>
          <cell r="D1169" t="str">
            <v>CONHAGEN</v>
          </cell>
          <cell r="AG1169" t="str">
            <v>HP</v>
          </cell>
          <cell r="AV1169" t="b">
            <v>0</v>
          </cell>
          <cell r="HD1169" t="str">
            <v>Repair Shop</v>
          </cell>
          <cell r="HT1169" t="b">
            <v>0</v>
          </cell>
          <cell r="HU1169" t="str">
            <v>ALFRED CONHAGEN CO. OF CA</v>
          </cell>
        </row>
        <row r="1170">
          <cell r="A1170">
            <v>1588</v>
          </cell>
          <cell r="B1170" t="str">
            <v>VEM0536</v>
          </cell>
          <cell r="D1170" t="str">
            <v>P66</v>
          </cell>
          <cell r="F1170" t="str">
            <v>GE</v>
          </cell>
          <cell r="G1170" t="str">
            <v>5K6246XJ34A</v>
          </cell>
          <cell r="H1170" t="str">
            <v>KEJ1015492</v>
          </cell>
          <cell r="I1170" t="str">
            <v>286TP16</v>
          </cell>
          <cell r="K1170" t="str">
            <v>20</v>
          </cell>
          <cell r="L1170" t="str">
            <v>1175</v>
          </cell>
          <cell r="M1170" t="str">
            <v>K</v>
          </cell>
          <cell r="O1170" t="str">
            <v>Full no Cord</v>
          </cell>
          <cell r="P1170" t="str">
            <v>TEFC</v>
          </cell>
          <cell r="R1170" t="str">
            <v>Continuous</v>
          </cell>
          <cell r="T1170" t="str">
            <v>HOLLOW SHAFT</v>
          </cell>
          <cell r="U1170" t="str">
            <v>75</v>
          </cell>
          <cell r="V1170" t="str">
            <v>3</v>
          </cell>
          <cell r="W1170" t="str">
            <v>60</v>
          </cell>
          <cell r="X1170" t="str">
            <v>230/460</v>
          </cell>
          <cell r="Y1170" t="str">
            <v>52.6/26.3</v>
          </cell>
          <cell r="AA1170" t="str">
            <v>Vertical</v>
          </cell>
          <cell r="AD1170" t="str">
            <v>0</v>
          </cell>
          <cell r="AG1170" t="str">
            <v>HP</v>
          </cell>
          <cell r="AO1170" t="str">
            <v>B</v>
          </cell>
          <cell r="AS1170" t="str">
            <v>1.0</v>
          </cell>
          <cell r="AV1170" t="b">
            <v>0</v>
          </cell>
          <cell r="HD1170" t="str">
            <v>Repair Shop</v>
          </cell>
          <cell r="HT1170" t="b">
            <v>0</v>
          </cell>
          <cell r="HU1170" t="str">
            <v>PHILLIPS 66</v>
          </cell>
        </row>
        <row r="1171">
          <cell r="A1171">
            <v>1587</v>
          </cell>
          <cell r="B1171" t="str">
            <v>VEM0535</v>
          </cell>
          <cell r="D1171" t="str">
            <v>EECO</v>
          </cell>
          <cell r="AG1171" t="str">
            <v>HP</v>
          </cell>
          <cell r="AV1171" t="b">
            <v>0</v>
          </cell>
          <cell r="HD1171" t="str">
            <v>Repair Shop</v>
          </cell>
          <cell r="HT1171" t="b">
            <v>0</v>
          </cell>
          <cell r="HU1171" t="str">
            <v>ELECTRICAL EQUIPMENT CO.</v>
          </cell>
        </row>
        <row r="1172">
          <cell r="A1172">
            <v>1586</v>
          </cell>
          <cell r="B1172" t="str">
            <v>VEM0534</v>
          </cell>
          <cell r="D1172" t="str">
            <v>C&amp;H</v>
          </cell>
          <cell r="F1172" t="str">
            <v>Baldor</v>
          </cell>
          <cell r="H1172" t="str">
            <v>F1704036817</v>
          </cell>
          <cell r="I1172" t="str">
            <v>184TC</v>
          </cell>
          <cell r="K1172" t="str">
            <v>5</v>
          </cell>
          <cell r="L1172" t="str">
            <v>3440</v>
          </cell>
          <cell r="O1172" t="str">
            <v>Full no Cord</v>
          </cell>
          <cell r="R1172" t="str">
            <v>Continuous</v>
          </cell>
          <cell r="T1172" t="str">
            <v>NONE</v>
          </cell>
          <cell r="U1172" t="str">
            <v>40</v>
          </cell>
          <cell r="V1172" t="str">
            <v>3</v>
          </cell>
          <cell r="W1172" t="str">
            <v>60</v>
          </cell>
          <cell r="X1172" t="str">
            <v>460</v>
          </cell>
          <cell r="Y1172" t="str">
            <v>5,7</v>
          </cell>
          <cell r="AA1172" t="str">
            <v>Vertical</v>
          </cell>
          <cell r="AD1172" t="str">
            <v>0</v>
          </cell>
          <cell r="AG1172" t="str">
            <v>HP</v>
          </cell>
          <cell r="AO1172" t="str">
            <v>B</v>
          </cell>
          <cell r="AP1172" t="str">
            <v>J</v>
          </cell>
          <cell r="AQ1172" t="str">
            <v>F</v>
          </cell>
          <cell r="AR1172" t="str">
            <v>94</v>
          </cell>
          <cell r="AS1172" t="str">
            <v>1.15</v>
          </cell>
          <cell r="AT1172" t="str">
            <v>88.5</v>
          </cell>
          <cell r="AU1172" t="str">
            <v>06H770X82261</v>
          </cell>
          <cell r="AV1172" t="b">
            <v>0</v>
          </cell>
          <cell r="EW1172" t="str">
            <v>CECP83663T-4</v>
          </cell>
          <cell r="GK1172" t="str">
            <v>THIS MOTOR  WAS MODIFIED</v>
          </cell>
          <cell r="HD1172" t="str">
            <v>Repair Shop</v>
          </cell>
          <cell r="HT1172" t="b">
            <v>0</v>
          </cell>
          <cell r="HU1172" t="str">
            <v>C &amp; H SUGAR CO.</v>
          </cell>
        </row>
        <row r="1173">
          <cell r="A1173">
            <v>1585</v>
          </cell>
          <cell r="B1173" t="str">
            <v>VEM0533</v>
          </cell>
          <cell r="D1173" t="str">
            <v>P66</v>
          </cell>
          <cell r="F1173" t="str">
            <v>Baldor</v>
          </cell>
          <cell r="H1173" t="str">
            <v>F1604272881</v>
          </cell>
          <cell r="I1173" t="str">
            <v>143T</v>
          </cell>
          <cell r="K1173" t="str">
            <v>.75</v>
          </cell>
          <cell r="L1173" t="str">
            <v>1140</v>
          </cell>
          <cell r="O1173" t="str">
            <v>Full no Cord</v>
          </cell>
          <cell r="P1173" t="str">
            <v>EXP</v>
          </cell>
          <cell r="R1173" t="str">
            <v>Continuous</v>
          </cell>
          <cell r="S1173" t="str">
            <v>No</v>
          </cell>
          <cell r="T1173" t="str">
            <v>NONE</v>
          </cell>
          <cell r="U1173" t="str">
            <v>40</v>
          </cell>
          <cell r="V1173" t="str">
            <v>3</v>
          </cell>
          <cell r="W1173" t="str">
            <v>60</v>
          </cell>
          <cell r="X1173" t="str">
            <v>115/230</v>
          </cell>
          <cell r="Y1173" t="str">
            <v>11.4/5.7</v>
          </cell>
          <cell r="AA1173" t="str">
            <v>F1</v>
          </cell>
          <cell r="AD1173" t="str">
            <v>0</v>
          </cell>
          <cell r="AG1173" t="str">
            <v>HP</v>
          </cell>
          <cell r="AO1173" t="str">
            <v>N</v>
          </cell>
          <cell r="AP1173" t="str">
            <v>J</v>
          </cell>
          <cell r="AR1173" t="str">
            <v>74</v>
          </cell>
          <cell r="AS1173" t="str">
            <v>1.00</v>
          </cell>
          <cell r="AT1173" t="str">
            <v>59.5</v>
          </cell>
          <cell r="AU1173" t="str">
            <v>35J659R131</v>
          </cell>
          <cell r="AV1173" t="b">
            <v>0</v>
          </cell>
          <cell r="HD1173" t="str">
            <v>Repair Shop</v>
          </cell>
          <cell r="HT1173" t="b">
            <v>0</v>
          </cell>
          <cell r="HU1173" t="str">
            <v>PHILLIPS 66</v>
          </cell>
        </row>
        <row r="1174">
          <cell r="A1174">
            <v>1584</v>
          </cell>
          <cell r="B1174" t="str">
            <v>VEM0532</v>
          </cell>
          <cell r="D1174" t="str">
            <v>VALERO</v>
          </cell>
          <cell r="F1174" t="str">
            <v>LOUIS ALLIS</v>
          </cell>
          <cell r="H1174" t="str">
            <v>9269164001</v>
          </cell>
          <cell r="I1174" t="str">
            <v>509US</v>
          </cell>
          <cell r="K1174" t="str">
            <v>200</v>
          </cell>
          <cell r="L1174" t="str">
            <v>3565</v>
          </cell>
          <cell r="M1174" t="str">
            <v>CFS</v>
          </cell>
          <cell r="O1174" t="str">
            <v>Full no Cord</v>
          </cell>
          <cell r="R1174" t="str">
            <v>Continuous</v>
          </cell>
          <cell r="S1174" t="str">
            <v>Yes</v>
          </cell>
          <cell r="T1174" t="str">
            <v>YES</v>
          </cell>
          <cell r="V1174" t="str">
            <v>3</v>
          </cell>
          <cell r="W1174" t="str">
            <v>60</v>
          </cell>
          <cell r="X1174" t="str">
            <v>4000</v>
          </cell>
          <cell r="Y1174" t="str">
            <v>27</v>
          </cell>
          <cell r="AA1174" t="str">
            <v>F1</v>
          </cell>
          <cell r="AD1174" t="str">
            <v>0</v>
          </cell>
          <cell r="AG1174" t="str">
            <v>HP</v>
          </cell>
          <cell r="AI1174" t="str">
            <v>SLV</v>
          </cell>
          <cell r="AJ1174" t="str">
            <v>SLV</v>
          </cell>
          <cell r="AP1174" t="str">
            <v>G</v>
          </cell>
          <cell r="AS1174" t="str">
            <v>1.15</v>
          </cell>
          <cell r="AV1174" t="b">
            <v>0</v>
          </cell>
          <cell r="HD1174" t="str">
            <v>Repair Shop</v>
          </cell>
          <cell r="HT1174" t="b">
            <v>0</v>
          </cell>
          <cell r="HU1174" t="str">
            <v>VALERO REFINING CO. BENICIA</v>
          </cell>
        </row>
        <row r="1175">
          <cell r="A1175">
            <v>1583</v>
          </cell>
          <cell r="B1175" t="str">
            <v>VEM0531</v>
          </cell>
          <cell r="D1175" t="str">
            <v>C&amp;H</v>
          </cell>
          <cell r="F1175" t="str">
            <v>Baldor</v>
          </cell>
          <cell r="H1175" t="str">
            <v>P1603166904</v>
          </cell>
          <cell r="I1175" t="str">
            <v>184TC</v>
          </cell>
          <cell r="K1175" t="str">
            <v>5</v>
          </cell>
          <cell r="L1175" t="str">
            <v>3450</v>
          </cell>
          <cell r="O1175" t="str">
            <v>Full no Cord</v>
          </cell>
          <cell r="P1175" t="str">
            <v>TEFC</v>
          </cell>
          <cell r="R1175" t="str">
            <v>Continuous</v>
          </cell>
          <cell r="S1175" t="str">
            <v>Yes</v>
          </cell>
          <cell r="T1175" t="str">
            <v>NONE</v>
          </cell>
          <cell r="U1175" t="str">
            <v>40</v>
          </cell>
          <cell r="V1175" t="str">
            <v>3</v>
          </cell>
          <cell r="W1175" t="str">
            <v>60</v>
          </cell>
          <cell r="X1175" t="str">
            <v>460</v>
          </cell>
          <cell r="Y1175" t="str">
            <v>5.6</v>
          </cell>
          <cell r="AA1175" t="str">
            <v>Vertical</v>
          </cell>
          <cell r="AD1175" t="str">
            <v>0</v>
          </cell>
          <cell r="AG1175" t="str">
            <v>HP</v>
          </cell>
          <cell r="AI1175" t="str">
            <v>6206</v>
          </cell>
          <cell r="AJ1175" t="str">
            <v>6206</v>
          </cell>
          <cell r="AO1175" t="str">
            <v>B</v>
          </cell>
          <cell r="AP1175" t="str">
            <v>J</v>
          </cell>
          <cell r="AQ1175" t="str">
            <v>F</v>
          </cell>
          <cell r="AR1175" t="str">
            <v>93</v>
          </cell>
          <cell r="AS1175" t="str">
            <v>1.15</v>
          </cell>
          <cell r="AT1175" t="str">
            <v>89.3</v>
          </cell>
          <cell r="AU1175" t="str">
            <v>06H770W800</v>
          </cell>
          <cell r="AV1175" t="b">
            <v>0</v>
          </cell>
          <cell r="EW1175" t="str">
            <v>CECP83663T</v>
          </cell>
          <cell r="GK1175" t="str">
            <v>MOTOR MODIFIED</v>
          </cell>
          <cell r="HD1175" t="str">
            <v>Repair Shop</v>
          </cell>
          <cell r="HT1175" t="b">
            <v>0</v>
          </cell>
          <cell r="HU1175" t="str">
            <v>C &amp; H SUGAR CO.</v>
          </cell>
        </row>
        <row r="1176">
          <cell r="A1176">
            <v>1582</v>
          </cell>
          <cell r="B1176" t="str">
            <v>VEM0530</v>
          </cell>
          <cell r="D1176" t="str">
            <v>C&amp;H</v>
          </cell>
          <cell r="F1176" t="str">
            <v>Baldor</v>
          </cell>
          <cell r="I1176" t="str">
            <v>145TC</v>
          </cell>
          <cell r="K1176" t="str">
            <v>5</v>
          </cell>
          <cell r="L1176" t="str">
            <v>3450</v>
          </cell>
          <cell r="O1176" t="str">
            <v>Half no Cord</v>
          </cell>
          <cell r="P1176" t="str">
            <v>TEFC</v>
          </cell>
          <cell r="R1176" t="str">
            <v>Continuous</v>
          </cell>
          <cell r="S1176" t="str">
            <v>Yes</v>
          </cell>
          <cell r="T1176" t="str">
            <v>NONE</v>
          </cell>
          <cell r="U1176" t="str">
            <v>40</v>
          </cell>
          <cell r="V1176" t="str">
            <v>3</v>
          </cell>
          <cell r="W1176" t="str">
            <v>60</v>
          </cell>
          <cell r="X1176" t="str">
            <v>460</v>
          </cell>
          <cell r="Y1176" t="str">
            <v>5.6</v>
          </cell>
          <cell r="AA1176" t="str">
            <v>Vertical</v>
          </cell>
          <cell r="AD1176" t="str">
            <v>0</v>
          </cell>
          <cell r="AG1176" t="str">
            <v>HP</v>
          </cell>
          <cell r="AI1176" t="str">
            <v>6206</v>
          </cell>
          <cell r="AJ1176" t="str">
            <v>6206</v>
          </cell>
          <cell r="AO1176" t="str">
            <v>B</v>
          </cell>
          <cell r="AP1176" t="str">
            <v>J</v>
          </cell>
          <cell r="AQ1176" t="str">
            <v>F</v>
          </cell>
          <cell r="AS1176" t="str">
            <v>1.15</v>
          </cell>
          <cell r="AT1176" t="str">
            <v>89.5</v>
          </cell>
          <cell r="AU1176" t="str">
            <v>06H770W800</v>
          </cell>
          <cell r="AV1176" t="b">
            <v>0</v>
          </cell>
          <cell r="EW1176" t="str">
            <v>CECP83663T-4</v>
          </cell>
          <cell r="GK1176" t="str">
            <v>SHAFT MODIFIED</v>
          </cell>
          <cell r="HD1176" t="str">
            <v>Repair Shop</v>
          </cell>
          <cell r="HT1176" t="b">
            <v>0</v>
          </cell>
          <cell r="HU1176" t="str">
            <v>C &amp; H SUGAR CO.</v>
          </cell>
        </row>
        <row r="1177">
          <cell r="A1177">
            <v>1581</v>
          </cell>
          <cell r="B1177" t="str">
            <v>FE1015</v>
          </cell>
          <cell r="D1177" t="str">
            <v>MATHESON</v>
          </cell>
          <cell r="AD1177" t="str">
            <v>0</v>
          </cell>
          <cell r="AG1177" t="str">
            <v>HP</v>
          </cell>
          <cell r="AV1177" t="b">
            <v>0</v>
          </cell>
          <cell r="HD1177" t="str">
            <v>Field Service</v>
          </cell>
          <cell r="HT1177" t="b">
            <v>0</v>
          </cell>
          <cell r="HU1177" t="str">
            <v>Matheson Tri-Gas Inc.</v>
          </cell>
        </row>
        <row r="1178">
          <cell r="A1178">
            <v>1580</v>
          </cell>
          <cell r="B1178" t="str">
            <v>VEM0529</v>
          </cell>
          <cell r="D1178" t="str">
            <v>CONHAGEN</v>
          </cell>
          <cell r="AG1178" t="str">
            <v>HP</v>
          </cell>
          <cell r="AV1178" t="b">
            <v>0</v>
          </cell>
          <cell r="HD1178" t="str">
            <v>Repair Shop</v>
          </cell>
          <cell r="HT1178" t="b">
            <v>0</v>
          </cell>
          <cell r="HU1178" t="str">
            <v>ALFRED CONHAGEN CO. OF CA</v>
          </cell>
        </row>
        <row r="1179">
          <cell r="A1179">
            <v>1579</v>
          </cell>
          <cell r="B1179" t="str">
            <v>VEM0528</v>
          </cell>
          <cell r="D1179" t="str">
            <v>CASHSALES</v>
          </cell>
          <cell r="AD1179" t="str">
            <v>0</v>
          </cell>
          <cell r="AG1179" t="str">
            <v>HP</v>
          </cell>
          <cell r="AV1179" t="b">
            <v>0</v>
          </cell>
          <cell r="HD1179" t="str">
            <v>Repair Shop</v>
          </cell>
          <cell r="HT1179" t="b">
            <v>0</v>
          </cell>
          <cell r="HU1179" t="str">
            <v>CASH SALES</v>
          </cell>
        </row>
        <row r="1180">
          <cell r="A1180">
            <v>1578</v>
          </cell>
          <cell r="B1180" t="str">
            <v>VEM0075</v>
          </cell>
          <cell r="D1180" t="str">
            <v>CETOLAND</v>
          </cell>
          <cell r="AG1180" t="str">
            <v>HP</v>
          </cell>
          <cell r="AV1180" t="b">
            <v>0</v>
          </cell>
          <cell r="HD1180" t="str">
            <v>Repair Shop</v>
          </cell>
          <cell r="HT1180" t="b">
            <v>0</v>
          </cell>
          <cell r="HU1180" t="str">
            <v>C.E. TOLAND &amp; SON</v>
          </cell>
        </row>
        <row r="1181">
          <cell r="A1181">
            <v>1576</v>
          </cell>
          <cell r="B1181" t="str">
            <v>VEM0526</v>
          </cell>
          <cell r="D1181" t="str">
            <v>VALERO</v>
          </cell>
          <cell r="F1181" t="str">
            <v>Siemens</v>
          </cell>
          <cell r="H1181" t="str">
            <v>3004536645-20</v>
          </cell>
          <cell r="I1181" t="str">
            <v>509S</v>
          </cell>
          <cell r="K1181" t="str">
            <v>350</v>
          </cell>
          <cell r="L1181" t="str">
            <v>3580</v>
          </cell>
          <cell r="M1181" t="str">
            <v>CZ</v>
          </cell>
          <cell r="N1181" t="str">
            <v>4400</v>
          </cell>
          <cell r="O1181" t="str">
            <v>None</v>
          </cell>
          <cell r="R1181" t="str">
            <v>Continuous</v>
          </cell>
          <cell r="T1181" t="str">
            <v>YES</v>
          </cell>
          <cell r="U1181" t="str">
            <v>40</v>
          </cell>
          <cell r="V1181" t="str">
            <v>3</v>
          </cell>
          <cell r="W1181" t="str">
            <v>60</v>
          </cell>
          <cell r="X1181" t="str">
            <v>2300/4000</v>
          </cell>
          <cell r="Y1181" t="str">
            <v>77,4/44,7</v>
          </cell>
          <cell r="AA1181" t="str">
            <v>F1</v>
          </cell>
          <cell r="AD1181" t="str">
            <v>0</v>
          </cell>
          <cell r="AO1181" t="str">
            <v>A</v>
          </cell>
          <cell r="AQ1181" t="str">
            <v xml:space="preserve"> F VPI</v>
          </cell>
          <cell r="AS1181" t="str">
            <v>1.15</v>
          </cell>
          <cell r="AV1181" t="b">
            <v>0</v>
          </cell>
          <cell r="HD1181" t="str">
            <v>Repair Shop</v>
          </cell>
          <cell r="HT1181" t="b">
            <v>0</v>
          </cell>
          <cell r="HU1181" t="str">
            <v>VALERO REFINING CO. BENICIA</v>
          </cell>
        </row>
        <row r="1182">
          <cell r="A1182">
            <v>1575</v>
          </cell>
          <cell r="B1182" t="str">
            <v>VEM0525</v>
          </cell>
          <cell r="D1182" t="str">
            <v>VALERO</v>
          </cell>
          <cell r="AG1182" t="str">
            <v>HP</v>
          </cell>
          <cell r="AV1182" t="b">
            <v>0</v>
          </cell>
          <cell r="HD1182" t="str">
            <v>Repair Shop</v>
          </cell>
          <cell r="HT1182" t="b">
            <v>0</v>
          </cell>
          <cell r="HU1182" t="str">
            <v>VALERO REFINING CO. BENICIA</v>
          </cell>
        </row>
        <row r="1183">
          <cell r="A1183">
            <v>1574</v>
          </cell>
          <cell r="B1183" t="str">
            <v>VEM0524</v>
          </cell>
          <cell r="D1183" t="str">
            <v>VALERO</v>
          </cell>
          <cell r="F1183" t="str">
            <v>BALDOR-RELIANCE</v>
          </cell>
          <cell r="H1183" t="str">
            <v>X1209200002</v>
          </cell>
          <cell r="I1183" t="str">
            <v>215LP</v>
          </cell>
          <cell r="K1183" t="str">
            <v>10</v>
          </cell>
          <cell r="L1183" t="str">
            <v>3500</v>
          </cell>
          <cell r="O1183" t="str">
            <v>None</v>
          </cell>
          <cell r="P1183" t="str">
            <v>TEFC</v>
          </cell>
          <cell r="R1183" t="str">
            <v>CO T</v>
          </cell>
          <cell r="S1183" t="str">
            <v>No</v>
          </cell>
          <cell r="T1183" t="str">
            <v>YES</v>
          </cell>
          <cell r="U1183" t="str">
            <v>40C</v>
          </cell>
          <cell r="V1183" t="str">
            <v>3</v>
          </cell>
          <cell r="W1183" t="str">
            <v>60</v>
          </cell>
          <cell r="X1183" t="str">
            <v>208-230/460</v>
          </cell>
          <cell r="Z1183" t="str">
            <v>V-RING</v>
          </cell>
          <cell r="AA1183" t="str">
            <v>Vertical</v>
          </cell>
          <cell r="AD1183" t="str">
            <v>0</v>
          </cell>
          <cell r="AG1183" t="str">
            <v>HP</v>
          </cell>
          <cell r="AI1183" t="str">
            <v>6307</v>
          </cell>
          <cell r="AJ1183" t="str">
            <v>QJ211</v>
          </cell>
          <cell r="AO1183" t="str">
            <v>B</v>
          </cell>
          <cell r="AP1183" t="str">
            <v>H</v>
          </cell>
          <cell r="AQ1183" t="str">
            <v>F</v>
          </cell>
          <cell r="AR1183" t="str">
            <v>86</v>
          </cell>
          <cell r="AS1183" t="str">
            <v>1.15</v>
          </cell>
          <cell r="AT1183" t="str">
            <v>89.5</v>
          </cell>
          <cell r="AU1183" t="str">
            <v>07H347Y013H1</v>
          </cell>
          <cell r="AV1183" t="b">
            <v>0</v>
          </cell>
          <cell r="AW1183" t="str">
            <v>26-24/12</v>
          </cell>
          <cell r="AX1183" t="str">
            <v>2</v>
          </cell>
          <cell r="EW1183" t="str">
            <v>VECP3771T</v>
          </cell>
          <cell r="HD1183" t="str">
            <v>Repair Shop</v>
          </cell>
          <cell r="HT1183" t="b">
            <v>0</v>
          </cell>
          <cell r="HU1183" t="str">
            <v>VALERO REFINING CO. BENICIA</v>
          </cell>
        </row>
        <row r="1184">
          <cell r="A1184">
            <v>1573</v>
          </cell>
          <cell r="B1184" t="str">
            <v>VEM0523</v>
          </cell>
          <cell r="D1184" t="str">
            <v>C&amp;H</v>
          </cell>
          <cell r="F1184" t="str">
            <v>ALLIS CHALMERS</v>
          </cell>
          <cell r="H1184" t="str">
            <v>1-5110-07584-1-9</v>
          </cell>
          <cell r="I1184" t="str">
            <v>30ES8</v>
          </cell>
          <cell r="K1184" t="str">
            <v>50</v>
          </cell>
          <cell r="L1184" t="str">
            <v>450-900</v>
          </cell>
          <cell r="O1184" t="str">
            <v>None</v>
          </cell>
          <cell r="P1184" t="str">
            <v>ODP</v>
          </cell>
          <cell r="R1184" t="str">
            <v>Continuous</v>
          </cell>
          <cell r="T1184" t="str">
            <v>NONE NO KEY</v>
          </cell>
          <cell r="U1184" t="str">
            <v>100</v>
          </cell>
          <cell r="V1184" t="str">
            <v>3</v>
          </cell>
          <cell r="W1184" t="str">
            <v>60</v>
          </cell>
          <cell r="X1184" t="str">
            <v>440</v>
          </cell>
          <cell r="AD1184" t="str">
            <v>0</v>
          </cell>
          <cell r="AG1184" t="str">
            <v>HP</v>
          </cell>
          <cell r="AV1184" t="b">
            <v>0</v>
          </cell>
          <cell r="GK1184" t="str">
            <v>6 LEADS 4 OL LEADS</v>
          </cell>
          <cell r="HD1184" t="str">
            <v>Repair Shop</v>
          </cell>
          <cell r="HT1184" t="b">
            <v>0</v>
          </cell>
          <cell r="HU1184" t="str">
            <v>C &amp; H SUGAR CO.</v>
          </cell>
        </row>
        <row r="1185">
          <cell r="A1185">
            <v>1572</v>
          </cell>
          <cell r="B1185" t="str">
            <v>VEM0522</v>
          </cell>
          <cell r="D1185" t="str">
            <v>VALERO</v>
          </cell>
          <cell r="F1185" t="str">
            <v>US Motors</v>
          </cell>
          <cell r="I1185" t="str">
            <v>182TC</v>
          </cell>
          <cell r="K1185" t="str">
            <v>3</v>
          </cell>
          <cell r="L1185" t="str">
            <v>1750</v>
          </cell>
          <cell r="O1185" t="str">
            <v>Full no Cord</v>
          </cell>
          <cell r="P1185" t="str">
            <v>TEFC</v>
          </cell>
          <cell r="R1185" t="str">
            <v>Continuous</v>
          </cell>
          <cell r="T1185" t="str">
            <v>YES</v>
          </cell>
          <cell r="V1185" t="str">
            <v>3</v>
          </cell>
          <cell r="W1185" t="str">
            <v>60</v>
          </cell>
          <cell r="X1185" t="str">
            <v>230/460</v>
          </cell>
          <cell r="AA1185" t="str">
            <v>Vertical</v>
          </cell>
          <cell r="AD1185" t="str">
            <v>0</v>
          </cell>
          <cell r="AV1185" t="b">
            <v>0</v>
          </cell>
          <cell r="HD1185" t="str">
            <v>Repair Shop</v>
          </cell>
          <cell r="HT1185" t="b">
            <v>0</v>
          </cell>
          <cell r="HU1185" t="str">
            <v>VALERO REFINING CO. BENICIA</v>
          </cell>
        </row>
        <row r="1186">
          <cell r="A1186">
            <v>1571</v>
          </cell>
          <cell r="B1186" t="str">
            <v>VEM0521</v>
          </cell>
          <cell r="D1186" t="str">
            <v>ABBOTT</v>
          </cell>
          <cell r="AG1186" t="str">
            <v>HP</v>
          </cell>
          <cell r="AV1186" t="b">
            <v>0</v>
          </cell>
          <cell r="HD1186" t="str">
            <v>Repair Shop</v>
          </cell>
          <cell r="HT1186" t="b">
            <v>0</v>
          </cell>
          <cell r="HU1186" t="str">
            <v>ABBOTT LABS</v>
          </cell>
        </row>
        <row r="1187">
          <cell r="A1187">
            <v>1570</v>
          </cell>
          <cell r="B1187" t="str">
            <v>VEM0520</v>
          </cell>
          <cell r="D1187" t="str">
            <v>EECO</v>
          </cell>
          <cell r="F1187" t="str">
            <v>STERLING</v>
          </cell>
          <cell r="G1187" t="str">
            <v>1268339AU</v>
          </cell>
          <cell r="I1187" t="str">
            <v>132S</v>
          </cell>
          <cell r="K1187" t="str">
            <v>11.7</v>
          </cell>
          <cell r="L1187" t="str">
            <v>3470</v>
          </cell>
          <cell r="N1187" t="str">
            <v>190</v>
          </cell>
          <cell r="O1187" t="str">
            <v>Half no Cord</v>
          </cell>
          <cell r="P1187" t="str">
            <v>TEFC</v>
          </cell>
          <cell r="R1187" t="str">
            <v>Continuous</v>
          </cell>
          <cell r="U1187" t="str">
            <v>-45</v>
          </cell>
          <cell r="V1187" t="str">
            <v>3</v>
          </cell>
          <cell r="W1187" t="str">
            <v>60</v>
          </cell>
          <cell r="X1187" t="str">
            <v>230/460</v>
          </cell>
          <cell r="Y1187" t="str">
            <v>33.4/16.7</v>
          </cell>
          <cell r="AD1187" t="str">
            <v>0</v>
          </cell>
          <cell r="AG1187" t="str">
            <v>HP</v>
          </cell>
          <cell r="AI1187" t="str">
            <v>6308</v>
          </cell>
          <cell r="AJ1187" t="str">
            <v>6208</v>
          </cell>
          <cell r="AO1187" t="str">
            <v>B</v>
          </cell>
          <cell r="AP1187" t="str">
            <v>G</v>
          </cell>
          <cell r="AQ1187" t="str">
            <v>H</v>
          </cell>
          <cell r="AS1187" t="str">
            <v>1.00</v>
          </cell>
          <cell r="AV1187" t="b">
            <v>0</v>
          </cell>
          <cell r="GK1187" t="str">
            <v>HAS JB GASKET</v>
          </cell>
          <cell r="GL1187" t="str">
            <v>9 LEADS CONNECTED 460 V</v>
          </cell>
          <cell r="HD1187" t="str">
            <v>Repair Shop</v>
          </cell>
          <cell r="HT1187" t="b">
            <v>0</v>
          </cell>
          <cell r="HU1187" t="str">
            <v>ELECTRICAL EQUIPMENT CO.</v>
          </cell>
        </row>
        <row r="1188">
          <cell r="A1188">
            <v>1569</v>
          </cell>
          <cell r="B1188" t="str">
            <v>VEM0519</v>
          </cell>
          <cell r="D1188" t="str">
            <v>CORDEIROVAULT</v>
          </cell>
          <cell r="F1188" t="str">
            <v>GE</v>
          </cell>
          <cell r="G1188" t="str">
            <v>5KC36LN166GX</v>
          </cell>
          <cell r="I1188" t="str">
            <v>56C</v>
          </cell>
          <cell r="K1188" t="str">
            <v>.5</v>
          </cell>
          <cell r="L1188" t="str">
            <v>3450</v>
          </cell>
          <cell r="O1188" t="str">
            <v>Full w/ Cord</v>
          </cell>
          <cell r="P1188" t="str">
            <v>TEFC</v>
          </cell>
          <cell r="R1188" t="str">
            <v>Continuous</v>
          </cell>
          <cell r="U1188" t="str">
            <v>40</v>
          </cell>
          <cell r="V1188" t="str">
            <v>3</v>
          </cell>
          <cell r="W1188" t="str">
            <v>60</v>
          </cell>
          <cell r="X1188" t="str">
            <v>115/230</v>
          </cell>
          <cell r="Y1188" t="str">
            <v>8.0/4.0</v>
          </cell>
          <cell r="AA1188" t="str">
            <v>Vertical</v>
          </cell>
          <cell r="AD1188" t="str">
            <v>0</v>
          </cell>
          <cell r="AQ1188" t="str">
            <v>B</v>
          </cell>
          <cell r="AS1188" t="str">
            <v>1.15</v>
          </cell>
          <cell r="AV1188" t="b">
            <v>0</v>
          </cell>
          <cell r="HD1188" t="str">
            <v>Field Service</v>
          </cell>
          <cell r="HT1188" t="b">
            <v>0</v>
          </cell>
          <cell r="HU1188" t="str">
            <v>CORDEIRO VAULT CO.</v>
          </cell>
        </row>
        <row r="1189">
          <cell r="A1189">
            <v>1568</v>
          </cell>
          <cell r="B1189" t="str">
            <v>VEM0518</v>
          </cell>
          <cell r="D1189" t="str">
            <v>CONHAGEN</v>
          </cell>
          <cell r="F1189" t="str">
            <v>GE</v>
          </cell>
          <cell r="G1189" t="str">
            <v>5KS215XAE5721C</v>
          </cell>
          <cell r="H1189" t="str">
            <v>AMFT017S029</v>
          </cell>
          <cell r="I1189" t="str">
            <v>L215LP10</v>
          </cell>
          <cell r="K1189" t="str">
            <v>10</v>
          </cell>
          <cell r="L1189" t="str">
            <v>3520</v>
          </cell>
          <cell r="M1189" t="str">
            <v>KS</v>
          </cell>
          <cell r="N1189" t="str">
            <v>220</v>
          </cell>
          <cell r="O1189" t="str">
            <v>None</v>
          </cell>
          <cell r="P1189" t="str">
            <v>TEFC</v>
          </cell>
          <cell r="R1189" t="str">
            <v>Continuous</v>
          </cell>
          <cell r="T1189" t="str">
            <v>NONE NO KEY</v>
          </cell>
          <cell r="U1189" t="str">
            <v>40</v>
          </cell>
          <cell r="V1189" t="str">
            <v>3</v>
          </cell>
          <cell r="W1189" t="str">
            <v>60</v>
          </cell>
          <cell r="X1189" t="str">
            <v>460</v>
          </cell>
          <cell r="Y1189" t="str">
            <v>11.5</v>
          </cell>
          <cell r="AA1189" t="str">
            <v>Vertical</v>
          </cell>
          <cell r="AD1189" t="str">
            <v>-1</v>
          </cell>
          <cell r="AG1189" t="str">
            <v>HP</v>
          </cell>
          <cell r="AI1189" t="str">
            <v>5210</v>
          </cell>
          <cell r="AJ1189" t="str">
            <v>6208</v>
          </cell>
          <cell r="AO1189" t="str">
            <v>B</v>
          </cell>
          <cell r="AP1189" t="str">
            <v>H</v>
          </cell>
          <cell r="AQ1189" t="str">
            <v>H</v>
          </cell>
          <cell r="AR1189" t="str">
            <v>90.0</v>
          </cell>
          <cell r="AS1189" t="str">
            <v>1.15</v>
          </cell>
          <cell r="AT1189" t="str">
            <v>90.2</v>
          </cell>
          <cell r="AV1189" t="b">
            <v>0</v>
          </cell>
          <cell r="EW1189" t="str">
            <v>V771</v>
          </cell>
          <cell r="HD1189" t="str">
            <v>Repair Shop</v>
          </cell>
          <cell r="HT1189" t="b">
            <v>0</v>
          </cell>
          <cell r="HU1189" t="str">
            <v>ALFRED CONHAGEN CO. OF CA</v>
          </cell>
        </row>
        <row r="1190">
          <cell r="A1190">
            <v>1567</v>
          </cell>
          <cell r="B1190" t="str">
            <v>VEM0517</v>
          </cell>
          <cell r="D1190" t="str">
            <v>P66</v>
          </cell>
          <cell r="AD1190" t="str">
            <v>0</v>
          </cell>
          <cell r="AG1190" t="str">
            <v>HP</v>
          </cell>
          <cell r="AV1190" t="b">
            <v>0</v>
          </cell>
          <cell r="EG1190" t="str">
            <v>3-380-500V 50/60HZ</v>
          </cell>
          <cell r="EH1190" t="str">
            <v>3-0-V1 0-320</v>
          </cell>
          <cell r="HD1190" t="str">
            <v>Repair Shop</v>
          </cell>
          <cell r="HN1190" t="str">
            <v>50/60     0-320</v>
          </cell>
          <cell r="HT1190" t="b">
            <v>0</v>
          </cell>
          <cell r="HU1190" t="str">
            <v>PHILLIPS 66</v>
          </cell>
        </row>
        <row r="1191">
          <cell r="A1191">
            <v>1566</v>
          </cell>
          <cell r="B1191" t="str">
            <v>VEM0516</v>
          </cell>
          <cell r="D1191" t="str">
            <v>P66</v>
          </cell>
          <cell r="F1191" t="str">
            <v>GE</v>
          </cell>
          <cell r="G1191" t="str">
            <v>5KS284XAA118</v>
          </cell>
          <cell r="H1191" t="str">
            <v>EDFT133A27</v>
          </cell>
          <cell r="I1191" t="str">
            <v>284TS</v>
          </cell>
          <cell r="K1191" t="str">
            <v>25</v>
          </cell>
          <cell r="L1191" t="str">
            <v>3555</v>
          </cell>
          <cell r="M1191" t="str">
            <v>KS</v>
          </cell>
          <cell r="O1191" t="str">
            <v>Full no Cord</v>
          </cell>
          <cell r="P1191" t="str">
            <v>TEFC</v>
          </cell>
          <cell r="R1191" t="str">
            <v>Continuous</v>
          </cell>
          <cell r="T1191" t="str">
            <v>YES</v>
          </cell>
          <cell r="U1191" t="str">
            <v>40</v>
          </cell>
          <cell r="V1191" t="str">
            <v>3</v>
          </cell>
          <cell r="W1191" t="str">
            <v>60</v>
          </cell>
          <cell r="X1191" t="str">
            <v>460</v>
          </cell>
          <cell r="AA1191" t="str">
            <v>F1</v>
          </cell>
          <cell r="AD1191" t="str">
            <v>0</v>
          </cell>
          <cell r="AG1191" t="str">
            <v>HP</v>
          </cell>
          <cell r="AO1191" t="str">
            <v>B</v>
          </cell>
          <cell r="AP1191" t="str">
            <v>G</v>
          </cell>
          <cell r="AQ1191" t="str">
            <v>H</v>
          </cell>
          <cell r="AR1191" t="str">
            <v>92.5</v>
          </cell>
          <cell r="AS1191" t="str">
            <v>1.15</v>
          </cell>
          <cell r="AT1191" t="str">
            <v>93</v>
          </cell>
          <cell r="AV1191" t="b">
            <v>0</v>
          </cell>
          <cell r="HD1191" t="str">
            <v>Repair Shop</v>
          </cell>
          <cell r="HT1191" t="b">
            <v>0</v>
          </cell>
          <cell r="HU1191" t="str">
            <v>PHILLIPS 66</v>
          </cell>
        </row>
        <row r="1192">
          <cell r="A1192">
            <v>1565</v>
          </cell>
          <cell r="B1192" t="str">
            <v>VEM0515</v>
          </cell>
          <cell r="D1192" t="str">
            <v>VALERO</v>
          </cell>
          <cell r="F1192" t="str">
            <v>GE</v>
          </cell>
          <cell r="G1192" t="str">
            <v>5KS286XAA208D2</v>
          </cell>
          <cell r="H1192" t="str">
            <v>KLFT278S037</v>
          </cell>
          <cell r="I1192" t="str">
            <v>286T</v>
          </cell>
          <cell r="K1192" t="str">
            <v>30</v>
          </cell>
          <cell r="L1192" t="str">
            <v>1775</v>
          </cell>
          <cell r="M1192" t="str">
            <v>KS</v>
          </cell>
          <cell r="O1192" t="str">
            <v>Full no Cord</v>
          </cell>
          <cell r="P1192" t="str">
            <v>TEFC</v>
          </cell>
          <cell r="R1192" t="str">
            <v>Continuous</v>
          </cell>
          <cell r="T1192" t="str">
            <v>NONE NO KEY</v>
          </cell>
          <cell r="U1192" t="str">
            <v>40</v>
          </cell>
          <cell r="V1192" t="str">
            <v>3</v>
          </cell>
          <cell r="W1192" t="str">
            <v>60</v>
          </cell>
          <cell r="X1192" t="str">
            <v>460</v>
          </cell>
          <cell r="Y1192" t="str">
            <v>34.9</v>
          </cell>
          <cell r="AA1192" t="str">
            <v>F1</v>
          </cell>
          <cell r="AD1192" t="str">
            <v>0</v>
          </cell>
          <cell r="AG1192" t="str">
            <v>HP</v>
          </cell>
          <cell r="AI1192" t="str">
            <v>6310ZC3</v>
          </cell>
          <cell r="AJ1192" t="str">
            <v>6310ZC3</v>
          </cell>
          <cell r="AO1192" t="str">
            <v>B</v>
          </cell>
          <cell r="AP1192" t="str">
            <v>6</v>
          </cell>
          <cell r="AQ1192" t="str">
            <v>F</v>
          </cell>
          <cell r="AR1192" t="str">
            <v>86.0</v>
          </cell>
          <cell r="AS1192" t="str">
            <v>1.15</v>
          </cell>
          <cell r="AT1192" t="str">
            <v>93.6</v>
          </cell>
          <cell r="AV1192" t="b">
            <v>0</v>
          </cell>
          <cell r="EW1192" t="str">
            <v>M9447</v>
          </cell>
          <cell r="HD1192" t="str">
            <v>Repair Shop</v>
          </cell>
          <cell r="HT1192" t="b">
            <v>0</v>
          </cell>
          <cell r="HU1192" t="str">
            <v>VALERO REFINING CO. BENICIA</v>
          </cell>
        </row>
        <row r="1193">
          <cell r="A1193">
            <v>1564</v>
          </cell>
          <cell r="B1193" t="str">
            <v>VEM0514</v>
          </cell>
          <cell r="D1193" t="str">
            <v>ABCPAINTING</v>
          </cell>
          <cell r="F1193" t="str">
            <v>SEW</v>
          </cell>
          <cell r="K1193" t="str">
            <v>3</v>
          </cell>
          <cell r="L1193" t="str">
            <v>1700</v>
          </cell>
          <cell r="O1193" t="str">
            <v>Full no Cord</v>
          </cell>
          <cell r="P1193" t="str">
            <v>TEFC</v>
          </cell>
          <cell r="R1193" t="str">
            <v>Continuous</v>
          </cell>
          <cell r="V1193" t="str">
            <v>3</v>
          </cell>
          <cell r="W1193" t="str">
            <v>60</v>
          </cell>
          <cell r="X1193" t="str">
            <v>230/460</v>
          </cell>
          <cell r="Y1193" t="str">
            <v>8.6/4,3</v>
          </cell>
          <cell r="AA1193" t="str">
            <v>Vertical</v>
          </cell>
          <cell r="AD1193" t="str">
            <v>0</v>
          </cell>
          <cell r="AG1193" t="str">
            <v>HP</v>
          </cell>
          <cell r="AV1193" t="b">
            <v>0</v>
          </cell>
          <cell r="GK1193" t="str">
            <v>WITH BRAKE</v>
          </cell>
          <cell r="HD1193" t="str">
            <v>Repair Shop</v>
          </cell>
          <cell r="HT1193" t="b">
            <v>0</v>
          </cell>
          <cell r="HU1193" t="str">
            <v>ABC PAINTING</v>
          </cell>
        </row>
        <row r="1194">
          <cell r="A1194">
            <v>1563</v>
          </cell>
          <cell r="B1194" t="str">
            <v>VEM0513</v>
          </cell>
          <cell r="D1194" t="str">
            <v>ABCPAINTING</v>
          </cell>
          <cell r="F1194" t="str">
            <v>Baldor</v>
          </cell>
          <cell r="H1194" t="str">
            <v>Z1002031711</v>
          </cell>
          <cell r="I1194" t="str">
            <v>254TDZ</v>
          </cell>
          <cell r="K1194" t="str">
            <v>15</v>
          </cell>
          <cell r="L1194" t="str">
            <v>3510</v>
          </cell>
          <cell r="O1194" t="str">
            <v>Half no Cord</v>
          </cell>
          <cell r="P1194" t="str">
            <v>TEFC</v>
          </cell>
          <cell r="R1194" t="str">
            <v>Continuous</v>
          </cell>
          <cell r="S1194" t="str">
            <v>Yes</v>
          </cell>
          <cell r="T1194" t="str">
            <v>NONE NO KEY</v>
          </cell>
          <cell r="U1194" t="str">
            <v>40</v>
          </cell>
          <cell r="V1194" t="str">
            <v>3</v>
          </cell>
          <cell r="W1194" t="str">
            <v>60</v>
          </cell>
          <cell r="X1194" t="str">
            <v>230/460</v>
          </cell>
          <cell r="Y1194" t="str">
            <v>33,6/16.8</v>
          </cell>
          <cell r="AA1194" t="str">
            <v>Vertical</v>
          </cell>
          <cell r="AD1194" t="str">
            <v>0</v>
          </cell>
          <cell r="AG1194" t="str">
            <v>HP</v>
          </cell>
          <cell r="AI1194" t="str">
            <v>6211</v>
          </cell>
          <cell r="AJ1194" t="str">
            <v>6208</v>
          </cell>
          <cell r="AP1194" t="str">
            <v>G</v>
          </cell>
          <cell r="AQ1194" t="str">
            <v>F</v>
          </cell>
          <cell r="AS1194" t="str">
            <v>1.15</v>
          </cell>
          <cell r="AT1194" t="str">
            <v>90.2</v>
          </cell>
          <cell r="AU1194" t="str">
            <v>09G600Y133G1</v>
          </cell>
          <cell r="AV1194" t="b">
            <v>0</v>
          </cell>
          <cell r="EW1194" t="str">
            <v>7375780</v>
          </cell>
          <cell r="HD1194" t="str">
            <v>Repair Shop</v>
          </cell>
          <cell r="HT1194" t="b">
            <v>0</v>
          </cell>
          <cell r="HU1194" t="str">
            <v>ABC PAINTING</v>
          </cell>
        </row>
        <row r="1195">
          <cell r="A1195">
            <v>1562</v>
          </cell>
          <cell r="B1195" t="str">
            <v>VEM0512</v>
          </cell>
          <cell r="D1195" t="str">
            <v>C&amp;H</v>
          </cell>
          <cell r="F1195" t="str">
            <v>Westinghouse</v>
          </cell>
          <cell r="G1195" t="str">
            <v>TBFC</v>
          </cell>
          <cell r="H1195" t="str">
            <v>7107</v>
          </cell>
          <cell r="I1195" t="str">
            <v>184TY</v>
          </cell>
          <cell r="K1195" t="str">
            <v>5</v>
          </cell>
          <cell r="O1195" t="str">
            <v>None</v>
          </cell>
          <cell r="P1195" t="str">
            <v>TEFC</v>
          </cell>
          <cell r="R1195" t="str">
            <v>Continuous</v>
          </cell>
          <cell r="T1195" t="str">
            <v>NONE NO KEY</v>
          </cell>
          <cell r="U1195" t="str">
            <v>40</v>
          </cell>
          <cell r="V1195" t="str">
            <v>3</v>
          </cell>
          <cell r="W1195" t="str">
            <v>60</v>
          </cell>
          <cell r="X1195" t="str">
            <v>230/460</v>
          </cell>
          <cell r="Y1195" t="str">
            <v>13.6/6.8</v>
          </cell>
          <cell r="AA1195" t="str">
            <v>F1</v>
          </cell>
          <cell r="AD1195" t="str">
            <v>0</v>
          </cell>
          <cell r="AG1195" t="str">
            <v>HP</v>
          </cell>
          <cell r="AQ1195" t="str">
            <v>B</v>
          </cell>
          <cell r="AV1195" t="b">
            <v>0</v>
          </cell>
          <cell r="BZ1195" t="str">
            <v>1750</v>
          </cell>
          <cell r="CE1195" t="str">
            <v>5</v>
          </cell>
          <cell r="GK1195" t="str">
            <v>3 LEADS ONLY</v>
          </cell>
          <cell r="HD1195" t="str">
            <v>Repair Shop</v>
          </cell>
          <cell r="HT1195" t="b">
            <v>0</v>
          </cell>
          <cell r="HU1195" t="str">
            <v>C &amp; H SUGAR CO.</v>
          </cell>
        </row>
        <row r="1196">
          <cell r="A1196">
            <v>1561</v>
          </cell>
          <cell r="B1196" t="str">
            <v>VEM0511</v>
          </cell>
          <cell r="D1196" t="str">
            <v>CASHSALES</v>
          </cell>
          <cell r="AD1196" t="str">
            <v>0</v>
          </cell>
          <cell r="AG1196" t="str">
            <v>HP</v>
          </cell>
          <cell r="AV1196" t="b">
            <v>0</v>
          </cell>
          <cell r="HD1196" t="str">
            <v>Repair Shop</v>
          </cell>
          <cell r="HT1196" t="b">
            <v>0</v>
          </cell>
          <cell r="HU1196" t="str">
            <v>CASH SALES</v>
          </cell>
        </row>
        <row r="1197">
          <cell r="A1197">
            <v>1560</v>
          </cell>
          <cell r="B1197" t="str">
            <v>VEM0510</v>
          </cell>
          <cell r="D1197" t="str">
            <v>CONHAGEN</v>
          </cell>
          <cell r="F1197" t="str">
            <v>Siemens</v>
          </cell>
          <cell r="H1197" t="str">
            <v>K04T0006P2</v>
          </cell>
          <cell r="I1197" t="str">
            <v>256LP</v>
          </cell>
          <cell r="K1197" t="str">
            <v>20</v>
          </cell>
          <cell r="L1197" t="str">
            <v>3525</v>
          </cell>
          <cell r="M1197" t="str">
            <v>RGZVILESD</v>
          </cell>
          <cell r="N1197" t="str">
            <v>308</v>
          </cell>
          <cell r="O1197" t="str">
            <v>None</v>
          </cell>
          <cell r="P1197" t="str">
            <v>TEFC</v>
          </cell>
          <cell r="R1197" t="str">
            <v>Continuous</v>
          </cell>
          <cell r="T1197" t="str">
            <v>NONE NO KEY</v>
          </cell>
          <cell r="U1197" t="str">
            <v>40</v>
          </cell>
          <cell r="V1197" t="str">
            <v>3</v>
          </cell>
          <cell r="W1197" t="str">
            <v>60</v>
          </cell>
          <cell r="X1197" t="str">
            <v>230/460</v>
          </cell>
          <cell r="Y1197" t="str">
            <v>46/23</v>
          </cell>
          <cell r="AA1197" t="str">
            <v>Vertical</v>
          </cell>
          <cell r="AD1197" t="str">
            <v>0</v>
          </cell>
          <cell r="AG1197" t="str">
            <v>HP</v>
          </cell>
          <cell r="AO1197" t="str">
            <v>B</v>
          </cell>
          <cell r="AQ1197" t="str">
            <v>B</v>
          </cell>
          <cell r="AS1197" t="str">
            <v>1.15</v>
          </cell>
          <cell r="AT1197" t="str">
            <v>88.5</v>
          </cell>
          <cell r="AV1197" t="b">
            <v>0</v>
          </cell>
          <cell r="EX1197" t="str">
            <v>PART#1LA02562LE2D</v>
          </cell>
          <cell r="HD1197" t="str">
            <v>Repair Shop</v>
          </cell>
          <cell r="HT1197" t="b">
            <v>0</v>
          </cell>
          <cell r="HU1197" t="str">
            <v>ALFRED CONHAGEN CO. OF CA</v>
          </cell>
        </row>
        <row r="1198">
          <cell r="A1198">
            <v>1559</v>
          </cell>
          <cell r="B1198" t="str">
            <v>VEM0509</v>
          </cell>
          <cell r="D1198" t="str">
            <v>MTDIABLOED</v>
          </cell>
          <cell r="AD1198" t="str">
            <v>0</v>
          </cell>
          <cell r="AG1198" t="str">
            <v>HP</v>
          </cell>
          <cell r="AV1198" t="b">
            <v>0</v>
          </cell>
          <cell r="HD1198" t="str">
            <v>Repair Shop</v>
          </cell>
          <cell r="HT1198" t="b">
            <v>0</v>
          </cell>
          <cell r="HU1198" t="str">
            <v>Mt. Diablo Adult Ed</v>
          </cell>
        </row>
        <row r="1199">
          <cell r="A1199">
            <v>1558</v>
          </cell>
          <cell r="B1199" t="str">
            <v>VEM0508</v>
          </cell>
          <cell r="D1199" t="str">
            <v>CLEANHARBORS</v>
          </cell>
          <cell r="F1199" t="str">
            <v>WEG</v>
          </cell>
          <cell r="G1199" t="str">
            <v>01518XT3E254TC</v>
          </cell>
          <cell r="I1199" t="str">
            <v>254TC</v>
          </cell>
          <cell r="K1199" t="str">
            <v>15</v>
          </cell>
          <cell r="L1199" t="str">
            <v>1770</v>
          </cell>
          <cell r="O1199" t="str">
            <v>Full no Cord</v>
          </cell>
          <cell r="P1199" t="str">
            <v>TEFC-XP</v>
          </cell>
          <cell r="R1199" t="str">
            <v>Continuous</v>
          </cell>
          <cell r="S1199" t="str">
            <v>Yes</v>
          </cell>
          <cell r="T1199" t="str">
            <v>NONE NO KEY</v>
          </cell>
          <cell r="U1199" t="str">
            <v>40</v>
          </cell>
          <cell r="V1199" t="str">
            <v>3</v>
          </cell>
          <cell r="W1199" t="str">
            <v>60</v>
          </cell>
          <cell r="X1199" t="str">
            <v>208-2320/460</v>
          </cell>
          <cell r="Y1199" t="str">
            <v>40.7-36.8/18.4</v>
          </cell>
          <cell r="AA1199" t="str">
            <v>F1</v>
          </cell>
          <cell r="AD1199" t="str">
            <v>0</v>
          </cell>
          <cell r="AG1199" t="str">
            <v>HP</v>
          </cell>
          <cell r="AI1199" t="str">
            <v>6309</v>
          </cell>
          <cell r="AJ1199" t="str">
            <v>6208</v>
          </cell>
          <cell r="AO1199" t="str">
            <v>B</v>
          </cell>
          <cell r="AP1199" t="str">
            <v>J</v>
          </cell>
          <cell r="AQ1199" t="str">
            <v>F</v>
          </cell>
          <cell r="AS1199" t="str">
            <v>1.15</v>
          </cell>
          <cell r="AT1199" t="str">
            <v>92.4</v>
          </cell>
          <cell r="AV1199" t="b">
            <v>0</v>
          </cell>
          <cell r="HD1199" t="str">
            <v>Repair Shop</v>
          </cell>
          <cell r="HT1199" t="b">
            <v>0</v>
          </cell>
          <cell r="HU1199" t="str">
            <v>CLEAN HARBORS</v>
          </cell>
        </row>
        <row r="1200">
          <cell r="A1200">
            <v>1557</v>
          </cell>
          <cell r="B1200" t="str">
            <v>VEM0507</v>
          </cell>
          <cell r="D1200" t="str">
            <v>VALERO</v>
          </cell>
          <cell r="F1200" t="str">
            <v>Siemens</v>
          </cell>
          <cell r="H1200" t="str">
            <v>H13TO174NPI003</v>
          </cell>
          <cell r="I1200" t="str">
            <v>445TS</v>
          </cell>
          <cell r="K1200" t="str">
            <v>150</v>
          </cell>
          <cell r="L1200" t="str">
            <v>1785</v>
          </cell>
          <cell r="M1200" t="str">
            <v>SD100  IEEE</v>
          </cell>
          <cell r="N1200" t="str">
            <v>1900</v>
          </cell>
          <cell r="O1200" t="str">
            <v>None</v>
          </cell>
          <cell r="P1200" t="str">
            <v>TEFC</v>
          </cell>
          <cell r="R1200" t="str">
            <v>Continuous</v>
          </cell>
          <cell r="T1200" t="str">
            <v>NEONE NO KEY</v>
          </cell>
          <cell r="U1200" t="str">
            <v>40</v>
          </cell>
          <cell r="V1200" t="str">
            <v>3</v>
          </cell>
          <cell r="W1200" t="str">
            <v>60</v>
          </cell>
          <cell r="X1200" t="str">
            <v>460</v>
          </cell>
          <cell r="Y1200" t="str">
            <v>170</v>
          </cell>
          <cell r="AA1200" t="str">
            <v>F1</v>
          </cell>
          <cell r="AD1200" t="str">
            <v>0</v>
          </cell>
          <cell r="AG1200" t="str">
            <v>HP</v>
          </cell>
          <cell r="AP1200" t="str">
            <v>G</v>
          </cell>
          <cell r="AQ1200" t="str">
            <v>F</v>
          </cell>
          <cell r="AS1200" t="str">
            <v>1.15</v>
          </cell>
          <cell r="AT1200" t="str">
            <v>95.8</v>
          </cell>
          <cell r="AV1200" t="b">
            <v>0</v>
          </cell>
          <cell r="EX1200" t="str">
            <v>PART#1LE24214DB212AA3</v>
          </cell>
          <cell r="HD1200" t="str">
            <v>Repair Shop</v>
          </cell>
          <cell r="HT1200" t="b">
            <v>0</v>
          </cell>
          <cell r="HU1200" t="str">
            <v>VALERO REFINING CO. BENICIA</v>
          </cell>
        </row>
        <row r="1201">
          <cell r="A1201">
            <v>1556</v>
          </cell>
          <cell r="B1201" t="str">
            <v>VEM0506</v>
          </cell>
          <cell r="D1201" t="str">
            <v>NUSTAR</v>
          </cell>
          <cell r="F1201" t="str">
            <v>GE</v>
          </cell>
          <cell r="G1201" t="str">
            <v>5KS445SS218D11</v>
          </cell>
          <cell r="H1201" t="str">
            <v>XN6403033</v>
          </cell>
          <cell r="I1201" t="str">
            <v>445TS</v>
          </cell>
          <cell r="K1201" t="str">
            <v>150</v>
          </cell>
          <cell r="L1201" t="str">
            <v>1790</v>
          </cell>
          <cell r="M1201" t="str">
            <v>KS</v>
          </cell>
          <cell r="N1201" t="str">
            <v>2020</v>
          </cell>
          <cell r="O1201" t="str">
            <v>Full no Cord</v>
          </cell>
          <cell r="P1201" t="str">
            <v>TEFC</v>
          </cell>
          <cell r="R1201" t="str">
            <v>Continuous</v>
          </cell>
          <cell r="S1201" t="str">
            <v>Yes</v>
          </cell>
          <cell r="T1201" t="str">
            <v>NONE NO KEY</v>
          </cell>
          <cell r="U1201" t="str">
            <v>40</v>
          </cell>
          <cell r="V1201" t="str">
            <v>3</v>
          </cell>
          <cell r="W1201" t="str">
            <v>60</v>
          </cell>
          <cell r="X1201" t="str">
            <v>460</v>
          </cell>
          <cell r="Y1201" t="str">
            <v>168</v>
          </cell>
          <cell r="AA1201" t="str">
            <v>F1</v>
          </cell>
          <cell r="AD1201" t="str">
            <v>0</v>
          </cell>
          <cell r="AG1201" t="str">
            <v>HP</v>
          </cell>
          <cell r="AI1201" t="str">
            <v>6314</v>
          </cell>
          <cell r="AJ1201" t="str">
            <v>6314</v>
          </cell>
          <cell r="AO1201" t="str">
            <v>B</v>
          </cell>
          <cell r="AP1201" t="str">
            <v>G</v>
          </cell>
          <cell r="AQ1201" t="str">
            <v>F</v>
          </cell>
          <cell r="AR1201" t="str">
            <v>87</v>
          </cell>
          <cell r="AS1201" t="str">
            <v>1.15</v>
          </cell>
          <cell r="AT1201" t="str">
            <v>95.8</v>
          </cell>
          <cell r="AV1201" t="b">
            <v>0</v>
          </cell>
          <cell r="EW1201" t="str">
            <v>E9929</v>
          </cell>
          <cell r="HD1201" t="str">
            <v>Repair Shop</v>
          </cell>
          <cell r="HT1201" t="b">
            <v>0</v>
          </cell>
          <cell r="HU1201" t="str">
            <v>NUSTAR/SHORE TERMINALS, LLC</v>
          </cell>
        </row>
        <row r="1202">
          <cell r="A1202">
            <v>1555</v>
          </cell>
          <cell r="B1202" t="str">
            <v>VEM0505</v>
          </cell>
          <cell r="D1202" t="str">
            <v>NUSTAR</v>
          </cell>
          <cell r="F1202" t="str">
            <v>GE</v>
          </cell>
          <cell r="G1202" t="str">
            <v>5KS445SS218D11</v>
          </cell>
          <cell r="H1202" t="str">
            <v>XN6403033</v>
          </cell>
          <cell r="I1202" t="str">
            <v>445TS</v>
          </cell>
          <cell r="K1202" t="str">
            <v>150</v>
          </cell>
          <cell r="L1202" t="str">
            <v>1800</v>
          </cell>
          <cell r="N1202" t="str">
            <v>2020</v>
          </cell>
          <cell r="P1202" t="str">
            <v>TEFC</v>
          </cell>
          <cell r="X1202" t="str">
            <v>460</v>
          </cell>
          <cell r="Y1202" t="str">
            <v>168</v>
          </cell>
          <cell r="AG1202" t="str">
            <v>HP</v>
          </cell>
          <cell r="AI1202" t="str">
            <v>314</v>
          </cell>
          <cell r="AJ1202" t="str">
            <v>314</v>
          </cell>
          <cell r="AV1202" t="b">
            <v>0</v>
          </cell>
          <cell r="AX1202" t="str">
            <v>4</v>
          </cell>
          <cell r="EW1202" t="str">
            <v>E9929</v>
          </cell>
          <cell r="HD1202" t="str">
            <v>Repair Shop</v>
          </cell>
          <cell r="HT1202" t="b">
            <v>0</v>
          </cell>
          <cell r="HU1202" t="str">
            <v>NUSTAR/SHORE TERMINALS, LLC</v>
          </cell>
        </row>
        <row r="1203">
          <cell r="A1203">
            <v>1554</v>
          </cell>
          <cell r="B1203" t="str">
            <v>VEM0504</v>
          </cell>
          <cell r="D1203" t="str">
            <v>VALERO</v>
          </cell>
          <cell r="F1203" t="str">
            <v>Siemens</v>
          </cell>
          <cell r="I1203" t="str">
            <v>324TS</v>
          </cell>
          <cell r="K1203" t="str">
            <v>40</v>
          </cell>
          <cell r="L1203" t="str">
            <v>3530</v>
          </cell>
          <cell r="M1203" t="str">
            <v>RGZESD</v>
          </cell>
          <cell r="O1203" t="str">
            <v>None</v>
          </cell>
          <cell r="P1203" t="str">
            <v>TEFC</v>
          </cell>
          <cell r="R1203" t="str">
            <v>Continuous</v>
          </cell>
          <cell r="S1203" t="str">
            <v>Yes</v>
          </cell>
          <cell r="T1203" t="str">
            <v>YES</v>
          </cell>
          <cell r="U1203" t="str">
            <v>40</v>
          </cell>
          <cell r="V1203" t="str">
            <v>3</v>
          </cell>
          <cell r="W1203" t="str">
            <v>60</v>
          </cell>
          <cell r="X1203" t="str">
            <v>46045.5</v>
          </cell>
          <cell r="AA1203" t="str">
            <v>F1</v>
          </cell>
          <cell r="AD1203" t="str">
            <v>0</v>
          </cell>
          <cell r="AG1203" t="str">
            <v>HP</v>
          </cell>
          <cell r="AO1203" t="str">
            <v>B</v>
          </cell>
          <cell r="AP1203" t="str">
            <v>G</v>
          </cell>
          <cell r="AQ1203" t="str">
            <v>F</v>
          </cell>
          <cell r="AS1203" t="str">
            <v>1</v>
          </cell>
          <cell r="AT1203" t="str">
            <v>93.6</v>
          </cell>
          <cell r="AV1203" t="b">
            <v>0</v>
          </cell>
          <cell r="EX1203" t="str">
            <v>ORD#1LA03242SE42</v>
          </cell>
          <cell r="GK1203" t="str">
            <v>3 LEADS ONLY</v>
          </cell>
          <cell r="HD1203" t="str">
            <v>Repair Shop</v>
          </cell>
          <cell r="HT1203" t="b">
            <v>0</v>
          </cell>
          <cell r="HU1203" t="str">
            <v>VALERO REFINING CO. BENICIA</v>
          </cell>
        </row>
        <row r="1204">
          <cell r="A1204">
            <v>1553</v>
          </cell>
          <cell r="B1204" t="str">
            <v>VEM0503</v>
          </cell>
          <cell r="D1204" t="str">
            <v>COUNTYASPHALT</v>
          </cell>
          <cell r="AD1204" t="str">
            <v>0</v>
          </cell>
          <cell r="AG1204" t="str">
            <v>HP</v>
          </cell>
          <cell r="AV1204" t="b">
            <v>0</v>
          </cell>
          <cell r="AY1204" t="str">
            <v>KING PUMP</v>
          </cell>
          <cell r="AZ1204" t="str">
            <v>AV147</v>
          </cell>
          <cell r="BA1204" t="str">
            <v>10940906</v>
          </cell>
          <cell r="HD1204" t="str">
            <v>Repair Shop</v>
          </cell>
          <cell r="HT1204" t="b">
            <v>0</v>
          </cell>
          <cell r="HU1204" t="str">
            <v>COUNTY ASPHALT</v>
          </cell>
        </row>
        <row r="1205">
          <cell r="A1205">
            <v>1552</v>
          </cell>
          <cell r="B1205" t="str">
            <v>VEM0502</v>
          </cell>
          <cell r="D1205" t="str">
            <v>CASHSALES</v>
          </cell>
          <cell r="F1205" t="str">
            <v>Little Giant</v>
          </cell>
          <cell r="G1205" t="str">
            <v>25LGIL1100N4</v>
          </cell>
          <cell r="H1205" t="str">
            <v>10L45-00385</v>
          </cell>
          <cell r="K1205" t="str">
            <v>1.2</v>
          </cell>
          <cell r="V1205" t="str">
            <v>1</v>
          </cell>
          <cell r="W1205" t="str">
            <v>60</v>
          </cell>
          <cell r="X1205" t="str">
            <v>230</v>
          </cell>
          <cell r="Y1205" t="str">
            <v>12</v>
          </cell>
          <cell r="AD1205" t="str">
            <v>0</v>
          </cell>
          <cell r="AG1205" t="str">
            <v>HP</v>
          </cell>
          <cell r="AV1205" t="b">
            <v>0</v>
          </cell>
          <cell r="HD1205" t="str">
            <v>Repair Shop</v>
          </cell>
          <cell r="HT1205" t="b">
            <v>0</v>
          </cell>
          <cell r="HU1205" t="str">
            <v>CASH SALES</v>
          </cell>
        </row>
        <row r="1206">
          <cell r="A1206">
            <v>1551</v>
          </cell>
          <cell r="B1206" t="str">
            <v>VEM0501</v>
          </cell>
          <cell r="D1206" t="str">
            <v>TURBO</v>
          </cell>
          <cell r="F1206" t="str">
            <v>GE</v>
          </cell>
          <cell r="G1206" t="str">
            <v>5K6285XJ34A</v>
          </cell>
          <cell r="H1206" t="str">
            <v>AEJ108438</v>
          </cell>
          <cell r="I1206" t="str">
            <v>445TPZ20</v>
          </cell>
          <cell r="K1206" t="str">
            <v>125</v>
          </cell>
          <cell r="L1206" t="str">
            <v>1775</v>
          </cell>
          <cell r="M1206" t="str">
            <v>K</v>
          </cell>
          <cell r="O1206" t="str">
            <v>None</v>
          </cell>
          <cell r="P1206" t="str">
            <v>TEFC</v>
          </cell>
          <cell r="R1206" t="str">
            <v>Continuous</v>
          </cell>
          <cell r="T1206" t="str">
            <v>YES</v>
          </cell>
          <cell r="U1206" t="str">
            <v>55</v>
          </cell>
          <cell r="V1206" t="str">
            <v>3</v>
          </cell>
          <cell r="W1206" t="str">
            <v>60</v>
          </cell>
          <cell r="X1206" t="str">
            <v>460</v>
          </cell>
          <cell r="Y1206" t="str">
            <v>143</v>
          </cell>
          <cell r="AA1206" t="str">
            <v>Vertical</v>
          </cell>
          <cell r="AD1206" t="str">
            <v>0</v>
          </cell>
          <cell r="AG1206" t="str">
            <v>HP</v>
          </cell>
          <cell r="AP1206" t="str">
            <v>G</v>
          </cell>
          <cell r="AQ1206" t="str">
            <v>B</v>
          </cell>
          <cell r="AS1206" t="str">
            <v>1.15</v>
          </cell>
          <cell r="AV1206" t="b">
            <v>0</v>
          </cell>
          <cell r="HD1206" t="str">
            <v>Repair Shop</v>
          </cell>
          <cell r="HT1206" t="b">
            <v>0</v>
          </cell>
          <cell r="HU1206" t="str">
            <v>TURBO MACHINE</v>
          </cell>
        </row>
        <row r="1207">
          <cell r="A1207">
            <v>1550</v>
          </cell>
          <cell r="B1207" t="str">
            <v>VEM0500</v>
          </cell>
          <cell r="D1207" t="str">
            <v>TURBO</v>
          </cell>
          <cell r="F1207" t="str">
            <v>GE</v>
          </cell>
          <cell r="G1207" t="str">
            <v>5K6285XJ34A</v>
          </cell>
          <cell r="H1207" t="str">
            <v>AEJ108140</v>
          </cell>
          <cell r="I1207" t="str">
            <v>445TPZ20</v>
          </cell>
          <cell r="K1207" t="str">
            <v>125</v>
          </cell>
          <cell r="L1207" t="str">
            <v>1775</v>
          </cell>
          <cell r="M1207" t="str">
            <v>K</v>
          </cell>
          <cell r="O1207" t="str">
            <v>None</v>
          </cell>
          <cell r="P1207" t="str">
            <v>TEFC</v>
          </cell>
          <cell r="R1207" t="str">
            <v>Continuous</v>
          </cell>
          <cell r="T1207" t="str">
            <v>YES</v>
          </cell>
          <cell r="U1207" t="str">
            <v>55</v>
          </cell>
          <cell r="V1207" t="str">
            <v>3</v>
          </cell>
          <cell r="W1207" t="str">
            <v>60</v>
          </cell>
          <cell r="X1207" t="str">
            <v>460</v>
          </cell>
          <cell r="Y1207" t="str">
            <v>143</v>
          </cell>
          <cell r="AA1207" t="str">
            <v>Vertical</v>
          </cell>
          <cell r="AD1207" t="str">
            <v>0</v>
          </cell>
          <cell r="AG1207" t="str">
            <v>HP</v>
          </cell>
          <cell r="AP1207" t="str">
            <v>G</v>
          </cell>
          <cell r="AQ1207" t="str">
            <v>B</v>
          </cell>
          <cell r="AS1207" t="str">
            <v>1.15</v>
          </cell>
          <cell r="AV1207" t="b">
            <v>0</v>
          </cell>
          <cell r="GK1207" t="str">
            <v>3 LEADS ONLY</v>
          </cell>
          <cell r="HD1207" t="str">
            <v>Repair Shop</v>
          </cell>
          <cell r="HT1207" t="b">
            <v>0</v>
          </cell>
          <cell r="HU1207" t="str">
            <v>TURBO MACHINE</v>
          </cell>
        </row>
        <row r="1208">
          <cell r="A1208">
            <v>1549</v>
          </cell>
          <cell r="B1208" t="str">
            <v>VEM0499</v>
          </cell>
          <cell r="D1208" t="str">
            <v>VALERO</v>
          </cell>
          <cell r="F1208" t="str">
            <v>Siemens</v>
          </cell>
          <cell r="H1208" t="str">
            <v>K056T0005P</v>
          </cell>
          <cell r="I1208" t="str">
            <v>254LP</v>
          </cell>
          <cell r="K1208" t="str">
            <v>15</v>
          </cell>
          <cell r="L1208" t="str">
            <v>3530</v>
          </cell>
          <cell r="M1208" t="str">
            <v>RGZVILESD</v>
          </cell>
          <cell r="N1208" t="str">
            <v>286</v>
          </cell>
          <cell r="O1208" t="str">
            <v>Full no Cord</v>
          </cell>
          <cell r="R1208" t="str">
            <v>Continuous</v>
          </cell>
          <cell r="T1208" t="str">
            <v>NONE</v>
          </cell>
          <cell r="U1208" t="str">
            <v>40</v>
          </cell>
          <cell r="V1208" t="str">
            <v>3</v>
          </cell>
          <cell r="W1208" t="str">
            <v>60</v>
          </cell>
          <cell r="X1208" t="str">
            <v>230/460</v>
          </cell>
          <cell r="Y1208" t="str">
            <v>34/17</v>
          </cell>
          <cell r="AA1208" t="str">
            <v>Vertical</v>
          </cell>
          <cell r="AD1208" t="str">
            <v>0</v>
          </cell>
          <cell r="AG1208" t="str">
            <v>HP</v>
          </cell>
          <cell r="AO1208" t="str">
            <v>B</v>
          </cell>
          <cell r="AQ1208" t="str">
            <v>F</v>
          </cell>
          <cell r="AS1208" t="str">
            <v>1.15</v>
          </cell>
          <cell r="AT1208" t="str">
            <v>88.5</v>
          </cell>
          <cell r="AV1208" t="b">
            <v>0</v>
          </cell>
          <cell r="HD1208" t="str">
            <v>Repair Shop</v>
          </cell>
          <cell r="HT1208" t="b">
            <v>0</v>
          </cell>
          <cell r="HU1208" t="str">
            <v>VALERO REFINING CO. BENICIA</v>
          </cell>
        </row>
        <row r="1209">
          <cell r="A1209">
            <v>1548</v>
          </cell>
          <cell r="B1209" t="str">
            <v>VEM0498</v>
          </cell>
          <cell r="D1209" t="str">
            <v>VALERO</v>
          </cell>
          <cell r="F1209" t="str">
            <v>Reliance</v>
          </cell>
          <cell r="I1209" t="str">
            <v>364TS</v>
          </cell>
          <cell r="K1209" t="str">
            <v>60</v>
          </cell>
          <cell r="L1209" t="str">
            <v>3560</v>
          </cell>
          <cell r="M1209" t="str">
            <v>P</v>
          </cell>
          <cell r="O1209" t="str">
            <v>None</v>
          </cell>
          <cell r="P1209" t="str">
            <v>TEFC</v>
          </cell>
          <cell r="R1209" t="str">
            <v>Continuous</v>
          </cell>
          <cell r="S1209" t="str">
            <v>Yes</v>
          </cell>
          <cell r="T1209" t="str">
            <v>YES</v>
          </cell>
          <cell r="U1209" t="str">
            <v>40</v>
          </cell>
          <cell r="V1209" t="str">
            <v>3</v>
          </cell>
          <cell r="W1209" t="str">
            <v>60</v>
          </cell>
          <cell r="X1209" t="str">
            <v>460</v>
          </cell>
          <cell r="Y1209" t="str">
            <v>66.1</v>
          </cell>
          <cell r="AA1209" t="str">
            <v>F1</v>
          </cell>
          <cell r="AD1209" t="str">
            <v>0</v>
          </cell>
          <cell r="AG1209" t="str">
            <v>HP</v>
          </cell>
          <cell r="AO1209" t="str">
            <v>B</v>
          </cell>
          <cell r="AP1209" t="str">
            <v>G</v>
          </cell>
          <cell r="AR1209" t="str">
            <v>90.3</v>
          </cell>
          <cell r="AS1209" t="str">
            <v>1.15</v>
          </cell>
          <cell r="AT1209" t="str">
            <v>94.1</v>
          </cell>
          <cell r="AV1209" t="b">
            <v>0</v>
          </cell>
          <cell r="EX1209" t="str">
            <v>1MAF30239-G2-TN</v>
          </cell>
          <cell r="GK1209" t="str">
            <v>3 LEADS ONLY</v>
          </cell>
          <cell r="HD1209" t="str">
            <v>Repair Shop</v>
          </cell>
          <cell r="HT1209" t="b">
            <v>0</v>
          </cell>
          <cell r="HU1209" t="str">
            <v>VALERO REFINING CO. BENICIA</v>
          </cell>
        </row>
        <row r="1210">
          <cell r="A1210">
            <v>1547</v>
          </cell>
          <cell r="B1210" t="str">
            <v>VEM0497</v>
          </cell>
          <cell r="D1210" t="str">
            <v>PARMATECH</v>
          </cell>
          <cell r="AD1210" t="str">
            <v>0</v>
          </cell>
          <cell r="AG1210" t="str">
            <v>HP</v>
          </cell>
          <cell r="AV1210" t="b">
            <v>0</v>
          </cell>
          <cell r="HD1210" t="str">
            <v>Repair Shop</v>
          </cell>
          <cell r="HT1210" t="b">
            <v>0</v>
          </cell>
          <cell r="HU1210" t="str">
            <v>PARMATECH</v>
          </cell>
        </row>
        <row r="1211">
          <cell r="A1211">
            <v>1546</v>
          </cell>
          <cell r="B1211" t="str">
            <v>VEM0074</v>
          </cell>
          <cell r="D1211" t="str">
            <v>PARMATECH</v>
          </cell>
          <cell r="AG1211" t="str">
            <v>HP</v>
          </cell>
          <cell r="AV1211" t="b">
            <v>0</v>
          </cell>
          <cell r="HT1211" t="b">
            <v>0</v>
          </cell>
          <cell r="HU1211" t="str">
            <v>PARMATECH</v>
          </cell>
        </row>
        <row r="1212">
          <cell r="A1212">
            <v>1545</v>
          </cell>
          <cell r="B1212" t="str">
            <v>VEM0496</v>
          </cell>
          <cell r="D1212" t="str">
            <v>EURO</v>
          </cell>
          <cell r="F1212" t="str">
            <v>WERIE</v>
          </cell>
          <cell r="V1212" t="str">
            <v>3</v>
          </cell>
          <cell r="W1212" t="str">
            <v>60</v>
          </cell>
          <cell r="AD1212" t="str">
            <v>0</v>
          </cell>
          <cell r="AV1212" t="b">
            <v>0</v>
          </cell>
          <cell r="HD1212" t="str">
            <v>Repair Shop</v>
          </cell>
          <cell r="HT1212" t="b">
            <v>0</v>
          </cell>
          <cell r="HU1212" t="str">
            <v>EURO-MACHINES, INC.</v>
          </cell>
        </row>
        <row r="1213">
          <cell r="A1213">
            <v>1544</v>
          </cell>
          <cell r="B1213" t="str">
            <v>VEM0495</v>
          </cell>
          <cell r="D1213" t="str">
            <v>TIMET</v>
          </cell>
          <cell r="F1213" t="str">
            <v>Century</v>
          </cell>
          <cell r="I1213" t="str">
            <v>S215JM</v>
          </cell>
          <cell r="K1213" t="str">
            <v>15</v>
          </cell>
          <cell r="L1213" t="str">
            <v>3490</v>
          </cell>
          <cell r="M1213" t="str">
            <v>SC</v>
          </cell>
          <cell r="O1213" t="str">
            <v>Full no Cord</v>
          </cell>
          <cell r="P1213" t="str">
            <v>TEFC</v>
          </cell>
          <cell r="R1213" t="str">
            <v>Continuous</v>
          </cell>
          <cell r="S1213" t="str">
            <v>Yes</v>
          </cell>
          <cell r="V1213" t="str">
            <v>3</v>
          </cell>
          <cell r="W1213" t="str">
            <v>60</v>
          </cell>
          <cell r="X1213" t="str">
            <v>200-230/460</v>
          </cell>
          <cell r="Y1213" t="str">
            <v>42-38/19</v>
          </cell>
          <cell r="AA1213" t="str">
            <v>F1</v>
          </cell>
          <cell r="AD1213" t="str">
            <v>0</v>
          </cell>
          <cell r="AG1213" t="str">
            <v>HP</v>
          </cell>
          <cell r="AI1213" t="str">
            <v>6310</v>
          </cell>
          <cell r="AJ1213" t="str">
            <v>6206</v>
          </cell>
          <cell r="AO1213" t="str">
            <v>A</v>
          </cell>
          <cell r="AS1213" t="str">
            <v>1.15</v>
          </cell>
          <cell r="AV1213" t="b">
            <v>0</v>
          </cell>
          <cell r="EW1213" t="str">
            <v>0337</v>
          </cell>
          <cell r="HD1213" t="str">
            <v>Repair Shop</v>
          </cell>
          <cell r="HT1213" t="b">
            <v>0</v>
          </cell>
          <cell r="HU1213" t="str">
            <v>TIMET - TITANIUM METALS</v>
          </cell>
        </row>
        <row r="1214">
          <cell r="A1214">
            <v>1543</v>
          </cell>
          <cell r="B1214" t="str">
            <v>VEM0494</v>
          </cell>
          <cell r="D1214" t="str">
            <v>BARRY</v>
          </cell>
          <cell r="F1214" t="str">
            <v>FOREIGN</v>
          </cell>
          <cell r="O1214" t="str">
            <v>Half no Cord</v>
          </cell>
          <cell r="P1214" t="str">
            <v>TEFC</v>
          </cell>
          <cell r="T1214" t="str">
            <v>NO IMPELLER</v>
          </cell>
          <cell r="V1214" t="str">
            <v>3</v>
          </cell>
          <cell r="W1214" t="str">
            <v>60</v>
          </cell>
          <cell r="X1214" t="str">
            <v>230/460 ?</v>
          </cell>
          <cell r="AA1214" t="str">
            <v>Vertical</v>
          </cell>
          <cell r="AD1214" t="str">
            <v>0</v>
          </cell>
          <cell r="AV1214" t="b">
            <v>0</v>
          </cell>
          <cell r="GK1214" t="str">
            <v>6 LEADS TO TERMINAL BLOCK PLUS 2 SEPARATE LEADS</v>
          </cell>
          <cell r="HD1214" t="str">
            <v>Repair Shop</v>
          </cell>
          <cell r="HT1214" t="b">
            <v>0</v>
          </cell>
          <cell r="HU1214" t="str">
            <v>BARRY CALLEBAUT</v>
          </cell>
        </row>
        <row r="1215">
          <cell r="A1215">
            <v>1542</v>
          </cell>
          <cell r="B1215" t="str">
            <v>VEM0493</v>
          </cell>
          <cell r="D1215" t="str">
            <v>P66</v>
          </cell>
          <cell r="AD1215" t="str">
            <v>0</v>
          </cell>
          <cell r="AG1215" t="str">
            <v>HP</v>
          </cell>
          <cell r="AV1215" t="b">
            <v>0</v>
          </cell>
          <cell r="HD1215" t="str">
            <v>Repair Shop</v>
          </cell>
          <cell r="HT1215" t="b">
            <v>0</v>
          </cell>
          <cell r="HU1215" t="str">
            <v>PHILLIPS 66</v>
          </cell>
        </row>
        <row r="1216">
          <cell r="A1216">
            <v>1541</v>
          </cell>
          <cell r="B1216" t="str">
            <v>VEM0492</v>
          </cell>
          <cell r="D1216" t="str">
            <v>VEOLIA</v>
          </cell>
          <cell r="F1216" t="str">
            <v>FLYGT</v>
          </cell>
          <cell r="AD1216" t="str">
            <v>0</v>
          </cell>
          <cell r="AV1216" t="b">
            <v>0</v>
          </cell>
          <cell r="GK1216" t="str">
            <v>WITH CABLE</v>
          </cell>
          <cell r="HD1216" t="str">
            <v>Repair Shop</v>
          </cell>
          <cell r="HT1216" t="b">
            <v>0</v>
          </cell>
          <cell r="HU1216" t="str">
            <v>VEOLIA WATER</v>
          </cell>
        </row>
        <row r="1217">
          <cell r="A1217">
            <v>1540</v>
          </cell>
          <cell r="B1217" t="str">
            <v>VEM0491</v>
          </cell>
          <cell r="D1217" t="str">
            <v>EECO</v>
          </cell>
          <cell r="F1217" t="str">
            <v>HEW</v>
          </cell>
          <cell r="H1217" t="str">
            <v>542269</v>
          </cell>
          <cell r="K1217" t="str">
            <v>2.7/7.8</v>
          </cell>
          <cell r="L1217" t="str">
            <v>850/1740</v>
          </cell>
          <cell r="M1217" t="str">
            <v>R132M/8-40LS</v>
          </cell>
          <cell r="O1217" t="str">
            <v>Half no Cord</v>
          </cell>
          <cell r="P1217" t="str">
            <v>TEFC</v>
          </cell>
          <cell r="S1217" t="str">
            <v>Yes</v>
          </cell>
          <cell r="V1217" t="str">
            <v>3</v>
          </cell>
          <cell r="W1217" t="str">
            <v>60</v>
          </cell>
          <cell r="X1217" t="str">
            <v>208</v>
          </cell>
          <cell r="Y1217" t="str">
            <v>16.2/37.0</v>
          </cell>
          <cell r="AD1217" t="str">
            <v>0</v>
          </cell>
          <cell r="AG1217" t="str">
            <v>KW</v>
          </cell>
          <cell r="AV1217" t="b">
            <v>0</v>
          </cell>
          <cell r="GK1217" t="str">
            <v>6 LEADS ONLY WITH CONN BLOCK</v>
          </cell>
          <cell r="HD1217" t="str">
            <v>Repair Shop</v>
          </cell>
          <cell r="HT1217" t="b">
            <v>0</v>
          </cell>
          <cell r="HU1217" t="str">
            <v>ELECTRICAL EQUIPMENT CO.</v>
          </cell>
        </row>
        <row r="1218">
          <cell r="A1218">
            <v>1539</v>
          </cell>
          <cell r="B1218" t="str">
            <v>VEM0490</v>
          </cell>
          <cell r="D1218" t="str">
            <v>FAIRFIELDMAINT</v>
          </cell>
          <cell r="F1218" t="str">
            <v>BALDOR.RELIANCE</v>
          </cell>
          <cell r="H1218" t="str">
            <v>Z0902260276</v>
          </cell>
          <cell r="I1218" t="str">
            <v>256JP</v>
          </cell>
          <cell r="K1218" t="str">
            <v>20</v>
          </cell>
          <cell r="L1218" t="str">
            <v>1765</v>
          </cell>
          <cell r="O1218" t="str">
            <v>Full no Cord</v>
          </cell>
          <cell r="P1218" t="str">
            <v>TEFC</v>
          </cell>
          <cell r="R1218" t="str">
            <v>Continuous</v>
          </cell>
          <cell r="S1218" t="str">
            <v>Yes</v>
          </cell>
          <cell r="U1218" t="str">
            <v>40</v>
          </cell>
          <cell r="V1218" t="str">
            <v>3</v>
          </cell>
          <cell r="W1218" t="str">
            <v>60</v>
          </cell>
          <cell r="X1218" t="str">
            <v>230/460</v>
          </cell>
          <cell r="Y1218" t="str">
            <v>48/24</v>
          </cell>
          <cell r="AA1218" t="str">
            <v>Vertical</v>
          </cell>
          <cell r="AD1218" t="str">
            <v>0</v>
          </cell>
          <cell r="AG1218" t="str">
            <v>HP</v>
          </cell>
          <cell r="AI1218" t="str">
            <v>6309</v>
          </cell>
          <cell r="AJ1218" t="str">
            <v>6208</v>
          </cell>
          <cell r="AO1218" t="str">
            <v>B</v>
          </cell>
          <cell r="AP1218" t="str">
            <v>H</v>
          </cell>
          <cell r="AQ1218" t="str">
            <v>F</v>
          </cell>
          <cell r="AR1218" t="str">
            <v>84</v>
          </cell>
          <cell r="AS1218" t="str">
            <v>1.15</v>
          </cell>
          <cell r="AT1218" t="str">
            <v>93</v>
          </cell>
          <cell r="AU1218" t="str">
            <v>09E364Y583G1</v>
          </cell>
          <cell r="AV1218" t="b">
            <v>0</v>
          </cell>
          <cell r="AY1218" t="str">
            <v>ITT  (MARLOW)</v>
          </cell>
          <cell r="AZ1218" t="str">
            <v>5-9SC</v>
          </cell>
          <cell r="BA1218" t="str">
            <v>QFB989-01 D90</v>
          </cell>
          <cell r="BD1218" t="str">
            <v>530SC BFW</v>
          </cell>
          <cell r="BE1218" t="str">
            <v>960</v>
          </cell>
          <cell r="BS1218" t="str">
            <v>SWIMMING POOL</v>
          </cell>
          <cell r="HD1218" t="str">
            <v>Repair Shop</v>
          </cell>
          <cell r="HT1218" t="b">
            <v>0</v>
          </cell>
          <cell r="HU1218" t="str">
            <v>CITY OF FAIRFIELD</v>
          </cell>
        </row>
        <row r="1219">
          <cell r="A1219">
            <v>1538</v>
          </cell>
          <cell r="B1219" t="str">
            <v>VEM0489</v>
          </cell>
          <cell r="D1219" t="str">
            <v>VALERO</v>
          </cell>
          <cell r="F1219" t="str">
            <v>Reliance</v>
          </cell>
          <cell r="I1219" t="str">
            <v>17EBE449T</v>
          </cell>
          <cell r="K1219" t="str">
            <v>200</v>
          </cell>
          <cell r="L1219" t="str">
            <v>1784</v>
          </cell>
          <cell r="M1219" t="str">
            <v>P</v>
          </cell>
          <cell r="O1219" t="str">
            <v>Full no Cord</v>
          </cell>
          <cell r="P1219" t="str">
            <v>TEFC</v>
          </cell>
          <cell r="S1219" t="str">
            <v>Yes</v>
          </cell>
          <cell r="T1219" t="str">
            <v>YES</v>
          </cell>
          <cell r="U1219" t="str">
            <v>40</v>
          </cell>
          <cell r="V1219" t="str">
            <v>3</v>
          </cell>
          <cell r="W1219" t="str">
            <v>60</v>
          </cell>
          <cell r="X1219" t="str">
            <v>4000/2300</v>
          </cell>
          <cell r="Y1219" t="str">
            <v>26/45</v>
          </cell>
          <cell r="AA1219" t="str">
            <v>F1</v>
          </cell>
          <cell r="AD1219" t="str">
            <v>0</v>
          </cell>
          <cell r="AP1219" t="str">
            <v>G</v>
          </cell>
          <cell r="AQ1219" t="str">
            <v>F</v>
          </cell>
          <cell r="AS1219" t="str">
            <v>1.15</v>
          </cell>
          <cell r="AV1219" t="b">
            <v>0</v>
          </cell>
          <cell r="EX1219" t="str">
            <v>VAQ02950   A1-WN</v>
          </cell>
          <cell r="GK1219" t="str">
            <v>NO JB OPPOSITE SIDE OF MOTOR FOR HEATER LEADS</v>
          </cell>
          <cell r="HD1219" t="str">
            <v>Repair Shop</v>
          </cell>
          <cell r="HT1219" t="b">
            <v>0</v>
          </cell>
          <cell r="HU1219" t="str">
            <v>VALERO REFINING CO. BENICIA</v>
          </cell>
        </row>
        <row r="1220">
          <cell r="A1220">
            <v>1537</v>
          </cell>
          <cell r="B1220" t="str">
            <v>VEM0488</v>
          </cell>
          <cell r="D1220" t="str">
            <v>CLEANHARBORS</v>
          </cell>
          <cell r="F1220" t="str">
            <v>Baldor</v>
          </cell>
          <cell r="H1220" t="str">
            <v>60310270054</v>
          </cell>
          <cell r="I1220" t="str">
            <v>324TC</v>
          </cell>
          <cell r="K1220" t="str">
            <v>40</v>
          </cell>
          <cell r="L1220" t="str">
            <v>1775</v>
          </cell>
          <cell r="O1220" t="str">
            <v>Full no Cord</v>
          </cell>
          <cell r="P1220" t="str">
            <v>TEFC</v>
          </cell>
          <cell r="R1220" t="str">
            <v>Continuous</v>
          </cell>
          <cell r="S1220" t="str">
            <v>Yes</v>
          </cell>
          <cell r="T1220" t="str">
            <v>YES</v>
          </cell>
          <cell r="U1220" t="str">
            <v>40</v>
          </cell>
          <cell r="V1220" t="str">
            <v>3</v>
          </cell>
          <cell r="W1220" t="str">
            <v>60</v>
          </cell>
          <cell r="X1220" t="str">
            <v>230/460</v>
          </cell>
          <cell r="Y1220" t="str">
            <v>94/47</v>
          </cell>
          <cell r="AA1220" t="str">
            <v>F1</v>
          </cell>
          <cell r="AD1220" t="str">
            <v>0</v>
          </cell>
          <cell r="AG1220" t="str">
            <v>HP</v>
          </cell>
          <cell r="AO1220" t="str">
            <v>A</v>
          </cell>
          <cell r="AP1220" t="str">
            <v>H</v>
          </cell>
          <cell r="AQ1220" t="str">
            <v>B</v>
          </cell>
          <cell r="AS1220" t="str">
            <v>1.00</v>
          </cell>
          <cell r="AT1220" t="str">
            <v>93</v>
          </cell>
          <cell r="AU1220" t="str">
            <v>12N025X160H1</v>
          </cell>
          <cell r="AV1220" t="b">
            <v>0</v>
          </cell>
          <cell r="EW1220" t="str">
            <v>CH7062T</v>
          </cell>
          <cell r="HD1220" t="str">
            <v>Repair Shop</v>
          </cell>
          <cell r="HT1220" t="b">
            <v>0</v>
          </cell>
          <cell r="HU1220" t="str">
            <v>CLEAN HARBORS</v>
          </cell>
        </row>
        <row r="1221">
          <cell r="A1221">
            <v>1536</v>
          </cell>
          <cell r="B1221" t="str">
            <v>VEM0487</v>
          </cell>
          <cell r="D1221" t="str">
            <v>CLEANHARBORS</v>
          </cell>
          <cell r="F1221" t="str">
            <v>Baldor</v>
          </cell>
          <cell r="H1221" t="str">
            <v>Z1511120230</v>
          </cell>
          <cell r="I1221" t="str">
            <v>256T</v>
          </cell>
          <cell r="K1221" t="str">
            <v>20</v>
          </cell>
          <cell r="L1221" t="str">
            <v>3520</v>
          </cell>
          <cell r="O1221" t="str">
            <v>Full no Cord</v>
          </cell>
          <cell r="P1221" t="str">
            <v>TEFC</v>
          </cell>
          <cell r="R1221" t="str">
            <v>Continuous</v>
          </cell>
          <cell r="T1221" t="str">
            <v>YES</v>
          </cell>
          <cell r="U1221" t="str">
            <v>40</v>
          </cell>
          <cell r="V1221" t="str">
            <v>3</v>
          </cell>
          <cell r="W1221" t="str">
            <v>60</v>
          </cell>
          <cell r="X1221" t="str">
            <v>230/460</v>
          </cell>
          <cell r="Y1221" t="str">
            <v>46/23</v>
          </cell>
          <cell r="AA1221" t="str">
            <v>F1</v>
          </cell>
          <cell r="AD1221" t="str">
            <v>0</v>
          </cell>
          <cell r="AG1221" t="str">
            <v>HP</v>
          </cell>
          <cell r="AO1221" t="str">
            <v>A</v>
          </cell>
          <cell r="AP1221" t="str">
            <v>H</v>
          </cell>
          <cell r="AQ1221" t="str">
            <v>F</v>
          </cell>
          <cell r="AR1221" t="str">
            <v>89</v>
          </cell>
          <cell r="AS1221" t="str">
            <v>1.0</v>
          </cell>
          <cell r="AT1221" t="str">
            <v>91</v>
          </cell>
          <cell r="AU1221" t="str">
            <v>09E270Z601G1</v>
          </cell>
          <cell r="AV1221" t="b">
            <v>0</v>
          </cell>
          <cell r="EW1221" t="str">
            <v>EM7059T</v>
          </cell>
          <cell r="HD1221" t="str">
            <v>Repair Shop</v>
          </cell>
          <cell r="HT1221" t="b">
            <v>0</v>
          </cell>
          <cell r="HU1221" t="str">
            <v>CLEAN HARBORS</v>
          </cell>
        </row>
        <row r="1222">
          <cell r="A1222">
            <v>1535</v>
          </cell>
          <cell r="B1222" t="str">
            <v>VEM0486</v>
          </cell>
          <cell r="D1222" t="str">
            <v>P66</v>
          </cell>
          <cell r="AG1222" t="str">
            <v>HP</v>
          </cell>
          <cell r="AV1222" t="b">
            <v>0</v>
          </cell>
          <cell r="HD1222" t="str">
            <v>Repair Shop</v>
          </cell>
          <cell r="HT1222" t="b">
            <v>0</v>
          </cell>
          <cell r="HU1222" t="str">
            <v>PHILLIPS 66</v>
          </cell>
        </row>
        <row r="1223">
          <cell r="A1223">
            <v>1534</v>
          </cell>
          <cell r="B1223" t="str">
            <v>VEM0485</v>
          </cell>
          <cell r="D1223" t="str">
            <v>CONHAGEN</v>
          </cell>
          <cell r="F1223" t="str">
            <v>BALDOR-RELIANCE</v>
          </cell>
          <cell r="H1223" t="str">
            <v>Z1507070425</v>
          </cell>
          <cell r="I1223" t="str">
            <v>254HP</v>
          </cell>
          <cell r="K1223" t="str">
            <v>15</v>
          </cell>
          <cell r="L1223" t="str">
            <v>3525</v>
          </cell>
          <cell r="O1223" t="str">
            <v>Full no Cord</v>
          </cell>
          <cell r="P1223" t="str">
            <v>TEFC</v>
          </cell>
          <cell r="R1223" t="str">
            <v>Continuous</v>
          </cell>
          <cell r="T1223" t="str">
            <v>YES</v>
          </cell>
          <cell r="U1223" t="str">
            <v>40</v>
          </cell>
          <cell r="V1223" t="str">
            <v>3</v>
          </cell>
          <cell r="W1223" t="str">
            <v>60</v>
          </cell>
          <cell r="X1223" t="str">
            <v>230/460</v>
          </cell>
          <cell r="Y1223" t="str">
            <v>34.4/17.2</v>
          </cell>
          <cell r="AA1223" t="str">
            <v>Vertical</v>
          </cell>
          <cell r="AD1223" t="str">
            <v>0</v>
          </cell>
          <cell r="AG1223" t="str">
            <v>HP</v>
          </cell>
          <cell r="AI1223" t="str">
            <v>6311</v>
          </cell>
          <cell r="AJ1223" t="str">
            <v>6208</v>
          </cell>
          <cell r="AO1223" t="str">
            <v>A</v>
          </cell>
          <cell r="AP1223" t="str">
            <v>H</v>
          </cell>
          <cell r="AQ1223" t="str">
            <v>F</v>
          </cell>
          <cell r="AR1223" t="str">
            <v>88</v>
          </cell>
          <cell r="AS1223" t="str">
            <v>1.15</v>
          </cell>
          <cell r="AU1223" t="str">
            <v>098604Y599G1</v>
          </cell>
          <cell r="AV1223" t="b">
            <v>0</v>
          </cell>
          <cell r="EW1223" t="str">
            <v>VHECP2394T</v>
          </cell>
          <cell r="HD1223" t="str">
            <v>Repair Shop</v>
          </cell>
          <cell r="HT1223" t="b">
            <v>0</v>
          </cell>
          <cell r="HU1223" t="str">
            <v>ALFRED CONHAGEN CO. OF CA</v>
          </cell>
        </row>
        <row r="1224">
          <cell r="A1224">
            <v>1533</v>
          </cell>
          <cell r="B1224" t="str">
            <v>VEM0484</v>
          </cell>
          <cell r="D1224" t="str">
            <v>MATHESON</v>
          </cell>
          <cell r="F1224" t="str">
            <v>Siemens</v>
          </cell>
          <cell r="H1224" t="str">
            <v>E15056-01-1</v>
          </cell>
          <cell r="I1224" t="str">
            <v>5010S</v>
          </cell>
          <cell r="K1224" t="str">
            <v>1000</v>
          </cell>
          <cell r="L1224" t="str">
            <v>3558</v>
          </cell>
          <cell r="M1224" t="str">
            <v>CGII</v>
          </cell>
          <cell r="O1224" t="str">
            <v>Half no Cord</v>
          </cell>
          <cell r="P1224" t="str">
            <v>WPII</v>
          </cell>
          <cell r="R1224" t="str">
            <v>Continuous</v>
          </cell>
          <cell r="S1224" t="str">
            <v>No</v>
          </cell>
          <cell r="T1224" t="str">
            <v>YES</v>
          </cell>
          <cell r="U1224" t="str">
            <v>40C</v>
          </cell>
          <cell r="V1224" t="str">
            <v>3</v>
          </cell>
          <cell r="W1224" t="str">
            <v>60</v>
          </cell>
          <cell r="X1224" t="str">
            <v>4160</v>
          </cell>
          <cell r="AD1224" t="str">
            <v>0</v>
          </cell>
          <cell r="AG1224" t="str">
            <v>HP</v>
          </cell>
          <cell r="AI1224" t="str">
            <v>52-354 032-501</v>
          </cell>
          <cell r="AJ1224" t="str">
            <v>52-354 032-501</v>
          </cell>
          <cell r="AP1224" t="str">
            <v>E</v>
          </cell>
          <cell r="AQ1224" t="str">
            <v>F</v>
          </cell>
          <cell r="AS1224" t="str">
            <v>1.15</v>
          </cell>
          <cell r="AT1224" t="str">
            <v>94.6</v>
          </cell>
          <cell r="AV1224" t="b">
            <v>0</v>
          </cell>
          <cell r="AW1224" t="str">
            <v>122</v>
          </cell>
          <cell r="HD1224" t="str">
            <v>Repair Shop</v>
          </cell>
          <cell r="HT1224" t="b">
            <v>0</v>
          </cell>
          <cell r="HU1224" t="str">
            <v>Matheson Tri-Gas Inc.</v>
          </cell>
        </row>
        <row r="1225">
          <cell r="A1225">
            <v>1532</v>
          </cell>
          <cell r="B1225" t="str">
            <v>VEM0483</v>
          </cell>
          <cell r="D1225" t="str">
            <v>VALERO</v>
          </cell>
          <cell r="F1225" t="str">
            <v>Reliance</v>
          </cell>
          <cell r="I1225" t="str">
            <v>324T</v>
          </cell>
          <cell r="K1225" t="str">
            <v>40</v>
          </cell>
          <cell r="L1225" t="str">
            <v>1776</v>
          </cell>
          <cell r="O1225" t="str">
            <v>None</v>
          </cell>
          <cell r="P1225" t="str">
            <v>TEFC</v>
          </cell>
          <cell r="R1225" t="str">
            <v>Continuous</v>
          </cell>
          <cell r="T1225" t="str">
            <v>NONE NO KEY</v>
          </cell>
          <cell r="U1225" t="str">
            <v>40</v>
          </cell>
          <cell r="V1225" t="str">
            <v>3</v>
          </cell>
          <cell r="W1225" t="str">
            <v>60</v>
          </cell>
          <cell r="X1225" t="str">
            <v>460</v>
          </cell>
          <cell r="Y1225" t="str">
            <v>49.5</v>
          </cell>
          <cell r="AA1225" t="str">
            <v>F1</v>
          </cell>
          <cell r="AG1225" t="str">
            <v>HP</v>
          </cell>
          <cell r="AI1225" t="str">
            <v>6311</v>
          </cell>
          <cell r="AJ1225" t="str">
            <v>6311</v>
          </cell>
          <cell r="AO1225" t="str">
            <v>B</v>
          </cell>
          <cell r="AP1225" t="str">
            <v>G</v>
          </cell>
          <cell r="AQ1225" t="str">
            <v>F</v>
          </cell>
          <cell r="AS1225" t="str">
            <v>1.15</v>
          </cell>
          <cell r="AV1225" t="b">
            <v>0</v>
          </cell>
          <cell r="GK1225" t="str">
            <v>3 LEADS ONLY</v>
          </cell>
          <cell r="HD1225" t="str">
            <v>Repair Shop</v>
          </cell>
          <cell r="HT1225" t="b">
            <v>0</v>
          </cell>
          <cell r="HU1225" t="str">
            <v>VALERO REFINING CO. BENICIA</v>
          </cell>
        </row>
        <row r="1226">
          <cell r="A1226">
            <v>1531</v>
          </cell>
          <cell r="B1226" t="str">
            <v>VEM0482</v>
          </cell>
          <cell r="D1226" t="str">
            <v>VALERO</v>
          </cell>
          <cell r="F1226" t="str">
            <v>Westinghouse</v>
          </cell>
          <cell r="G1226" t="str">
            <v>ABLG</v>
          </cell>
          <cell r="H1226" t="str">
            <v>6802</v>
          </cell>
          <cell r="I1226" t="str">
            <v>445UP</v>
          </cell>
          <cell r="K1226" t="str">
            <v>150</v>
          </cell>
          <cell r="L1226" t="str">
            <v>3565</v>
          </cell>
          <cell r="O1226" t="str">
            <v>None</v>
          </cell>
          <cell r="P1226" t="str">
            <v>ODP</v>
          </cell>
          <cell r="R1226" t="str">
            <v>Continuous</v>
          </cell>
          <cell r="T1226" t="str">
            <v>NONE</v>
          </cell>
          <cell r="U1226" t="str">
            <v>40</v>
          </cell>
          <cell r="V1226" t="str">
            <v>3</v>
          </cell>
          <cell r="W1226" t="str">
            <v>60</v>
          </cell>
          <cell r="X1226" t="str">
            <v>460</v>
          </cell>
          <cell r="Y1226" t="str">
            <v>164</v>
          </cell>
          <cell r="AA1226" t="str">
            <v>Vertical</v>
          </cell>
          <cell r="AD1226" t="str">
            <v>0</v>
          </cell>
          <cell r="AG1226" t="str">
            <v>HP</v>
          </cell>
          <cell r="AI1226" t="str">
            <v>6312</v>
          </cell>
          <cell r="AJ1226" t="str">
            <v>6312</v>
          </cell>
          <cell r="AP1226" t="str">
            <v>H</v>
          </cell>
          <cell r="AQ1226" t="str">
            <v>B</v>
          </cell>
          <cell r="AS1226" t="str">
            <v>1.0</v>
          </cell>
          <cell r="AV1226" t="b">
            <v>0</v>
          </cell>
          <cell r="GK1226" t="str">
            <v>3 LEADS 0NLY</v>
          </cell>
          <cell r="HD1226" t="str">
            <v>Repair Shop</v>
          </cell>
          <cell r="HT1226" t="b">
            <v>0</v>
          </cell>
          <cell r="HU1226" t="str">
            <v>VALERO REFINING CO. BENICIA</v>
          </cell>
        </row>
        <row r="1227">
          <cell r="A1227">
            <v>1530</v>
          </cell>
          <cell r="B1227" t="str">
            <v>VEM0481</v>
          </cell>
          <cell r="D1227" t="str">
            <v>VALERO</v>
          </cell>
          <cell r="F1227" t="str">
            <v>Toshiba</v>
          </cell>
          <cell r="G1227" t="str">
            <v>0054XSSB42A-P</v>
          </cell>
          <cell r="H1227" t="str">
            <v>14040028927</v>
          </cell>
          <cell r="I1227" t="str">
            <v>184TC</v>
          </cell>
          <cell r="K1227" t="str">
            <v>5</v>
          </cell>
          <cell r="L1227" t="str">
            <v>3600</v>
          </cell>
          <cell r="M1227" t="str">
            <v>IKH</v>
          </cell>
          <cell r="N1227" t="str">
            <v>117</v>
          </cell>
          <cell r="O1227" t="str">
            <v>Full no Cord</v>
          </cell>
          <cell r="P1227" t="str">
            <v>TEFC</v>
          </cell>
          <cell r="R1227" t="str">
            <v>Continuous</v>
          </cell>
          <cell r="T1227" t="str">
            <v>YES</v>
          </cell>
          <cell r="U1227" t="str">
            <v>40</v>
          </cell>
          <cell r="V1227" t="str">
            <v>3</v>
          </cell>
          <cell r="W1227" t="str">
            <v>60</v>
          </cell>
          <cell r="X1227" t="str">
            <v>460</v>
          </cell>
          <cell r="Y1227" t="str">
            <v>6.5</v>
          </cell>
          <cell r="AA1227" t="str">
            <v>F1</v>
          </cell>
          <cell r="AD1227" t="str">
            <v>0</v>
          </cell>
          <cell r="AG1227" t="str">
            <v>HP</v>
          </cell>
          <cell r="AI1227" t="str">
            <v>6306</v>
          </cell>
          <cell r="AJ1227" t="str">
            <v>6306</v>
          </cell>
          <cell r="AO1227" t="str">
            <v>B</v>
          </cell>
          <cell r="AP1227" t="str">
            <v>J</v>
          </cell>
          <cell r="AR1227" t="str">
            <v>80.5</v>
          </cell>
          <cell r="AT1227" t="str">
            <v>89.5</v>
          </cell>
          <cell r="AV1227" t="b">
            <v>0</v>
          </cell>
          <cell r="HD1227" t="str">
            <v>Repair Shop</v>
          </cell>
          <cell r="HT1227" t="b">
            <v>0</v>
          </cell>
          <cell r="HU1227" t="str">
            <v>VALERO REFINING CO. BENICIA</v>
          </cell>
        </row>
        <row r="1228">
          <cell r="A1228">
            <v>1529</v>
          </cell>
          <cell r="B1228" t="str">
            <v>FE1014</v>
          </cell>
          <cell r="D1228" t="str">
            <v>NAPARECYCLING</v>
          </cell>
          <cell r="AD1228" t="str">
            <v>0</v>
          </cell>
          <cell r="AG1228" t="str">
            <v>HP</v>
          </cell>
          <cell r="AV1228" t="b">
            <v>0</v>
          </cell>
          <cell r="HD1228" t="str">
            <v>Field Service</v>
          </cell>
          <cell r="HT1228" t="b">
            <v>0</v>
          </cell>
          <cell r="HU1228" t="str">
            <v>NAPA RECYCLING &amp; WASTE</v>
          </cell>
        </row>
        <row r="1229">
          <cell r="A1229">
            <v>1528</v>
          </cell>
          <cell r="B1229" t="str">
            <v>VEM0480</v>
          </cell>
          <cell r="D1229" t="str">
            <v>TIMET</v>
          </cell>
          <cell r="AD1229" t="str">
            <v>0</v>
          </cell>
          <cell r="AG1229" t="str">
            <v>HP</v>
          </cell>
          <cell r="AV1229" t="b">
            <v>0</v>
          </cell>
          <cell r="HD1229" t="str">
            <v>Repair Shop</v>
          </cell>
          <cell r="HT1229" t="b">
            <v>0</v>
          </cell>
          <cell r="HU1229" t="str">
            <v>TIMET - TITANIUM METALS</v>
          </cell>
        </row>
        <row r="1230">
          <cell r="A1230">
            <v>1527</v>
          </cell>
          <cell r="B1230" t="str">
            <v>VEM0479</v>
          </cell>
          <cell r="D1230" t="str">
            <v>CONHAGEN</v>
          </cell>
          <cell r="F1230" t="str">
            <v>Siemens</v>
          </cell>
          <cell r="H1230" t="str">
            <v>J04T00915P  2</v>
          </cell>
          <cell r="I1230" t="str">
            <v>324LPZ</v>
          </cell>
          <cell r="K1230" t="str">
            <v>40</v>
          </cell>
          <cell r="L1230" t="str">
            <v>3530</v>
          </cell>
          <cell r="M1230" t="str">
            <v>RGZVILESD</v>
          </cell>
          <cell r="O1230" t="str">
            <v>None</v>
          </cell>
          <cell r="P1230" t="str">
            <v>TEFC</v>
          </cell>
          <cell r="R1230" t="str">
            <v>Continuous</v>
          </cell>
          <cell r="T1230" t="str">
            <v>NONE</v>
          </cell>
          <cell r="U1230" t="str">
            <v>40</v>
          </cell>
          <cell r="V1230" t="str">
            <v>3</v>
          </cell>
          <cell r="W1230" t="str">
            <v>60</v>
          </cell>
          <cell r="X1230" t="str">
            <v>460</v>
          </cell>
          <cell r="Y1230" t="str">
            <v>29.84</v>
          </cell>
          <cell r="AA1230" t="str">
            <v>Vertical</v>
          </cell>
          <cell r="AD1230" t="str">
            <v>-1</v>
          </cell>
          <cell r="AG1230" t="str">
            <v>HP</v>
          </cell>
          <cell r="AO1230" t="str">
            <v>B</v>
          </cell>
          <cell r="AP1230" t="str">
            <v>G</v>
          </cell>
          <cell r="AQ1230" t="str">
            <v>F</v>
          </cell>
          <cell r="AS1230" t="str">
            <v>1.15</v>
          </cell>
          <cell r="AT1230" t="str">
            <v>92.4</v>
          </cell>
          <cell r="AV1230" t="b">
            <v>0</v>
          </cell>
          <cell r="GK1230" t="str">
            <v>CUSTOM SHAFT</v>
          </cell>
          <cell r="HD1230" t="str">
            <v>Repair Shop</v>
          </cell>
          <cell r="HT1230" t="b">
            <v>0</v>
          </cell>
          <cell r="HU1230" t="str">
            <v>ALFRED CONHAGEN CO. OF CA</v>
          </cell>
        </row>
        <row r="1231">
          <cell r="A1231">
            <v>1525</v>
          </cell>
          <cell r="B1231" t="str">
            <v>VEM0477</v>
          </cell>
          <cell r="D1231" t="str">
            <v>CONHAGEN</v>
          </cell>
          <cell r="F1231" t="str">
            <v>Reliance</v>
          </cell>
          <cell r="G1231" t="str">
            <v>SUNDYNE</v>
          </cell>
          <cell r="I1231" t="str">
            <v>284HPZ</v>
          </cell>
          <cell r="K1231" t="str">
            <v>25</v>
          </cell>
          <cell r="L1231" t="str">
            <v>3540</v>
          </cell>
          <cell r="M1231" t="str">
            <v>P</v>
          </cell>
          <cell r="N1231" t="str">
            <v>495</v>
          </cell>
          <cell r="O1231" t="str">
            <v>Full no Cord</v>
          </cell>
          <cell r="P1231" t="str">
            <v>TEFC</v>
          </cell>
          <cell r="R1231" t="str">
            <v>Continuous</v>
          </cell>
          <cell r="T1231" t="str">
            <v>NONE</v>
          </cell>
          <cell r="U1231" t="str">
            <v>40</v>
          </cell>
          <cell r="V1231" t="str">
            <v>3</v>
          </cell>
          <cell r="W1231" t="str">
            <v>60</v>
          </cell>
          <cell r="X1231" t="str">
            <v>460</v>
          </cell>
          <cell r="Y1231" t="str">
            <v>28.2</v>
          </cell>
          <cell r="AA1231" t="str">
            <v>Vertical</v>
          </cell>
          <cell r="AD1231" t="str">
            <v>0</v>
          </cell>
          <cell r="AG1231" t="str">
            <v>HP</v>
          </cell>
          <cell r="AI1231" t="str">
            <v>6312</v>
          </cell>
          <cell r="AJ1231" t="str">
            <v>6310</v>
          </cell>
          <cell r="AO1231" t="str">
            <v>B</v>
          </cell>
          <cell r="AP1231" t="str">
            <v>G</v>
          </cell>
          <cell r="AQ1231" t="str">
            <v>F</v>
          </cell>
          <cell r="AR1231" t="str">
            <v>89.2</v>
          </cell>
          <cell r="AT1231" t="str">
            <v>92.4</v>
          </cell>
          <cell r="AV1231" t="b">
            <v>0</v>
          </cell>
          <cell r="EX1231" t="str">
            <v>01MAN91376  G001  DD</v>
          </cell>
          <cell r="HD1231" t="str">
            <v>Repair Shop</v>
          </cell>
          <cell r="HT1231" t="b">
            <v>0</v>
          </cell>
          <cell r="HU1231" t="str">
            <v>ALFRED CONHAGEN CO. OF CA</v>
          </cell>
        </row>
        <row r="1232">
          <cell r="A1232">
            <v>1524</v>
          </cell>
          <cell r="B1232" t="str">
            <v>VEM0476</v>
          </cell>
          <cell r="D1232" t="str">
            <v>CONHAGEN</v>
          </cell>
          <cell r="F1232" t="str">
            <v>GE</v>
          </cell>
          <cell r="G1232" t="str">
            <v>5KS254XAE5722A</v>
          </cell>
          <cell r="H1232" t="str">
            <v>BMFT053S023</v>
          </cell>
          <cell r="I1232" t="str">
            <v>L254LP10</v>
          </cell>
          <cell r="K1232" t="str">
            <v>15</v>
          </cell>
          <cell r="L1232" t="str">
            <v>3550</v>
          </cell>
          <cell r="M1232" t="str">
            <v>KS</v>
          </cell>
          <cell r="N1232" t="str">
            <v>315</v>
          </cell>
          <cell r="O1232" t="str">
            <v>None</v>
          </cell>
          <cell r="P1232" t="str">
            <v>TEFC</v>
          </cell>
          <cell r="Q1232" t="str">
            <v>NONE</v>
          </cell>
          <cell r="R1232" t="str">
            <v>Continuous</v>
          </cell>
          <cell r="S1232" t="str">
            <v>Yes</v>
          </cell>
          <cell r="T1232" t="str">
            <v>NONE</v>
          </cell>
          <cell r="U1232" t="str">
            <v>40</v>
          </cell>
          <cell r="V1232" t="str">
            <v>3</v>
          </cell>
          <cell r="W1232" t="str">
            <v>60</v>
          </cell>
          <cell r="X1232" t="str">
            <v>460</v>
          </cell>
          <cell r="Z1232" t="str">
            <v>Yes</v>
          </cell>
          <cell r="AA1232" t="str">
            <v>Vertical</v>
          </cell>
          <cell r="AD1232" t="str">
            <v>-1</v>
          </cell>
          <cell r="AG1232" t="str">
            <v>HP</v>
          </cell>
          <cell r="AI1232" t="str">
            <v>5211</v>
          </cell>
          <cell r="AJ1232" t="str">
            <v>6309</v>
          </cell>
          <cell r="AO1232" t="str">
            <v>B</v>
          </cell>
          <cell r="AP1232" t="str">
            <v>G</v>
          </cell>
          <cell r="AQ1232" t="str">
            <v>H</v>
          </cell>
          <cell r="AR1232" t="str">
            <v>89</v>
          </cell>
          <cell r="AS1232" t="str">
            <v>1.15</v>
          </cell>
          <cell r="AT1232" t="str">
            <v>91</v>
          </cell>
          <cell r="AV1232" t="b">
            <v>0</v>
          </cell>
          <cell r="AW1232" t="str">
            <v>17.3</v>
          </cell>
          <cell r="EW1232" t="str">
            <v>V772</v>
          </cell>
          <cell r="HD1232" t="str">
            <v>Repair Shop</v>
          </cell>
          <cell r="HT1232" t="b">
            <v>0</v>
          </cell>
          <cell r="HU1232" t="str">
            <v>ALFRED CONHAGEN CO. OF CA</v>
          </cell>
        </row>
        <row r="1233">
          <cell r="A1233">
            <v>1523</v>
          </cell>
          <cell r="B1233" t="str">
            <v>VEM0475</v>
          </cell>
          <cell r="D1233" t="str">
            <v>VALERO</v>
          </cell>
          <cell r="G1233" t="str">
            <v>B416674</v>
          </cell>
          <cell r="I1233" t="str">
            <v>405TS</v>
          </cell>
          <cell r="K1233" t="str">
            <v>100</v>
          </cell>
          <cell r="L1233" t="str">
            <v>3565</v>
          </cell>
          <cell r="M1233" t="str">
            <v>P</v>
          </cell>
          <cell r="N1233" t="str">
            <v>1286</v>
          </cell>
          <cell r="O1233" t="str">
            <v>None</v>
          </cell>
          <cell r="P1233" t="str">
            <v>TEFC</v>
          </cell>
          <cell r="R1233" t="str">
            <v>Continuous</v>
          </cell>
          <cell r="S1233" t="str">
            <v>Yes</v>
          </cell>
          <cell r="T1233" t="str">
            <v>YES</v>
          </cell>
          <cell r="U1233" t="str">
            <v>40</v>
          </cell>
          <cell r="V1233" t="str">
            <v>3</v>
          </cell>
          <cell r="W1233" t="str">
            <v>60</v>
          </cell>
          <cell r="X1233" t="str">
            <v>460</v>
          </cell>
          <cell r="Y1233" t="str">
            <v>110</v>
          </cell>
          <cell r="AA1233" t="str">
            <v>F1</v>
          </cell>
          <cell r="AD1233" t="str">
            <v>0</v>
          </cell>
          <cell r="AG1233" t="str">
            <v>HP</v>
          </cell>
          <cell r="AO1233" t="str">
            <v>B</v>
          </cell>
          <cell r="AP1233" t="str">
            <v>F</v>
          </cell>
          <cell r="AR1233" t="str">
            <v>89.9</v>
          </cell>
          <cell r="AS1233" t="str">
            <v>1.15</v>
          </cell>
          <cell r="AT1233" t="str">
            <v>95</v>
          </cell>
          <cell r="AV1233" t="b">
            <v>0</v>
          </cell>
          <cell r="EX1233" t="str">
            <v>B416674-010 L002CM</v>
          </cell>
          <cell r="GK1233" t="str">
            <v>3 MOTOR LEADS PLUS 2 HEATER LEADS</v>
          </cell>
          <cell r="HD1233" t="str">
            <v>Repair Shop</v>
          </cell>
          <cell r="HT1233" t="b">
            <v>0</v>
          </cell>
          <cell r="HU1233" t="str">
            <v>VALERO REFINING CO. BENICIA</v>
          </cell>
        </row>
        <row r="1234">
          <cell r="A1234">
            <v>1522</v>
          </cell>
          <cell r="B1234" t="str">
            <v>VEM0474</v>
          </cell>
          <cell r="D1234" t="str">
            <v>SYAR</v>
          </cell>
          <cell r="F1234" t="str">
            <v>GE</v>
          </cell>
          <cell r="G1234" t="str">
            <v>5K4364XC1Y2</v>
          </cell>
          <cell r="H1234" t="str">
            <v>PXJ329144</v>
          </cell>
          <cell r="I1234" t="str">
            <v>364CZ</v>
          </cell>
          <cell r="K1234" t="str">
            <v>50</v>
          </cell>
          <cell r="L1234" t="str">
            <v>3560</v>
          </cell>
          <cell r="O1234" t="str">
            <v>YES</v>
          </cell>
          <cell r="P1234" t="str">
            <v>TEFC</v>
          </cell>
          <cell r="R1234" t="str">
            <v>Continuous</v>
          </cell>
          <cell r="S1234" t="str">
            <v>Yes</v>
          </cell>
          <cell r="U1234" t="str">
            <v>75</v>
          </cell>
          <cell r="V1234" t="str">
            <v>3</v>
          </cell>
          <cell r="W1234" t="str">
            <v>60</v>
          </cell>
          <cell r="X1234" t="str">
            <v>208-230/460</v>
          </cell>
          <cell r="Y1234" t="str">
            <v>131/65.5</v>
          </cell>
          <cell r="AA1234" t="str">
            <v>F1</v>
          </cell>
          <cell r="AD1234" t="str">
            <v>-1</v>
          </cell>
          <cell r="AG1234" t="str">
            <v>HP</v>
          </cell>
          <cell r="AS1234" t="str">
            <v>1.0</v>
          </cell>
          <cell r="AV1234" t="b">
            <v>0</v>
          </cell>
          <cell r="HD1234" t="str">
            <v>Repair Shop</v>
          </cell>
          <cell r="HT1234" t="b">
            <v>0</v>
          </cell>
          <cell r="HU1234" t="str">
            <v>SYAR INDUSTRIES</v>
          </cell>
        </row>
        <row r="1235">
          <cell r="A1235">
            <v>1520</v>
          </cell>
          <cell r="B1235" t="str">
            <v>VEM0472</v>
          </cell>
          <cell r="D1235" t="str">
            <v>VALERO</v>
          </cell>
          <cell r="F1235" t="str">
            <v>Siemens</v>
          </cell>
          <cell r="H1235" t="str">
            <v>D08T0271NPX 009</v>
          </cell>
          <cell r="I1235" t="str">
            <v>B445T</v>
          </cell>
          <cell r="K1235" t="str">
            <v>150</v>
          </cell>
          <cell r="L1235" t="str">
            <v>1785</v>
          </cell>
          <cell r="M1235" t="str">
            <v>RGZEESDX</v>
          </cell>
          <cell r="O1235" t="str">
            <v>None</v>
          </cell>
          <cell r="P1235" t="str">
            <v>TEFC</v>
          </cell>
          <cell r="R1235" t="str">
            <v>Continuous</v>
          </cell>
          <cell r="S1235" t="str">
            <v>Yes</v>
          </cell>
          <cell r="T1235" t="str">
            <v>NONE NO KEY</v>
          </cell>
          <cell r="U1235" t="str">
            <v>40</v>
          </cell>
          <cell r="V1235" t="str">
            <v>3</v>
          </cell>
          <cell r="W1235" t="str">
            <v>60</v>
          </cell>
          <cell r="X1235" t="str">
            <v>460</v>
          </cell>
          <cell r="Y1235" t="str">
            <v>170.0</v>
          </cell>
          <cell r="AA1235" t="str">
            <v>F1</v>
          </cell>
          <cell r="AD1235" t="str">
            <v>-1</v>
          </cell>
          <cell r="AG1235" t="str">
            <v>HP</v>
          </cell>
          <cell r="AI1235" t="str">
            <v>6318</v>
          </cell>
          <cell r="AJ1235" t="str">
            <v>6316</v>
          </cell>
          <cell r="AO1235" t="str">
            <v>B</v>
          </cell>
          <cell r="AP1235" t="str">
            <v>G</v>
          </cell>
          <cell r="AQ1235" t="str">
            <v>F</v>
          </cell>
          <cell r="AS1235" t="str">
            <v>1.15</v>
          </cell>
          <cell r="AT1235" t="str">
            <v>95.8</v>
          </cell>
          <cell r="AV1235" t="b">
            <v>0</v>
          </cell>
          <cell r="GK1235" t="str">
            <v>6 LEADS ONLY</v>
          </cell>
          <cell r="HD1235" t="str">
            <v>Repair Shop</v>
          </cell>
          <cell r="HT1235" t="b">
            <v>0</v>
          </cell>
          <cell r="HU1235" t="str">
            <v>VALERO REFINING CO. BENICIA</v>
          </cell>
        </row>
        <row r="1236">
          <cell r="A1236">
            <v>1519</v>
          </cell>
          <cell r="B1236" t="str">
            <v>VEM0471</v>
          </cell>
          <cell r="D1236" t="str">
            <v>VALLEJOSAN</v>
          </cell>
          <cell r="AD1236" t="str">
            <v>0</v>
          </cell>
          <cell r="AG1236" t="str">
            <v>HP</v>
          </cell>
          <cell r="AV1236" t="b">
            <v>0</v>
          </cell>
          <cell r="HD1236" t="str">
            <v>Repair Shop</v>
          </cell>
          <cell r="HT1236" t="b">
            <v>0</v>
          </cell>
          <cell r="HU1236" t="str">
            <v>VALLEJO FLOOD &amp; WASTEWATER DISTRICT</v>
          </cell>
        </row>
        <row r="1237">
          <cell r="A1237">
            <v>1517</v>
          </cell>
          <cell r="B1237" t="str">
            <v>VEM0469</v>
          </cell>
          <cell r="D1237" t="str">
            <v>C&amp;H</v>
          </cell>
          <cell r="F1237" t="str">
            <v>Reliance</v>
          </cell>
          <cell r="I1237" t="str">
            <v>231T</v>
          </cell>
          <cell r="K1237" t="str">
            <v>7.5</v>
          </cell>
          <cell r="L1237" t="str">
            <v>3505</v>
          </cell>
          <cell r="M1237" t="str">
            <v>P</v>
          </cell>
          <cell r="O1237" t="str">
            <v>Full no Cord</v>
          </cell>
          <cell r="P1237" t="str">
            <v>TEFC</v>
          </cell>
          <cell r="R1237" t="str">
            <v>Continuous</v>
          </cell>
          <cell r="S1237" t="str">
            <v>No</v>
          </cell>
          <cell r="T1237" t="str">
            <v>NONE NO KEY</v>
          </cell>
          <cell r="U1237" t="str">
            <v>40</v>
          </cell>
          <cell r="V1237" t="str">
            <v>3</v>
          </cell>
          <cell r="W1237" t="str">
            <v>60</v>
          </cell>
          <cell r="X1237" t="str">
            <v>230/460</v>
          </cell>
          <cell r="Y1237" t="str">
            <v>20.4/10.2</v>
          </cell>
          <cell r="AA1237" t="str">
            <v>F1</v>
          </cell>
          <cell r="AD1237" t="str">
            <v>0</v>
          </cell>
          <cell r="AG1237" t="str">
            <v>HP</v>
          </cell>
          <cell r="AO1237" t="str">
            <v>B</v>
          </cell>
          <cell r="AP1237" t="str">
            <v>H</v>
          </cell>
          <cell r="AQ1237" t="str">
            <v>F</v>
          </cell>
          <cell r="AS1237" t="str">
            <v>1.15</v>
          </cell>
          <cell r="AT1237" t="str">
            <v>80</v>
          </cell>
          <cell r="AV1237" t="b">
            <v>0</v>
          </cell>
          <cell r="EX1237" t="str">
            <v>P21G390M   NS</v>
          </cell>
          <cell r="HD1237" t="str">
            <v>Repair Shop</v>
          </cell>
          <cell r="HT1237" t="b">
            <v>0</v>
          </cell>
          <cell r="HU1237" t="str">
            <v>C &amp; H SUGAR CO.</v>
          </cell>
        </row>
        <row r="1238">
          <cell r="A1238">
            <v>1516</v>
          </cell>
          <cell r="B1238" t="str">
            <v>VEM0468</v>
          </cell>
          <cell r="D1238" t="str">
            <v>CASHSALES</v>
          </cell>
          <cell r="AD1238" t="str">
            <v>0</v>
          </cell>
          <cell r="AG1238" t="str">
            <v>HP</v>
          </cell>
          <cell r="AV1238" t="b">
            <v>0</v>
          </cell>
          <cell r="HD1238" t="str">
            <v>Repair Shop</v>
          </cell>
          <cell r="HT1238" t="b">
            <v>0</v>
          </cell>
          <cell r="HU1238" t="str">
            <v>CASH SALES</v>
          </cell>
        </row>
        <row r="1239">
          <cell r="A1239">
            <v>1515</v>
          </cell>
          <cell r="B1239" t="str">
            <v>VEM0467</v>
          </cell>
          <cell r="D1239" t="str">
            <v>CASHSALES</v>
          </cell>
          <cell r="AG1239" t="str">
            <v>HP</v>
          </cell>
          <cell r="AV1239" t="b">
            <v>0</v>
          </cell>
          <cell r="HD1239" t="str">
            <v>Repair Shop</v>
          </cell>
          <cell r="HT1239" t="b">
            <v>0</v>
          </cell>
          <cell r="HU1239" t="str">
            <v>CASH SALES</v>
          </cell>
        </row>
        <row r="1240">
          <cell r="A1240">
            <v>1514</v>
          </cell>
          <cell r="B1240" t="str">
            <v>VEM0466</v>
          </cell>
          <cell r="D1240" t="str">
            <v>PHOENIX DAY</v>
          </cell>
          <cell r="F1240" t="str">
            <v>GE</v>
          </cell>
          <cell r="G1240" t="str">
            <v>5K254E7</v>
          </cell>
          <cell r="H1240" t="str">
            <v>YG22192</v>
          </cell>
          <cell r="I1240" t="str">
            <v>254</v>
          </cell>
          <cell r="K1240" t="str">
            <v>5</v>
          </cell>
          <cell r="L1240" t="str">
            <v>1735</v>
          </cell>
          <cell r="M1240" t="str">
            <v>K</v>
          </cell>
          <cell r="O1240" t="str">
            <v>Half no Cord</v>
          </cell>
          <cell r="P1240" t="str">
            <v>ODP</v>
          </cell>
          <cell r="R1240" t="str">
            <v>Continuous</v>
          </cell>
          <cell r="T1240" t="str">
            <v>NONE NO KEY</v>
          </cell>
          <cell r="U1240" t="str">
            <v>40</v>
          </cell>
          <cell r="V1240" t="str">
            <v>3</v>
          </cell>
          <cell r="W1240" t="str">
            <v>60</v>
          </cell>
          <cell r="X1240" t="str">
            <v>220/440</v>
          </cell>
          <cell r="Y1240" t="str">
            <v>13.7/6.85</v>
          </cell>
          <cell r="AA1240" t="str">
            <v>F2</v>
          </cell>
          <cell r="AD1240" t="str">
            <v>0</v>
          </cell>
          <cell r="AG1240" t="str">
            <v>HP</v>
          </cell>
          <cell r="AO1240" t="str">
            <v>B</v>
          </cell>
          <cell r="AP1240" t="str">
            <v>H</v>
          </cell>
          <cell r="AS1240" t="str">
            <v>1.15</v>
          </cell>
          <cell r="AV1240" t="b">
            <v>0</v>
          </cell>
          <cell r="HD1240" t="str">
            <v>Repair Shop</v>
          </cell>
          <cell r="HT1240" t="b">
            <v>0</v>
          </cell>
          <cell r="HU1240" t="str">
            <v>PHOENIX DAY</v>
          </cell>
        </row>
        <row r="1241">
          <cell r="A1241">
            <v>1513</v>
          </cell>
          <cell r="B1241" t="str">
            <v>VEM0465</v>
          </cell>
          <cell r="D1241" t="str">
            <v>CONHAGEN</v>
          </cell>
          <cell r="F1241" t="str">
            <v>BALDOR-RELIANCE</v>
          </cell>
          <cell r="H1241" t="str">
            <v>A1503312115</v>
          </cell>
          <cell r="I1241" t="str">
            <v>365HPZ</v>
          </cell>
          <cell r="K1241" t="str">
            <v>75</v>
          </cell>
          <cell r="L1241" t="str">
            <v>3555</v>
          </cell>
          <cell r="M1241" t="str">
            <v>P</v>
          </cell>
          <cell r="O1241" t="str">
            <v>Full no Cord</v>
          </cell>
          <cell r="P1241" t="str">
            <v>TEFC</v>
          </cell>
          <cell r="R1241" t="str">
            <v>Continuous</v>
          </cell>
          <cell r="U1241" t="str">
            <v>40</v>
          </cell>
          <cell r="V1241" t="str">
            <v>3</v>
          </cell>
          <cell r="W1241" t="str">
            <v>60</v>
          </cell>
          <cell r="X1241" t="str">
            <v>460</v>
          </cell>
          <cell r="Y1241" t="str">
            <v>80.7</v>
          </cell>
          <cell r="AA1241" t="str">
            <v>Vertical</v>
          </cell>
          <cell r="AD1241" t="str">
            <v>-1</v>
          </cell>
          <cell r="AG1241" t="str">
            <v>HP</v>
          </cell>
          <cell r="AO1241" t="str">
            <v>B</v>
          </cell>
          <cell r="AP1241" t="str">
            <v>G</v>
          </cell>
          <cell r="AR1241" t="str">
            <v>92</v>
          </cell>
          <cell r="AS1241" t="str">
            <v>1.15</v>
          </cell>
          <cell r="AT1241" t="str">
            <v>94.5</v>
          </cell>
          <cell r="AU1241" t="str">
            <v>A36-2576-1545</v>
          </cell>
          <cell r="AV1241" t="b">
            <v>0</v>
          </cell>
          <cell r="GK1241" t="str">
            <v>2 JUNCTION BOXES COMPLETE</v>
          </cell>
          <cell r="HD1241" t="str">
            <v>Repair Shop</v>
          </cell>
          <cell r="HT1241" t="b">
            <v>0</v>
          </cell>
          <cell r="HU1241" t="str">
            <v>ALFRED CONHAGEN CO. OF CA</v>
          </cell>
        </row>
        <row r="1242">
          <cell r="A1242">
            <v>1512</v>
          </cell>
          <cell r="B1242" t="str">
            <v>VEM0464</v>
          </cell>
          <cell r="D1242" t="str">
            <v>VALERO</v>
          </cell>
          <cell r="F1242" t="str">
            <v>US Motors</v>
          </cell>
          <cell r="I1242" t="str">
            <v>364TS</v>
          </cell>
          <cell r="K1242" t="str">
            <v>60</v>
          </cell>
          <cell r="L1242" t="str">
            <v>1780</v>
          </cell>
          <cell r="M1242" t="str">
            <v>CT</v>
          </cell>
          <cell r="P1242" t="str">
            <v>TEFC</v>
          </cell>
          <cell r="R1242" t="str">
            <v>Continuous</v>
          </cell>
          <cell r="S1242" t="str">
            <v>Yes</v>
          </cell>
          <cell r="T1242" t="str">
            <v>YES</v>
          </cell>
          <cell r="U1242" t="str">
            <v>40</v>
          </cell>
          <cell r="V1242" t="str">
            <v>3</v>
          </cell>
          <cell r="W1242" t="str">
            <v>60</v>
          </cell>
          <cell r="X1242" t="str">
            <v>230/460</v>
          </cell>
          <cell r="Y1242" t="str">
            <v>144/72</v>
          </cell>
          <cell r="AA1242" t="str">
            <v>F1</v>
          </cell>
          <cell r="AD1242" t="str">
            <v>0</v>
          </cell>
          <cell r="AG1242" t="str">
            <v>HP</v>
          </cell>
          <cell r="AI1242" t="str">
            <v>6212</v>
          </cell>
          <cell r="AJ1242" t="str">
            <v>6212</v>
          </cell>
          <cell r="AO1242" t="str">
            <v>B</v>
          </cell>
          <cell r="AP1242" t="str">
            <v>F</v>
          </cell>
          <cell r="AQ1242" t="str">
            <v>F</v>
          </cell>
          <cell r="AS1242" t="str">
            <v>1.0</v>
          </cell>
          <cell r="AT1242" t="str">
            <v>93.0</v>
          </cell>
          <cell r="AV1242" t="b">
            <v>0</v>
          </cell>
          <cell r="EX1242" t="str">
            <v>F215-50-Y08Y1600R095M</v>
          </cell>
          <cell r="HD1242" t="str">
            <v>Repair Shop</v>
          </cell>
          <cell r="HT1242" t="b">
            <v>0</v>
          </cell>
          <cell r="HU1242" t="str">
            <v>VALERO REFINING CO. BENICIA</v>
          </cell>
        </row>
        <row r="1243">
          <cell r="A1243">
            <v>1511</v>
          </cell>
          <cell r="B1243" t="str">
            <v>FE1013</v>
          </cell>
          <cell r="D1243" t="str">
            <v>NAPARECYCLING</v>
          </cell>
          <cell r="AD1243" t="str">
            <v>0</v>
          </cell>
          <cell r="AG1243" t="str">
            <v>HP</v>
          </cell>
          <cell r="AV1243" t="b">
            <v>0</v>
          </cell>
          <cell r="HD1243" t="str">
            <v>Field Service</v>
          </cell>
          <cell r="HT1243" t="b">
            <v>0</v>
          </cell>
          <cell r="HU1243" t="str">
            <v>NAPA RECYCLING &amp; WASTE</v>
          </cell>
        </row>
        <row r="1244">
          <cell r="A1244">
            <v>1510</v>
          </cell>
          <cell r="B1244" t="str">
            <v>FE1012</v>
          </cell>
          <cell r="D1244" t="str">
            <v>CHRISFAISS</v>
          </cell>
          <cell r="AD1244" t="str">
            <v>0</v>
          </cell>
          <cell r="AG1244" t="str">
            <v>HP</v>
          </cell>
          <cell r="AV1244" t="b">
            <v>0</v>
          </cell>
          <cell r="HD1244" t="str">
            <v>Field Service</v>
          </cell>
          <cell r="HT1244" t="b">
            <v>0</v>
          </cell>
          <cell r="HU1244" t="str">
            <v>CHRIS FAISS</v>
          </cell>
        </row>
        <row r="1245">
          <cell r="A1245">
            <v>1509</v>
          </cell>
          <cell r="B1245" t="str">
            <v>VEM0463</v>
          </cell>
          <cell r="D1245" t="str">
            <v>TURBO</v>
          </cell>
          <cell r="AG1245" t="str">
            <v>HP</v>
          </cell>
          <cell r="AV1245" t="b">
            <v>0</v>
          </cell>
          <cell r="HD1245" t="str">
            <v>Repair Shop</v>
          </cell>
          <cell r="HT1245" t="b">
            <v>0</v>
          </cell>
          <cell r="HU1245" t="str">
            <v>TURBO MACHINE</v>
          </cell>
        </row>
        <row r="1246">
          <cell r="A1246">
            <v>1508</v>
          </cell>
          <cell r="B1246" t="str">
            <v>VEM0462</v>
          </cell>
          <cell r="D1246" t="str">
            <v>MAREISLDRYDK</v>
          </cell>
          <cell r="AD1246" t="str">
            <v>0</v>
          </cell>
          <cell r="AG1246" t="str">
            <v>HP</v>
          </cell>
          <cell r="AV1246" t="b">
            <v>0</v>
          </cell>
          <cell r="HD1246" t="str">
            <v>Repair Shop</v>
          </cell>
          <cell r="HT1246" t="b">
            <v>0</v>
          </cell>
          <cell r="HU1246" t="str">
            <v>MARE ISLAND DRY DOCK</v>
          </cell>
        </row>
        <row r="1247">
          <cell r="A1247">
            <v>1507</v>
          </cell>
          <cell r="B1247" t="str">
            <v>VEM0461</v>
          </cell>
          <cell r="D1247" t="str">
            <v>UNICO</v>
          </cell>
          <cell r="F1247" t="str">
            <v>US Motors</v>
          </cell>
          <cell r="H1247" t="str">
            <v>4097920</v>
          </cell>
          <cell r="I1247" t="str">
            <v>A324UP</v>
          </cell>
          <cell r="K1247" t="str">
            <v>15</v>
          </cell>
          <cell r="L1247" t="str">
            <v>1200</v>
          </cell>
          <cell r="M1247" t="str">
            <v>RU</v>
          </cell>
          <cell r="O1247" t="str">
            <v>Full no Cord</v>
          </cell>
          <cell r="P1247" t="str">
            <v>ODP</v>
          </cell>
          <cell r="R1247" t="str">
            <v>Continuous</v>
          </cell>
          <cell r="T1247" t="str">
            <v>NO</v>
          </cell>
          <cell r="U1247" t="str">
            <v>40</v>
          </cell>
          <cell r="V1247" t="str">
            <v>3</v>
          </cell>
          <cell r="W1247" t="str">
            <v>60</v>
          </cell>
          <cell r="X1247" t="str">
            <v>230/460</v>
          </cell>
          <cell r="Y1247" t="str">
            <v>40.1/20.1</v>
          </cell>
          <cell r="AA1247" t="str">
            <v>Vertical</v>
          </cell>
          <cell r="AD1247" t="str">
            <v>0</v>
          </cell>
          <cell r="AG1247" t="str">
            <v>HP</v>
          </cell>
          <cell r="AI1247" t="str">
            <v>6210</v>
          </cell>
          <cell r="AJ1247" t="str">
            <v>7218</v>
          </cell>
          <cell r="AO1247" t="str">
            <v>B</v>
          </cell>
          <cell r="AP1247" t="str">
            <v>F</v>
          </cell>
          <cell r="AS1247" t="str">
            <v>1.15</v>
          </cell>
          <cell r="AV1247" t="b">
            <v>0</v>
          </cell>
          <cell r="GK1247" t="str">
            <v>WITH RODENT SCREENS</v>
          </cell>
          <cell r="HD1247" t="str">
            <v>Repair Shop</v>
          </cell>
          <cell r="HT1247" t="b">
            <v>0</v>
          </cell>
          <cell r="HU1247" t="str">
            <v>UNICO MECHANICAL CORP.</v>
          </cell>
        </row>
        <row r="1248">
          <cell r="A1248">
            <v>1506</v>
          </cell>
          <cell r="B1248" t="str">
            <v>VEM0460</v>
          </cell>
          <cell r="D1248" t="str">
            <v>EECO</v>
          </cell>
          <cell r="AD1248" t="str">
            <v>-1</v>
          </cell>
          <cell r="AG1248" t="str">
            <v>HP</v>
          </cell>
          <cell r="AV1248" t="b">
            <v>0</v>
          </cell>
          <cell r="HD1248" t="str">
            <v>Repair Shop</v>
          </cell>
          <cell r="HT1248" t="b">
            <v>0</v>
          </cell>
          <cell r="HU1248" t="str">
            <v>ELECTRICAL EQUIPMENT CO.</v>
          </cell>
        </row>
        <row r="1249">
          <cell r="A1249">
            <v>1505</v>
          </cell>
          <cell r="B1249" t="str">
            <v>VEM0459</v>
          </cell>
          <cell r="D1249" t="str">
            <v>VALLEJOSAN</v>
          </cell>
          <cell r="AG1249" t="str">
            <v>HP</v>
          </cell>
          <cell r="AV1249" t="b">
            <v>0</v>
          </cell>
          <cell r="HD1249" t="str">
            <v>Repair Shop</v>
          </cell>
          <cell r="HT1249" t="b">
            <v>0</v>
          </cell>
          <cell r="HU1249" t="str">
            <v>VALLEJO FLOOD &amp; WASTEWATER DISTRICT</v>
          </cell>
        </row>
        <row r="1250">
          <cell r="A1250">
            <v>1503</v>
          </cell>
          <cell r="B1250" t="str">
            <v>VEM0457</v>
          </cell>
          <cell r="D1250" t="str">
            <v>BENICIAWASTE</v>
          </cell>
          <cell r="F1250" t="str">
            <v>Reliance</v>
          </cell>
          <cell r="I1250" t="str">
            <v>EC56C</v>
          </cell>
          <cell r="K1250" t="str">
            <v>.5</v>
          </cell>
          <cell r="L1250" t="str">
            <v>1725</v>
          </cell>
          <cell r="M1250" t="str">
            <v>TPR</v>
          </cell>
          <cell r="O1250" t="str">
            <v>Full no Cord</v>
          </cell>
          <cell r="P1250" t="str">
            <v>TEFC</v>
          </cell>
          <cell r="R1250" t="str">
            <v>Continuous</v>
          </cell>
          <cell r="T1250" t="str">
            <v>NONE NO KEY</v>
          </cell>
          <cell r="U1250" t="str">
            <v>40</v>
          </cell>
          <cell r="X1250" t="str">
            <v>90 VDC</v>
          </cell>
          <cell r="Y1250" t="str">
            <v>5.2</v>
          </cell>
          <cell r="AA1250" t="str">
            <v>Vertical</v>
          </cell>
          <cell r="AD1250" t="str">
            <v>0</v>
          </cell>
          <cell r="AG1250" t="str">
            <v>HP</v>
          </cell>
          <cell r="AQ1250" t="str">
            <v>F</v>
          </cell>
          <cell r="AV1250" t="b">
            <v>0</v>
          </cell>
          <cell r="CV1250" t="str">
            <v>RE-045</v>
          </cell>
          <cell r="CW1250" t="str">
            <v>60-5000</v>
          </cell>
          <cell r="CX1250" t="str">
            <v>45</v>
          </cell>
          <cell r="CY1250" t="str">
            <v>YES</v>
          </cell>
          <cell r="ER1250" t="str">
            <v>PM</v>
          </cell>
          <cell r="GK1250" t="str">
            <v>COMPLETE TACH WITH COVER ON BACK</v>
          </cell>
          <cell r="GL1250" t="str">
            <v>BALDOR BRUSH PART NO. 411683-18A</v>
          </cell>
          <cell r="HD1250" t="str">
            <v>Repair Shop</v>
          </cell>
          <cell r="HT1250" t="b">
            <v>0</v>
          </cell>
          <cell r="HU1250" t="str">
            <v>CITY OF BENICIA WASTE WATER</v>
          </cell>
        </row>
        <row r="1251">
          <cell r="A1251">
            <v>1502</v>
          </cell>
          <cell r="B1251" t="str">
            <v>VEM0456</v>
          </cell>
          <cell r="D1251" t="str">
            <v>P66CARBON</v>
          </cell>
          <cell r="F1251" t="str">
            <v>GE</v>
          </cell>
          <cell r="G1251" t="str">
            <v>5K215FP5705A</v>
          </cell>
          <cell r="H1251" t="str">
            <v>FV</v>
          </cell>
          <cell r="I1251" t="str">
            <v>L215LP10</v>
          </cell>
          <cell r="K1251" t="str">
            <v>10</v>
          </cell>
          <cell r="L1251" t="str">
            <v>3525</v>
          </cell>
          <cell r="M1251" t="str">
            <v>K</v>
          </cell>
          <cell r="O1251" t="str">
            <v>Full no Cord</v>
          </cell>
          <cell r="P1251" t="str">
            <v>TEFC</v>
          </cell>
          <cell r="R1251" t="str">
            <v>Continuous</v>
          </cell>
          <cell r="T1251" t="str">
            <v>YES</v>
          </cell>
          <cell r="U1251" t="str">
            <v>40</v>
          </cell>
          <cell r="V1251" t="str">
            <v>3</v>
          </cell>
          <cell r="W1251" t="str">
            <v>60</v>
          </cell>
          <cell r="X1251" t="str">
            <v>230/460</v>
          </cell>
          <cell r="Y1251" t="str">
            <v>24.4/12.2</v>
          </cell>
          <cell r="AA1251" t="str">
            <v>Vertical</v>
          </cell>
          <cell r="AD1251" t="str">
            <v>0</v>
          </cell>
          <cell r="AG1251" t="str">
            <v>HP</v>
          </cell>
          <cell r="AO1251" t="str">
            <v>B</v>
          </cell>
          <cell r="AP1251" t="str">
            <v>H</v>
          </cell>
          <cell r="AS1251" t="str">
            <v>1.0</v>
          </cell>
          <cell r="AV1251" t="b">
            <v>0</v>
          </cell>
          <cell r="HD1251" t="str">
            <v>Repair Shop</v>
          </cell>
          <cell r="HT1251" t="b">
            <v>0</v>
          </cell>
          <cell r="HU1251" t="str">
            <v>PHILLIPS 66 CARBON PLANT</v>
          </cell>
        </row>
        <row r="1252">
          <cell r="A1252">
            <v>1501</v>
          </cell>
          <cell r="B1252" t="str">
            <v>VEM0455</v>
          </cell>
          <cell r="D1252" t="str">
            <v>P66CARBON</v>
          </cell>
          <cell r="F1252" t="str">
            <v>GE</v>
          </cell>
          <cell r="G1252" t="str">
            <v>5K215FP5705A</v>
          </cell>
          <cell r="H1252" t="str">
            <v>FV</v>
          </cell>
          <cell r="I1252" t="str">
            <v>L215LP10</v>
          </cell>
          <cell r="K1252" t="str">
            <v>10</v>
          </cell>
          <cell r="L1252" t="str">
            <v>3525</v>
          </cell>
          <cell r="M1252" t="str">
            <v>K</v>
          </cell>
          <cell r="O1252" t="str">
            <v>Full no Cord</v>
          </cell>
          <cell r="P1252" t="str">
            <v>TEFC</v>
          </cell>
          <cell r="R1252" t="str">
            <v>Continuous</v>
          </cell>
          <cell r="T1252" t="str">
            <v>YES</v>
          </cell>
          <cell r="U1252" t="str">
            <v>40</v>
          </cell>
          <cell r="V1252" t="str">
            <v>3</v>
          </cell>
          <cell r="W1252" t="str">
            <v>60</v>
          </cell>
          <cell r="X1252" t="str">
            <v>230/460</v>
          </cell>
          <cell r="Y1252" t="str">
            <v>24.4/12.2</v>
          </cell>
          <cell r="AA1252" t="str">
            <v>Vertical</v>
          </cell>
          <cell r="AD1252" t="str">
            <v>0</v>
          </cell>
          <cell r="AG1252" t="str">
            <v>HP</v>
          </cell>
          <cell r="AO1252" t="str">
            <v>B</v>
          </cell>
          <cell r="AP1252" t="str">
            <v>H</v>
          </cell>
          <cell r="AS1252" t="str">
            <v>1.0</v>
          </cell>
          <cell r="AV1252" t="b">
            <v>0</v>
          </cell>
          <cell r="HD1252" t="str">
            <v>Repair Shop</v>
          </cell>
          <cell r="HT1252" t="b">
            <v>0</v>
          </cell>
          <cell r="HU1252" t="str">
            <v>PHILLIPS 66 CARBON PLANT</v>
          </cell>
        </row>
        <row r="1253">
          <cell r="A1253">
            <v>1500</v>
          </cell>
          <cell r="B1253" t="str">
            <v>VEM0454</v>
          </cell>
          <cell r="D1253" t="str">
            <v>EAGLESREST</v>
          </cell>
          <cell r="AD1253" t="str">
            <v>0</v>
          </cell>
          <cell r="AG1253" t="str">
            <v>HP</v>
          </cell>
          <cell r="AV1253" t="b">
            <v>0</v>
          </cell>
          <cell r="FB1253" t="str">
            <v>11 HP</v>
          </cell>
          <cell r="FC1253" t="str">
            <v>3600</v>
          </cell>
          <cell r="FD1253" t="str">
            <v>120/240</v>
          </cell>
          <cell r="FE1253" t="str">
            <v>1</v>
          </cell>
          <cell r="FF1253" t="str">
            <v>60</v>
          </cell>
          <cell r="FL1253" t="str">
            <v>DYNA PRO X</v>
          </cell>
          <cell r="FM1253" t="str">
            <v>83560 089</v>
          </cell>
          <cell r="GC1253" t="str">
            <v>YES</v>
          </cell>
          <cell r="GV1253" t="str">
            <v>46/23</v>
          </cell>
          <cell r="GW1253" t="str">
            <v>AC</v>
          </cell>
          <cell r="HD1253" t="str">
            <v>Repair Shop</v>
          </cell>
          <cell r="HT1253" t="b">
            <v>0</v>
          </cell>
          <cell r="HU1253" t="str">
            <v>EAGLES REST</v>
          </cell>
        </row>
        <row r="1254">
          <cell r="A1254">
            <v>1498</v>
          </cell>
          <cell r="B1254" t="str">
            <v>VEM0452</v>
          </cell>
          <cell r="D1254" t="str">
            <v>P66</v>
          </cell>
          <cell r="F1254" t="str">
            <v>GE</v>
          </cell>
          <cell r="G1254" t="str">
            <v>5CD163ZD816A800</v>
          </cell>
          <cell r="H1254" t="str">
            <v>HU8-933-HU</v>
          </cell>
          <cell r="K1254" t="str">
            <v>7.5</v>
          </cell>
          <cell r="L1254" t="str">
            <v>3500</v>
          </cell>
          <cell r="M1254" t="str">
            <v>CD258APY</v>
          </cell>
          <cell r="O1254" t="str">
            <v>Half no Cord</v>
          </cell>
          <cell r="P1254" t="str">
            <v>TEFC</v>
          </cell>
          <cell r="R1254" t="str">
            <v>Continuous</v>
          </cell>
          <cell r="T1254" t="str">
            <v>YES</v>
          </cell>
          <cell r="U1254" t="str">
            <v>40</v>
          </cell>
          <cell r="X1254" t="str">
            <v>125</v>
          </cell>
          <cell r="AA1254" t="str">
            <v>Vertical</v>
          </cell>
          <cell r="AD1254" t="str">
            <v>0</v>
          </cell>
          <cell r="AG1254" t="str">
            <v>HP</v>
          </cell>
          <cell r="AQ1254" t="str">
            <v>F</v>
          </cell>
          <cell r="AV1254" t="b">
            <v>0</v>
          </cell>
          <cell r="ER1254" t="str">
            <v>125</v>
          </cell>
          <cell r="ES1254" t="str">
            <v>1.81</v>
          </cell>
          <cell r="HD1254" t="str">
            <v>Repair Shop</v>
          </cell>
          <cell r="HT1254" t="b">
            <v>0</v>
          </cell>
          <cell r="HU1254" t="str">
            <v>PHILLIPS 66</v>
          </cell>
        </row>
        <row r="1255">
          <cell r="A1255">
            <v>1497</v>
          </cell>
          <cell r="B1255" t="str">
            <v>VEM0451</v>
          </cell>
          <cell r="D1255" t="str">
            <v>P66</v>
          </cell>
          <cell r="F1255" t="str">
            <v>Westinghouse</v>
          </cell>
          <cell r="G1255" t="str">
            <v>TBFC</v>
          </cell>
          <cell r="H1255" t="str">
            <v>8505</v>
          </cell>
          <cell r="I1255" t="str">
            <v>215T</v>
          </cell>
          <cell r="K1255" t="str">
            <v>10</v>
          </cell>
          <cell r="L1255" t="str">
            <v>1745</v>
          </cell>
          <cell r="O1255" t="str">
            <v>Full no Cord</v>
          </cell>
          <cell r="P1255" t="str">
            <v>TEFC</v>
          </cell>
          <cell r="R1255" t="str">
            <v>Continuous</v>
          </cell>
          <cell r="T1255" t="str">
            <v>NONE NO KEY</v>
          </cell>
          <cell r="U1255" t="str">
            <v>40</v>
          </cell>
          <cell r="V1255" t="str">
            <v>3</v>
          </cell>
          <cell r="W1255" t="str">
            <v>60</v>
          </cell>
          <cell r="X1255" t="str">
            <v>460</v>
          </cell>
          <cell r="Y1255" t="str">
            <v>13.2</v>
          </cell>
          <cell r="AA1255" t="str">
            <v>F1</v>
          </cell>
          <cell r="AD1255" t="str">
            <v>0</v>
          </cell>
          <cell r="AG1255" t="str">
            <v>HP</v>
          </cell>
          <cell r="AP1255" t="str">
            <v>H</v>
          </cell>
          <cell r="AQ1255" t="str">
            <v>F</v>
          </cell>
          <cell r="AS1255" t="str">
            <v>1.15</v>
          </cell>
          <cell r="AV1255" t="b">
            <v>0</v>
          </cell>
          <cell r="EY1255" t="str">
            <v>680B655G3</v>
          </cell>
          <cell r="HD1255" t="str">
            <v>Repair Shop</v>
          </cell>
          <cell r="HT1255" t="b">
            <v>0</v>
          </cell>
          <cell r="HU1255" t="str">
            <v>PHILLIPS 66</v>
          </cell>
        </row>
        <row r="1256">
          <cell r="A1256">
            <v>1496</v>
          </cell>
          <cell r="B1256" t="str">
            <v>VEM0450</v>
          </cell>
          <cell r="D1256" t="str">
            <v>P66</v>
          </cell>
          <cell r="F1256" t="str">
            <v>Emerson</v>
          </cell>
          <cell r="G1256" t="str">
            <v>ES10</v>
          </cell>
          <cell r="H1256" t="str">
            <v>P113ACC18240071</v>
          </cell>
          <cell r="I1256" t="str">
            <v>182T</v>
          </cell>
          <cell r="K1256" t="str">
            <v>3</v>
          </cell>
          <cell r="L1256" t="str">
            <v>1740</v>
          </cell>
          <cell r="M1256" t="str">
            <v>ELT</v>
          </cell>
          <cell r="N1256" t="str">
            <v>105.6</v>
          </cell>
          <cell r="O1256" t="str">
            <v>Full no Cord</v>
          </cell>
          <cell r="P1256" t="str">
            <v>TEFC</v>
          </cell>
          <cell r="R1256" t="str">
            <v>Continuous</v>
          </cell>
          <cell r="T1256" t="str">
            <v>WITH KEY</v>
          </cell>
          <cell r="U1256" t="str">
            <v>40</v>
          </cell>
          <cell r="V1256" t="str">
            <v>3</v>
          </cell>
          <cell r="W1256" t="str">
            <v>60</v>
          </cell>
          <cell r="X1256" t="str">
            <v>230/460</v>
          </cell>
          <cell r="Y1256" t="str">
            <v>8.8/4.4</v>
          </cell>
          <cell r="AA1256" t="str">
            <v>F1</v>
          </cell>
          <cell r="AG1256" t="str">
            <v>HP</v>
          </cell>
          <cell r="AI1256" t="str">
            <v>6206</v>
          </cell>
          <cell r="AJ1256" t="str">
            <v>6206</v>
          </cell>
          <cell r="AO1256" t="str">
            <v>B</v>
          </cell>
          <cell r="AP1256" t="str">
            <v>K</v>
          </cell>
          <cell r="AQ1256" t="str">
            <v>F</v>
          </cell>
          <cell r="AS1256" t="str">
            <v>1.15</v>
          </cell>
          <cell r="AT1256" t="str">
            <v>87.3</v>
          </cell>
          <cell r="AV1256" t="b">
            <v>0</v>
          </cell>
          <cell r="EW1256" t="str">
            <v>ELT3E2D</v>
          </cell>
          <cell r="HD1256" t="str">
            <v>Repair Shop</v>
          </cell>
          <cell r="HT1256" t="b">
            <v>0</v>
          </cell>
          <cell r="HU1256" t="str">
            <v>PHILLIPS 66</v>
          </cell>
        </row>
        <row r="1257">
          <cell r="A1257">
            <v>1495</v>
          </cell>
          <cell r="B1257" t="str">
            <v>VEM0449</v>
          </cell>
          <cell r="D1257" t="str">
            <v>P66</v>
          </cell>
          <cell r="F1257" t="str">
            <v>GE</v>
          </cell>
          <cell r="G1257" t="str">
            <v>5KS284SE208D8</v>
          </cell>
          <cell r="H1257" t="str">
            <v>XHK3A040E66</v>
          </cell>
          <cell r="I1257" t="str">
            <v>284T</v>
          </cell>
          <cell r="K1257" t="str">
            <v>25</v>
          </cell>
          <cell r="L1257" t="str">
            <v>1770</v>
          </cell>
          <cell r="M1257" t="str">
            <v>KS</v>
          </cell>
          <cell r="N1257" t="str">
            <v>585</v>
          </cell>
          <cell r="O1257" t="str">
            <v>Full no Cord</v>
          </cell>
          <cell r="P1257" t="str">
            <v>TEFC</v>
          </cell>
          <cell r="R1257" t="str">
            <v>Continuous</v>
          </cell>
          <cell r="T1257" t="str">
            <v>KEY ONLY</v>
          </cell>
          <cell r="V1257" t="str">
            <v>3</v>
          </cell>
          <cell r="W1257" t="str">
            <v>60</v>
          </cell>
          <cell r="X1257" t="str">
            <v>460</v>
          </cell>
          <cell r="Y1257" t="str">
            <v>30</v>
          </cell>
          <cell r="AA1257" t="str">
            <v>F1</v>
          </cell>
          <cell r="AD1257" t="str">
            <v>0</v>
          </cell>
          <cell r="AG1257" t="str">
            <v>HP</v>
          </cell>
          <cell r="AI1257" t="str">
            <v>6310</v>
          </cell>
          <cell r="AJ1257" t="str">
            <v>6310</v>
          </cell>
          <cell r="AO1257" t="str">
            <v>B</v>
          </cell>
          <cell r="AP1257" t="str">
            <v>G</v>
          </cell>
          <cell r="AR1257" t="str">
            <v>83.5</v>
          </cell>
          <cell r="AS1257" t="str">
            <v>1.15</v>
          </cell>
          <cell r="AT1257" t="str">
            <v>93.6</v>
          </cell>
          <cell r="AV1257" t="b">
            <v>0</v>
          </cell>
          <cell r="EW1257" t="str">
            <v>9935E</v>
          </cell>
          <cell r="HD1257" t="str">
            <v>Repair Shop</v>
          </cell>
          <cell r="HT1257" t="b">
            <v>0</v>
          </cell>
          <cell r="HU1257" t="str">
            <v>PHILLIPS 66</v>
          </cell>
        </row>
        <row r="1258">
          <cell r="A1258">
            <v>1494</v>
          </cell>
          <cell r="B1258" t="str">
            <v>VEM0448</v>
          </cell>
          <cell r="D1258" t="str">
            <v>CLEANHARBORS</v>
          </cell>
          <cell r="F1258" t="str">
            <v>Baldor</v>
          </cell>
          <cell r="H1258" t="str">
            <v>A1607112006</v>
          </cell>
          <cell r="I1258" t="str">
            <v>365TS</v>
          </cell>
          <cell r="K1258" t="str">
            <v>75</v>
          </cell>
          <cell r="L1258" t="str">
            <v>3555</v>
          </cell>
          <cell r="M1258" t="str">
            <v>P</v>
          </cell>
          <cell r="N1258" t="str">
            <v>976</v>
          </cell>
          <cell r="O1258" t="str">
            <v>*</v>
          </cell>
          <cell r="P1258" t="str">
            <v>TEFC</v>
          </cell>
          <cell r="Q1258" t="str">
            <v>Yes</v>
          </cell>
          <cell r="R1258" t="str">
            <v>Continuous</v>
          </cell>
          <cell r="U1258" t="str">
            <v>40</v>
          </cell>
          <cell r="V1258" t="str">
            <v>3</v>
          </cell>
          <cell r="W1258" t="str">
            <v>60</v>
          </cell>
          <cell r="X1258" t="str">
            <v>460</v>
          </cell>
          <cell r="Y1258" t="str">
            <v>80.7</v>
          </cell>
          <cell r="AA1258" t="str">
            <v>F1</v>
          </cell>
          <cell r="AD1258" t="str">
            <v>0</v>
          </cell>
          <cell r="AG1258" t="str">
            <v>HP</v>
          </cell>
          <cell r="AI1258" t="str">
            <v>6313</v>
          </cell>
          <cell r="AJ1258" t="str">
            <v>6313</v>
          </cell>
          <cell r="AO1258" t="str">
            <v>B</v>
          </cell>
          <cell r="AP1258" t="str">
            <v>F</v>
          </cell>
          <cell r="AS1258" t="str">
            <v>1.15</v>
          </cell>
          <cell r="AT1258" t="str">
            <v>94.5</v>
          </cell>
          <cell r="AU1258" t="str">
            <v>P36G5233</v>
          </cell>
          <cell r="AV1258" t="b">
            <v>0</v>
          </cell>
          <cell r="EW1258" t="str">
            <v>ECP84313T-4</v>
          </cell>
          <cell r="GK1258" t="str">
            <v>*1/2 BOX NEEDS TO BE REPLACE</v>
          </cell>
          <cell r="GL1258" t="str">
            <v>3  LEADS ONLY</v>
          </cell>
          <cell r="HD1258" t="str">
            <v>Repair Shop</v>
          </cell>
          <cell r="HT1258" t="b">
            <v>0</v>
          </cell>
          <cell r="HU1258" t="str">
            <v>CLEAN HARBORS</v>
          </cell>
        </row>
        <row r="1259">
          <cell r="A1259">
            <v>1493</v>
          </cell>
          <cell r="B1259" t="str">
            <v>VEM0447</v>
          </cell>
          <cell r="D1259" t="str">
            <v>P66</v>
          </cell>
          <cell r="F1259" t="str">
            <v>GE</v>
          </cell>
          <cell r="G1259" t="str">
            <v>5KS256XAA208D6</v>
          </cell>
          <cell r="H1259" t="str">
            <v>HLFT242S021</v>
          </cell>
          <cell r="I1259" t="str">
            <v>256T</v>
          </cell>
          <cell r="K1259" t="str">
            <v>20</v>
          </cell>
          <cell r="L1259" t="str">
            <v>1775</v>
          </cell>
          <cell r="M1259" t="str">
            <v>KS</v>
          </cell>
          <cell r="N1259" t="str">
            <v>350</v>
          </cell>
          <cell r="O1259" t="str">
            <v>Full no Cord</v>
          </cell>
          <cell r="P1259" t="str">
            <v>TEFC</v>
          </cell>
          <cell r="R1259" t="str">
            <v>Continuous</v>
          </cell>
          <cell r="S1259" t="str">
            <v>Yes</v>
          </cell>
          <cell r="T1259" t="str">
            <v>FLUSH</v>
          </cell>
          <cell r="U1259" t="str">
            <v>40</v>
          </cell>
          <cell r="V1259" t="str">
            <v>3</v>
          </cell>
          <cell r="W1259" t="str">
            <v>60</v>
          </cell>
          <cell r="X1259" t="str">
            <v>460</v>
          </cell>
          <cell r="Y1259" t="str">
            <v>23.8</v>
          </cell>
          <cell r="Z1259" t="str">
            <v>Yes</v>
          </cell>
          <cell r="AA1259" t="str">
            <v>F1</v>
          </cell>
          <cell r="AD1259" t="str">
            <v>-1</v>
          </cell>
          <cell r="AG1259" t="str">
            <v>HP</v>
          </cell>
          <cell r="AI1259" t="str">
            <v>6309</v>
          </cell>
          <cell r="AJ1259" t="str">
            <v>6309</v>
          </cell>
          <cell r="AO1259" t="str">
            <v>B</v>
          </cell>
          <cell r="AP1259" t="str">
            <v>G</v>
          </cell>
          <cell r="AQ1259" t="str">
            <v>H</v>
          </cell>
          <cell r="AR1259" t="str">
            <v>84.5</v>
          </cell>
          <cell r="AS1259" t="str">
            <v>1.15</v>
          </cell>
          <cell r="AT1259" t="str">
            <v>92.4</v>
          </cell>
          <cell r="AU1259" t="str">
            <v>09J371Y638</v>
          </cell>
          <cell r="AV1259" t="b">
            <v>0</v>
          </cell>
          <cell r="EW1259" t="str">
            <v>M9439</v>
          </cell>
          <cell r="HD1259" t="str">
            <v>Repair Shop</v>
          </cell>
          <cell r="HT1259" t="b">
            <v>0</v>
          </cell>
          <cell r="HU1259" t="str">
            <v>PHILLIPS 66</v>
          </cell>
        </row>
        <row r="1260">
          <cell r="A1260">
            <v>1492</v>
          </cell>
          <cell r="B1260" t="str">
            <v>VEM0446</v>
          </cell>
          <cell r="D1260" t="str">
            <v>P66</v>
          </cell>
          <cell r="F1260" t="str">
            <v>Reliance</v>
          </cell>
          <cell r="I1260" t="str">
            <v>256T</v>
          </cell>
          <cell r="K1260" t="str">
            <v>20</v>
          </cell>
          <cell r="L1260" t="str">
            <v>1765</v>
          </cell>
          <cell r="M1260" t="str">
            <v>P</v>
          </cell>
          <cell r="O1260" t="str">
            <v>Full no Cord</v>
          </cell>
          <cell r="P1260" t="str">
            <v>TEFC</v>
          </cell>
          <cell r="R1260" t="str">
            <v>Continuous</v>
          </cell>
          <cell r="S1260" t="str">
            <v>Yes</v>
          </cell>
          <cell r="T1260" t="str">
            <v>NONE</v>
          </cell>
          <cell r="U1260" t="str">
            <v>40</v>
          </cell>
          <cell r="V1260" t="str">
            <v>3</v>
          </cell>
          <cell r="W1260" t="str">
            <v>60</v>
          </cell>
          <cell r="X1260" t="str">
            <v>460</v>
          </cell>
          <cell r="Y1260" t="str">
            <v>24.0</v>
          </cell>
          <cell r="AA1260" t="str">
            <v>F1</v>
          </cell>
          <cell r="AD1260" t="str">
            <v>0</v>
          </cell>
          <cell r="AG1260" t="str">
            <v>HP</v>
          </cell>
          <cell r="AI1260" t="str">
            <v>6309</v>
          </cell>
          <cell r="AJ1260" t="str">
            <v>6309</v>
          </cell>
          <cell r="AO1260" t="str">
            <v>B</v>
          </cell>
          <cell r="AP1260" t="str">
            <v>G</v>
          </cell>
          <cell r="AQ1260" t="str">
            <v>F</v>
          </cell>
          <cell r="AR1260" t="str">
            <v>83.8</v>
          </cell>
          <cell r="AS1260" t="str">
            <v>1.15</v>
          </cell>
          <cell r="AT1260" t="str">
            <v>93.0</v>
          </cell>
          <cell r="AV1260" t="b">
            <v>0</v>
          </cell>
          <cell r="EX1260" t="str">
            <v>HM421008-MJ</v>
          </cell>
          <cell r="HD1260" t="str">
            <v>Repair Shop</v>
          </cell>
          <cell r="HT1260" t="b">
            <v>0</v>
          </cell>
          <cell r="HU1260" t="str">
            <v>PHILLIPS 66</v>
          </cell>
        </row>
        <row r="1261">
          <cell r="A1261">
            <v>1491</v>
          </cell>
          <cell r="B1261" t="str">
            <v>VEM0445</v>
          </cell>
          <cell r="D1261" t="str">
            <v>P66</v>
          </cell>
          <cell r="F1261" t="str">
            <v>Siemens</v>
          </cell>
          <cell r="I1261" t="str">
            <v>284TS</v>
          </cell>
          <cell r="K1261" t="str">
            <v>25</v>
          </cell>
          <cell r="L1261" t="str">
            <v>3525</v>
          </cell>
          <cell r="M1261" t="str">
            <v>RGZESD</v>
          </cell>
          <cell r="O1261" t="str">
            <v>None</v>
          </cell>
          <cell r="P1261" t="str">
            <v>TEFC</v>
          </cell>
          <cell r="R1261" t="str">
            <v>Continuous</v>
          </cell>
          <cell r="S1261" t="str">
            <v>Yes</v>
          </cell>
          <cell r="T1261" t="str">
            <v>NONE NO KEY</v>
          </cell>
          <cell r="U1261" t="str">
            <v>40</v>
          </cell>
          <cell r="V1261" t="str">
            <v>3</v>
          </cell>
          <cell r="W1261" t="str">
            <v>60</v>
          </cell>
          <cell r="X1261" t="str">
            <v>460</v>
          </cell>
          <cell r="Y1261" t="str">
            <v>28.9</v>
          </cell>
          <cell r="AA1261" t="str">
            <v>F1</v>
          </cell>
          <cell r="AG1261" t="str">
            <v>HP</v>
          </cell>
          <cell r="AO1261" t="str">
            <v>B</v>
          </cell>
          <cell r="AP1261" t="str">
            <v>G</v>
          </cell>
          <cell r="AQ1261" t="str">
            <v>F</v>
          </cell>
          <cell r="AS1261" t="str">
            <v>1.15</v>
          </cell>
          <cell r="AT1261" t="str">
            <v>91.0</v>
          </cell>
          <cell r="AV1261" t="b">
            <v>0</v>
          </cell>
          <cell r="EX1261" t="str">
            <v>ORD#-1LA02842SE42</v>
          </cell>
          <cell r="GK1261" t="str">
            <v>3 LEADS ONLY</v>
          </cell>
          <cell r="HD1261" t="str">
            <v>Repair Shop</v>
          </cell>
          <cell r="HT1261" t="b">
            <v>0</v>
          </cell>
          <cell r="HU1261" t="str">
            <v>PHILLIPS 66</v>
          </cell>
        </row>
        <row r="1262">
          <cell r="A1262">
            <v>1490</v>
          </cell>
          <cell r="B1262" t="str">
            <v>VEM0444</v>
          </cell>
          <cell r="D1262" t="str">
            <v>P66</v>
          </cell>
          <cell r="F1262" t="str">
            <v>US Motors</v>
          </cell>
          <cell r="G1262" t="str">
            <v>FE73</v>
          </cell>
          <cell r="I1262" t="str">
            <v>284T</v>
          </cell>
          <cell r="K1262" t="str">
            <v>25</v>
          </cell>
          <cell r="L1262" t="str">
            <v>1775</v>
          </cell>
          <cell r="M1262" t="str">
            <v>CE</v>
          </cell>
          <cell r="N1262" t="str">
            <v>360</v>
          </cell>
          <cell r="O1262" t="str">
            <v>Full no Cord</v>
          </cell>
          <cell r="R1262" t="str">
            <v>Continuous</v>
          </cell>
          <cell r="T1262" t="str">
            <v>KEY ONLY</v>
          </cell>
          <cell r="U1262" t="str">
            <v>40</v>
          </cell>
          <cell r="V1262" t="str">
            <v>3</v>
          </cell>
          <cell r="W1262" t="str">
            <v>60</v>
          </cell>
          <cell r="X1262" t="str">
            <v>460</v>
          </cell>
          <cell r="Y1262" t="str">
            <v>29.5</v>
          </cell>
          <cell r="AA1262" t="str">
            <v>F1</v>
          </cell>
          <cell r="AD1262" t="str">
            <v>0</v>
          </cell>
          <cell r="AG1262" t="str">
            <v>HP</v>
          </cell>
          <cell r="AO1262" t="str">
            <v>B</v>
          </cell>
          <cell r="AP1262" t="str">
            <v>G</v>
          </cell>
          <cell r="AQ1262" t="str">
            <v>F</v>
          </cell>
          <cell r="AS1262" t="str">
            <v>1.15</v>
          </cell>
          <cell r="AT1262" t="str">
            <v>93.6</v>
          </cell>
          <cell r="AV1262" t="b">
            <v>0</v>
          </cell>
          <cell r="EW1262" t="str">
            <v>8P25P2C</v>
          </cell>
          <cell r="HD1262" t="str">
            <v>Repair Shop</v>
          </cell>
          <cell r="HT1262" t="b">
            <v>0</v>
          </cell>
          <cell r="HU1262" t="str">
            <v>PHILLIPS 66</v>
          </cell>
        </row>
        <row r="1263">
          <cell r="A1263">
            <v>1489</v>
          </cell>
          <cell r="B1263" t="str">
            <v>VEM0443</v>
          </cell>
          <cell r="D1263" t="str">
            <v>P66</v>
          </cell>
          <cell r="F1263" t="str">
            <v>Siemens</v>
          </cell>
          <cell r="G1263" t="str">
            <v>641</v>
          </cell>
          <cell r="I1263" t="str">
            <v>286T</v>
          </cell>
          <cell r="K1263" t="str">
            <v>25</v>
          </cell>
          <cell r="L1263" t="str">
            <v>1750</v>
          </cell>
          <cell r="M1263" t="str">
            <v>RGZ-CH</v>
          </cell>
          <cell r="O1263" t="str">
            <v>Full no Cord</v>
          </cell>
          <cell r="P1263" t="str">
            <v>TEFC</v>
          </cell>
          <cell r="R1263" t="str">
            <v>Continuous</v>
          </cell>
          <cell r="S1263" t="str">
            <v>Yes</v>
          </cell>
          <cell r="T1263" t="str">
            <v>NONE NO KEY</v>
          </cell>
          <cell r="U1263" t="str">
            <v>40</v>
          </cell>
          <cell r="V1263" t="str">
            <v>3</v>
          </cell>
          <cell r="W1263" t="str">
            <v>60</v>
          </cell>
          <cell r="X1263" t="str">
            <v>460</v>
          </cell>
          <cell r="Y1263" t="str">
            <v>30.4</v>
          </cell>
          <cell r="AA1263" t="str">
            <v>F1</v>
          </cell>
          <cell r="AG1263" t="str">
            <v>HP</v>
          </cell>
          <cell r="AO1263" t="str">
            <v>B</v>
          </cell>
          <cell r="AP1263" t="str">
            <v>G</v>
          </cell>
          <cell r="AS1263" t="str">
            <v>1.15</v>
          </cell>
          <cell r="AT1263" t="str">
            <v>86.5</v>
          </cell>
          <cell r="AV1263" t="b">
            <v>0</v>
          </cell>
          <cell r="EX1263" t="str">
            <v>ORD#-1-5106-LR11731-01</v>
          </cell>
          <cell r="HD1263" t="str">
            <v>Repair Shop</v>
          </cell>
          <cell r="HT1263" t="b">
            <v>0</v>
          </cell>
          <cell r="HU1263" t="str">
            <v>PHILLIPS 66</v>
          </cell>
        </row>
        <row r="1264">
          <cell r="A1264">
            <v>1488</v>
          </cell>
          <cell r="B1264" t="str">
            <v>VEM0442</v>
          </cell>
          <cell r="D1264" t="str">
            <v>P66</v>
          </cell>
          <cell r="F1264" t="str">
            <v>TECO</v>
          </cell>
          <cell r="H1264" t="str">
            <v>CP6172124001</v>
          </cell>
          <cell r="I1264" t="str">
            <v>256T</v>
          </cell>
          <cell r="K1264" t="str">
            <v>20</v>
          </cell>
          <cell r="L1264" t="str">
            <v>1760</v>
          </cell>
          <cell r="O1264" t="str">
            <v>Full no Cord</v>
          </cell>
          <cell r="P1264" t="str">
            <v>TEFC</v>
          </cell>
          <cell r="R1264" t="str">
            <v>Continuous</v>
          </cell>
          <cell r="T1264" t="str">
            <v>YES   FLUSH</v>
          </cell>
          <cell r="U1264" t="str">
            <v>50</v>
          </cell>
          <cell r="V1264" t="str">
            <v>3</v>
          </cell>
          <cell r="W1264" t="str">
            <v>60</v>
          </cell>
          <cell r="X1264" t="str">
            <v>460</v>
          </cell>
          <cell r="Y1264" t="str">
            <v>26</v>
          </cell>
          <cell r="AA1264" t="str">
            <v>F1</v>
          </cell>
          <cell r="AD1264" t="str">
            <v>0</v>
          </cell>
          <cell r="AG1264" t="str">
            <v>HP</v>
          </cell>
          <cell r="AP1264" t="str">
            <v>G</v>
          </cell>
          <cell r="AQ1264" t="str">
            <v>F</v>
          </cell>
          <cell r="AS1264" t="str">
            <v>1.15</v>
          </cell>
          <cell r="AT1264" t="str">
            <v>93.0</v>
          </cell>
          <cell r="AV1264" t="b">
            <v>0</v>
          </cell>
          <cell r="EW1264" t="str">
            <v>HB0204</v>
          </cell>
          <cell r="HD1264" t="str">
            <v>Repair Shop</v>
          </cell>
          <cell r="HT1264" t="b">
            <v>0</v>
          </cell>
          <cell r="HU1264" t="str">
            <v>PHILLIPS 66</v>
          </cell>
        </row>
        <row r="1265">
          <cell r="A1265">
            <v>1487</v>
          </cell>
          <cell r="B1265" t="str">
            <v>VEM0441</v>
          </cell>
          <cell r="D1265" t="str">
            <v>VALLEJOWATER</v>
          </cell>
          <cell r="F1265" t="str">
            <v>US Motors</v>
          </cell>
          <cell r="G1265" t="str">
            <v>07693688-100</v>
          </cell>
          <cell r="I1265" t="str">
            <v>326VP</v>
          </cell>
          <cell r="K1265" t="str">
            <v>50</v>
          </cell>
          <cell r="L1265" t="str">
            <v>1780</v>
          </cell>
          <cell r="M1265" t="str">
            <v>RVS4</v>
          </cell>
          <cell r="N1265" t="str">
            <v>675</v>
          </cell>
          <cell r="O1265" t="str">
            <v>None</v>
          </cell>
          <cell r="P1265" t="str">
            <v>TEFC</v>
          </cell>
          <cell r="R1265" t="str">
            <v>Continuous</v>
          </cell>
          <cell r="T1265" t="str">
            <v>NONE NO KEY</v>
          </cell>
          <cell r="U1265" t="str">
            <v>40</v>
          </cell>
          <cell r="V1265" t="str">
            <v>3</v>
          </cell>
          <cell r="W1265" t="str">
            <v>60</v>
          </cell>
          <cell r="X1265" t="str">
            <v>230/460</v>
          </cell>
          <cell r="Y1265" t="str">
            <v>114/57</v>
          </cell>
          <cell r="AA1265" t="str">
            <v>Vertical</v>
          </cell>
          <cell r="AD1265" t="str">
            <v>0</v>
          </cell>
          <cell r="AG1265" t="str">
            <v>HP</v>
          </cell>
          <cell r="AJ1265" t="str">
            <v>7220</v>
          </cell>
          <cell r="AO1265" t="str">
            <v>B</v>
          </cell>
          <cell r="AP1265" t="str">
            <v>G</v>
          </cell>
          <cell r="AQ1265" t="str">
            <v>F</v>
          </cell>
          <cell r="AR1265" t="str">
            <v>87.7</v>
          </cell>
          <cell r="AS1265" t="str">
            <v>1.15</v>
          </cell>
          <cell r="AT1265" t="str">
            <v>94,5</v>
          </cell>
          <cell r="AV1265" t="b">
            <v>0</v>
          </cell>
          <cell r="EX1265" t="str">
            <v>H 11 7693688-0001 M 0001</v>
          </cell>
          <cell r="GK1265" t="str">
            <v>9 LEADS ONLY PLUS 2 HEATER LEADS</v>
          </cell>
          <cell r="GL1265" t="str">
            <v>WITH TOP HAT</v>
          </cell>
          <cell r="HD1265" t="str">
            <v>Repair Shop</v>
          </cell>
          <cell r="HT1265" t="b">
            <v>0</v>
          </cell>
          <cell r="HU1265" t="str">
            <v>CITY OF VALLEJO WATER TREATMENT</v>
          </cell>
        </row>
        <row r="1266">
          <cell r="A1266">
            <v>1486</v>
          </cell>
          <cell r="B1266" t="str">
            <v>VEM0440</v>
          </cell>
          <cell r="D1266" t="str">
            <v>TURBO</v>
          </cell>
          <cell r="F1266" t="str">
            <v>GE</v>
          </cell>
          <cell r="G1266" t="str">
            <v>5K445XC35A</v>
          </cell>
          <cell r="H1266" t="str">
            <v>YNJ1113030</v>
          </cell>
          <cell r="I1266" t="str">
            <v>445P</v>
          </cell>
          <cell r="K1266" t="str">
            <v>60</v>
          </cell>
          <cell r="L1266" t="str">
            <v>700</v>
          </cell>
          <cell r="O1266" t="str">
            <v>Full w/ Cord</v>
          </cell>
          <cell r="R1266" t="str">
            <v>Continuous</v>
          </cell>
          <cell r="V1266" t="str">
            <v>3</v>
          </cell>
          <cell r="W1266" t="str">
            <v>60</v>
          </cell>
          <cell r="X1266" t="str">
            <v>220/440</v>
          </cell>
          <cell r="Y1266" t="str">
            <v>154/77</v>
          </cell>
          <cell r="AA1266" t="str">
            <v>Vertical</v>
          </cell>
          <cell r="AD1266" t="str">
            <v>0</v>
          </cell>
          <cell r="AG1266" t="str">
            <v>HP</v>
          </cell>
          <cell r="AO1266" t="str">
            <v>B</v>
          </cell>
          <cell r="AP1266" t="str">
            <v>F</v>
          </cell>
          <cell r="AS1266" t="str">
            <v>1.15</v>
          </cell>
          <cell r="AV1266" t="b">
            <v>0</v>
          </cell>
          <cell r="GK1266" t="str">
            <v>WITH TOP HAT</v>
          </cell>
          <cell r="GL1266" t="str">
            <v>HAS  SEPARATE OIL RESEVOIR CONNECTED TO JB</v>
          </cell>
          <cell r="HD1266" t="str">
            <v>Repair Shop</v>
          </cell>
          <cell r="HT1266" t="b">
            <v>0</v>
          </cell>
          <cell r="HU1266" t="str">
            <v>TURBO MACHINE</v>
          </cell>
        </row>
        <row r="1267">
          <cell r="A1267">
            <v>1485</v>
          </cell>
          <cell r="B1267" t="str">
            <v>VEM0439</v>
          </cell>
          <cell r="D1267" t="str">
            <v>CONHAGEN</v>
          </cell>
          <cell r="F1267" t="str">
            <v>Reliance</v>
          </cell>
          <cell r="I1267" t="str">
            <v>254LP</v>
          </cell>
          <cell r="K1267" t="str">
            <v>15</v>
          </cell>
          <cell r="L1267" t="str">
            <v>3535</v>
          </cell>
          <cell r="O1267" t="str">
            <v>None</v>
          </cell>
          <cell r="P1267" t="str">
            <v>TEFC</v>
          </cell>
          <cell r="R1267" t="str">
            <v>Continuous</v>
          </cell>
          <cell r="T1267" t="str">
            <v>NONE</v>
          </cell>
          <cell r="U1267" t="str">
            <v>40</v>
          </cell>
          <cell r="V1267" t="str">
            <v>3</v>
          </cell>
          <cell r="W1267" t="str">
            <v>60</v>
          </cell>
          <cell r="X1267" t="str">
            <v>460</v>
          </cell>
          <cell r="Y1267" t="str">
            <v>17.4</v>
          </cell>
          <cell r="AA1267" t="str">
            <v>Vertical</v>
          </cell>
          <cell r="AD1267" t="str">
            <v>-1</v>
          </cell>
          <cell r="AG1267" t="str">
            <v>HP</v>
          </cell>
          <cell r="AI1267" t="str">
            <v>6309</v>
          </cell>
          <cell r="AJ1267" t="str">
            <v>2-7308</v>
          </cell>
          <cell r="AO1267" t="str">
            <v>B</v>
          </cell>
          <cell r="AP1267" t="str">
            <v>G</v>
          </cell>
          <cell r="AQ1267" t="str">
            <v>F</v>
          </cell>
          <cell r="AR1267" t="str">
            <v>89.0</v>
          </cell>
          <cell r="AS1267" t="str">
            <v>1.15</v>
          </cell>
          <cell r="AT1267" t="str">
            <v>89.5</v>
          </cell>
          <cell r="AV1267" t="b">
            <v>0</v>
          </cell>
          <cell r="EX1267" t="str">
            <v>1MAF46251  G1  WQ</v>
          </cell>
          <cell r="HD1267" t="str">
            <v>Repair Shop</v>
          </cell>
          <cell r="HT1267" t="b">
            <v>0</v>
          </cell>
          <cell r="HU1267" t="str">
            <v>ALFRED CONHAGEN CO. OF CA</v>
          </cell>
        </row>
        <row r="1268">
          <cell r="A1268">
            <v>1483</v>
          </cell>
          <cell r="B1268" t="str">
            <v>VEM0437</v>
          </cell>
          <cell r="D1268" t="str">
            <v>LYVE</v>
          </cell>
          <cell r="F1268" t="str">
            <v>WEG</v>
          </cell>
          <cell r="H1268" t="str">
            <v>29AG006BY02415</v>
          </cell>
          <cell r="I1268" t="str">
            <v>132M</v>
          </cell>
          <cell r="K1268" t="str">
            <v>12.5</v>
          </cell>
          <cell r="L1268" t="str">
            <v>3515</v>
          </cell>
          <cell r="O1268" t="str">
            <v>Full no Cord</v>
          </cell>
          <cell r="P1268" t="str">
            <v>TEFC</v>
          </cell>
          <cell r="Q1268" t="str">
            <v>Yes</v>
          </cell>
          <cell r="R1268" t="str">
            <v>Continuous</v>
          </cell>
          <cell r="U1268" t="str">
            <v>40</v>
          </cell>
          <cell r="V1268" t="str">
            <v>3</v>
          </cell>
          <cell r="W1268" t="str">
            <v>60</v>
          </cell>
          <cell r="X1268" t="str">
            <v>440/460</v>
          </cell>
          <cell r="Y1268" t="str">
            <v>20.2/19.8</v>
          </cell>
          <cell r="AA1268" t="str">
            <v>F2</v>
          </cell>
          <cell r="AD1268" t="str">
            <v>0</v>
          </cell>
          <cell r="AG1268" t="str">
            <v>KW</v>
          </cell>
          <cell r="AV1268" t="b">
            <v>0</v>
          </cell>
          <cell r="HD1268" t="str">
            <v>Repair Shop</v>
          </cell>
          <cell r="HT1268" t="b">
            <v>0</v>
          </cell>
          <cell r="HU1268" t="str">
            <v>LYVE SYSTEMS LLC</v>
          </cell>
        </row>
        <row r="1269">
          <cell r="A1269">
            <v>1482</v>
          </cell>
          <cell r="B1269" t="str">
            <v>VEM0436</v>
          </cell>
          <cell r="D1269" t="str">
            <v>C&amp;H</v>
          </cell>
          <cell r="F1269" t="str">
            <v>VEM</v>
          </cell>
          <cell r="H1269" t="str">
            <v>VEM 102014</v>
          </cell>
          <cell r="K1269" t="str">
            <v>100</v>
          </cell>
          <cell r="L1269" t="str">
            <v>1750</v>
          </cell>
          <cell r="O1269" t="str">
            <v>None</v>
          </cell>
          <cell r="P1269" t="str">
            <v>TEFC</v>
          </cell>
          <cell r="R1269" t="str">
            <v>Continuous</v>
          </cell>
          <cell r="T1269" t="str">
            <v>NONE NO KEY</v>
          </cell>
          <cell r="V1269" t="str">
            <v>3</v>
          </cell>
          <cell r="W1269" t="str">
            <v>60</v>
          </cell>
          <cell r="X1269" t="str">
            <v>460</v>
          </cell>
          <cell r="AD1269" t="str">
            <v>-1</v>
          </cell>
          <cell r="AG1269" t="str">
            <v>HP</v>
          </cell>
          <cell r="AV1269" t="b">
            <v>0</v>
          </cell>
          <cell r="GK1269" t="str">
            <v>GREASE -FAG ARCONOL TEMP 90</v>
          </cell>
          <cell r="HD1269" t="str">
            <v>Repair Shop</v>
          </cell>
          <cell r="HT1269" t="b">
            <v>0</v>
          </cell>
          <cell r="HU1269" t="str">
            <v>C &amp; H SUGAR CO.</v>
          </cell>
        </row>
        <row r="1270">
          <cell r="A1270">
            <v>1481</v>
          </cell>
          <cell r="B1270" t="str">
            <v>FE1011</v>
          </cell>
          <cell r="D1270" t="str">
            <v>GOLDENSTATEBR</v>
          </cell>
          <cell r="AD1270" t="str">
            <v>0</v>
          </cell>
          <cell r="AG1270" t="str">
            <v>HP</v>
          </cell>
          <cell r="AV1270" t="b">
            <v>0</v>
          </cell>
          <cell r="HD1270" t="str">
            <v>Field Service</v>
          </cell>
          <cell r="HT1270" t="b">
            <v>0</v>
          </cell>
          <cell r="HU1270" t="str">
            <v>GOLDEN STATE BRIDGE</v>
          </cell>
        </row>
        <row r="1271">
          <cell r="A1271">
            <v>1480</v>
          </cell>
          <cell r="B1271" t="str">
            <v>VEM0435</v>
          </cell>
          <cell r="D1271" t="str">
            <v>P66</v>
          </cell>
          <cell r="F1271" t="str">
            <v>GE</v>
          </cell>
          <cell r="I1271" t="str">
            <v>L184VP10</v>
          </cell>
          <cell r="K1271" t="str">
            <v>5</v>
          </cell>
          <cell r="L1271" t="str">
            <v>1800</v>
          </cell>
          <cell r="P1271" t="str">
            <v>TEFC</v>
          </cell>
          <cell r="R1271" t="str">
            <v>Continuous</v>
          </cell>
          <cell r="V1271" t="str">
            <v>3</v>
          </cell>
          <cell r="W1271" t="str">
            <v>60</v>
          </cell>
          <cell r="X1271" t="str">
            <v>460</v>
          </cell>
          <cell r="AA1271" t="str">
            <v>Vertical</v>
          </cell>
          <cell r="AD1271" t="str">
            <v>0</v>
          </cell>
          <cell r="AG1271" t="str">
            <v>HP</v>
          </cell>
          <cell r="AV1271" t="b">
            <v>0</v>
          </cell>
          <cell r="AX1271" t="str">
            <v>4</v>
          </cell>
          <cell r="EW1271" t="str">
            <v>V867</v>
          </cell>
          <cell r="HD1271" t="str">
            <v>Repair Shop</v>
          </cell>
          <cell r="HT1271" t="b">
            <v>0</v>
          </cell>
          <cell r="HU1271" t="str">
            <v>PHILLIPS 66</v>
          </cell>
        </row>
        <row r="1272">
          <cell r="A1272">
            <v>1479</v>
          </cell>
          <cell r="B1272" t="str">
            <v>VEM0434</v>
          </cell>
          <cell r="D1272" t="str">
            <v>VALERO</v>
          </cell>
          <cell r="F1272" t="str">
            <v>Reliance</v>
          </cell>
          <cell r="I1272" t="str">
            <v>286T</v>
          </cell>
          <cell r="K1272" t="str">
            <v>30</v>
          </cell>
          <cell r="L1272" t="str">
            <v>1770</v>
          </cell>
          <cell r="M1272" t="str">
            <v>P</v>
          </cell>
          <cell r="O1272" t="str">
            <v>Full no Cord</v>
          </cell>
          <cell r="P1272" t="str">
            <v>TEFC</v>
          </cell>
          <cell r="R1272" t="str">
            <v>Continuous</v>
          </cell>
          <cell r="T1272" t="str">
            <v>YES</v>
          </cell>
          <cell r="U1272" t="str">
            <v>40</v>
          </cell>
          <cell r="V1272" t="str">
            <v>3</v>
          </cell>
          <cell r="W1272" t="str">
            <v>60</v>
          </cell>
          <cell r="X1272" t="str">
            <v>460</v>
          </cell>
          <cell r="Y1272" t="str">
            <v>35.6</v>
          </cell>
          <cell r="AA1272" t="str">
            <v>F1</v>
          </cell>
          <cell r="AD1272" t="str">
            <v>0</v>
          </cell>
          <cell r="AG1272" t="str">
            <v>HP</v>
          </cell>
          <cell r="AO1272" t="str">
            <v>B</v>
          </cell>
          <cell r="AP1272" t="str">
            <v>G</v>
          </cell>
          <cell r="AR1272" t="str">
            <v>84.5</v>
          </cell>
          <cell r="AS1272" t="str">
            <v>1.15</v>
          </cell>
          <cell r="AT1272" t="str">
            <v>92.4</v>
          </cell>
          <cell r="AV1272" t="b">
            <v>0</v>
          </cell>
          <cell r="EX1272" t="str">
            <v>P28G3314F-G05-VK</v>
          </cell>
          <cell r="HD1272" t="str">
            <v>Repair Shop</v>
          </cell>
          <cell r="HT1272" t="b">
            <v>0</v>
          </cell>
          <cell r="HU1272" t="str">
            <v>VALERO REFINING CO. BENICIA</v>
          </cell>
        </row>
        <row r="1273">
          <cell r="A1273">
            <v>1478</v>
          </cell>
          <cell r="B1273" t="str">
            <v>VEM0433</v>
          </cell>
          <cell r="D1273" t="str">
            <v>P66CARBON</v>
          </cell>
          <cell r="AG1273" t="str">
            <v>HP</v>
          </cell>
          <cell r="AV1273" t="b">
            <v>0</v>
          </cell>
          <cell r="HD1273" t="str">
            <v>Repair Shop</v>
          </cell>
          <cell r="HT1273" t="b">
            <v>0</v>
          </cell>
          <cell r="HU1273" t="str">
            <v>PHILLIPS 66 CARBON PLANT</v>
          </cell>
        </row>
        <row r="1274">
          <cell r="A1274">
            <v>1477</v>
          </cell>
          <cell r="B1274" t="str">
            <v>VEM0432</v>
          </cell>
          <cell r="D1274" t="str">
            <v>CONHAGEN</v>
          </cell>
          <cell r="F1274" t="str">
            <v>Baldor</v>
          </cell>
          <cell r="H1274" t="str">
            <v>F1607285386</v>
          </cell>
          <cell r="I1274" t="str">
            <v>215TC</v>
          </cell>
          <cell r="K1274" t="str">
            <v>15</v>
          </cell>
          <cell r="L1274" t="str">
            <v>3525</v>
          </cell>
          <cell r="O1274" t="str">
            <v>Full no Cord</v>
          </cell>
          <cell r="P1274" t="str">
            <v>OPSB</v>
          </cell>
          <cell r="R1274" t="str">
            <v>Continuous</v>
          </cell>
          <cell r="T1274" t="str">
            <v>NONE NO KEY</v>
          </cell>
          <cell r="U1274" t="str">
            <v>40</v>
          </cell>
          <cell r="V1274" t="str">
            <v>3</v>
          </cell>
          <cell r="W1274" t="str">
            <v>60</v>
          </cell>
          <cell r="X1274" t="str">
            <v>208-230/460</v>
          </cell>
          <cell r="Y1274" t="str">
            <v>36.7-34/17</v>
          </cell>
          <cell r="AA1274" t="str">
            <v>Vertical</v>
          </cell>
          <cell r="AD1274" t="str">
            <v>0</v>
          </cell>
          <cell r="AG1274" t="str">
            <v>HP</v>
          </cell>
          <cell r="AI1274" t="str">
            <v>6307</v>
          </cell>
          <cell r="AJ1274" t="str">
            <v>6206</v>
          </cell>
          <cell r="AO1274" t="str">
            <v>B</v>
          </cell>
          <cell r="AP1274" t="str">
            <v>J</v>
          </cell>
          <cell r="AQ1274" t="str">
            <v>F</v>
          </cell>
          <cell r="AR1274" t="str">
            <v>92</v>
          </cell>
          <cell r="AT1274" t="str">
            <v>91.7</v>
          </cell>
          <cell r="AU1274" t="str">
            <v>37B103X895G2</v>
          </cell>
          <cell r="AV1274" t="b">
            <v>0</v>
          </cell>
          <cell r="EW1274" t="str">
            <v>V13A32E4BE2S</v>
          </cell>
          <cell r="HD1274" t="str">
            <v>Repair Shop</v>
          </cell>
          <cell r="HT1274" t="b">
            <v>0</v>
          </cell>
          <cell r="HU1274" t="str">
            <v>ALFRED CONHAGEN CO. OF CA</v>
          </cell>
        </row>
        <row r="1275">
          <cell r="A1275">
            <v>1476</v>
          </cell>
          <cell r="B1275" t="str">
            <v>VEM0431</v>
          </cell>
          <cell r="D1275" t="str">
            <v>WOODLINE</v>
          </cell>
          <cell r="AV1275" t="b">
            <v>0</v>
          </cell>
          <cell r="HD1275" t="str">
            <v>Repair Shop</v>
          </cell>
          <cell r="HT1275" t="b">
            <v>0</v>
          </cell>
          <cell r="HU1275" t="str">
            <v>WOODLINE CABINETS</v>
          </cell>
        </row>
        <row r="1276">
          <cell r="A1276">
            <v>1475</v>
          </cell>
          <cell r="B1276" t="str">
            <v>VEM0430</v>
          </cell>
          <cell r="D1276" t="str">
            <v>VALERO</v>
          </cell>
          <cell r="F1276" t="str">
            <v>Reliance</v>
          </cell>
          <cell r="G1276" t="str">
            <v>B416680</v>
          </cell>
          <cell r="I1276" t="str">
            <v>256T</v>
          </cell>
          <cell r="K1276" t="str">
            <v>20</v>
          </cell>
          <cell r="L1276" t="str">
            <v>3520</v>
          </cell>
          <cell r="N1276" t="str">
            <v>358</v>
          </cell>
          <cell r="O1276" t="str">
            <v>Full no Cord</v>
          </cell>
          <cell r="P1276" t="str">
            <v>TEFC</v>
          </cell>
          <cell r="R1276" t="str">
            <v>Continuous</v>
          </cell>
          <cell r="S1276" t="str">
            <v>Yes</v>
          </cell>
          <cell r="T1276" t="str">
            <v>YES</v>
          </cell>
          <cell r="U1276" t="str">
            <v>40</v>
          </cell>
          <cell r="V1276" t="str">
            <v>3</v>
          </cell>
          <cell r="W1276" t="str">
            <v>60</v>
          </cell>
          <cell r="Y1276" t="str">
            <v>22.3</v>
          </cell>
          <cell r="AA1276" t="str">
            <v>F1</v>
          </cell>
          <cell r="AD1276" t="str">
            <v>0</v>
          </cell>
          <cell r="AG1276" t="str">
            <v>HP</v>
          </cell>
          <cell r="AO1276" t="str">
            <v>B</v>
          </cell>
          <cell r="AP1276" t="str">
            <v>G</v>
          </cell>
          <cell r="AQ1276" t="str">
            <v>F</v>
          </cell>
          <cell r="AR1276" t="str">
            <v>91.1</v>
          </cell>
          <cell r="AS1276" t="str">
            <v>1.15</v>
          </cell>
          <cell r="AT1276" t="str">
            <v>91.7</v>
          </cell>
          <cell r="AV1276" t="b">
            <v>0</v>
          </cell>
          <cell r="EX1276" t="str">
            <v>B416680-010  L002CM</v>
          </cell>
          <cell r="HD1276" t="str">
            <v>Repair Shop</v>
          </cell>
          <cell r="HT1276" t="b">
            <v>0</v>
          </cell>
          <cell r="HU1276" t="str">
            <v>VALERO REFINING CO. BENICIA</v>
          </cell>
        </row>
        <row r="1277">
          <cell r="A1277">
            <v>1474</v>
          </cell>
          <cell r="B1277" t="str">
            <v>VEM0429</v>
          </cell>
          <cell r="D1277" t="str">
            <v>COUNTYQUAR</v>
          </cell>
          <cell r="F1277" t="str">
            <v>Marathon</v>
          </cell>
          <cell r="G1277" t="str">
            <v>505ZTDS415CCW</v>
          </cell>
          <cell r="I1277" t="str">
            <v>505Z</v>
          </cell>
          <cell r="K1277" t="str">
            <v>200</v>
          </cell>
          <cell r="L1277" t="str">
            <v>900</v>
          </cell>
          <cell r="O1277" t="str">
            <v>Half no Cord</v>
          </cell>
          <cell r="P1277" t="str">
            <v>ODP</v>
          </cell>
          <cell r="R1277" t="str">
            <v>Continuous</v>
          </cell>
          <cell r="S1277" t="str">
            <v>Yes</v>
          </cell>
          <cell r="T1277" t="str">
            <v>PULLEY</v>
          </cell>
          <cell r="V1277" t="str">
            <v>3</v>
          </cell>
          <cell r="W1277" t="str">
            <v>60</v>
          </cell>
          <cell r="X1277" t="str">
            <v>440</v>
          </cell>
          <cell r="Y1277" t="str">
            <v>275</v>
          </cell>
          <cell r="AA1277" t="str">
            <v>F1</v>
          </cell>
          <cell r="AD1277" t="str">
            <v>0</v>
          </cell>
          <cell r="AG1277" t="str">
            <v>HP</v>
          </cell>
          <cell r="AV1277" t="b">
            <v>0</v>
          </cell>
          <cell r="GK1277" t="str">
            <v>6 LEADS</v>
          </cell>
          <cell r="HD1277" t="str">
            <v>Repair Shop</v>
          </cell>
          <cell r="HT1277" t="b">
            <v>0</v>
          </cell>
          <cell r="HU1277" t="str">
            <v>COUNTY QUARRY</v>
          </cell>
        </row>
        <row r="1278">
          <cell r="A1278">
            <v>1473</v>
          </cell>
          <cell r="B1278" t="str">
            <v>VEM0054</v>
          </cell>
          <cell r="D1278" t="str">
            <v>COUNTYQUAR</v>
          </cell>
          <cell r="AG1278" t="str">
            <v>HP</v>
          </cell>
          <cell r="AV1278" t="b">
            <v>0</v>
          </cell>
          <cell r="HT1278" t="b">
            <v>0</v>
          </cell>
          <cell r="HU1278" t="str">
            <v>COUNTY QUARRY</v>
          </cell>
        </row>
        <row r="1279">
          <cell r="A1279">
            <v>1470</v>
          </cell>
          <cell r="B1279" t="str">
            <v>VEM0426</v>
          </cell>
          <cell r="D1279" t="str">
            <v>C&amp;H</v>
          </cell>
          <cell r="F1279" t="str">
            <v>?</v>
          </cell>
          <cell r="O1279" t="str">
            <v>None</v>
          </cell>
          <cell r="R1279" t="str">
            <v>Continuous</v>
          </cell>
          <cell r="T1279" t="str">
            <v>NONE NO KEY</v>
          </cell>
          <cell r="V1279" t="str">
            <v>3</v>
          </cell>
          <cell r="W1279" t="str">
            <v>60</v>
          </cell>
          <cell r="X1279" t="str">
            <v>230/460</v>
          </cell>
          <cell r="AA1279" t="str">
            <v>Vertical</v>
          </cell>
          <cell r="AD1279" t="str">
            <v>0</v>
          </cell>
          <cell r="AV1279" t="b">
            <v>0</v>
          </cell>
          <cell r="GK1279" t="str">
            <v>9 LEADS CONNECTED 460 VOLT</v>
          </cell>
          <cell r="HD1279" t="str">
            <v>Repair Shop</v>
          </cell>
          <cell r="HT1279" t="b">
            <v>0</v>
          </cell>
          <cell r="HU1279" t="str">
            <v>C &amp; H SUGAR CO.</v>
          </cell>
        </row>
        <row r="1280">
          <cell r="A1280">
            <v>1469</v>
          </cell>
          <cell r="B1280" t="str">
            <v>VEM0425</v>
          </cell>
          <cell r="D1280" t="str">
            <v>VALLEJOSAN</v>
          </cell>
          <cell r="AD1280" t="str">
            <v>0</v>
          </cell>
          <cell r="AG1280" t="str">
            <v>HP</v>
          </cell>
          <cell r="AV1280" t="b">
            <v>0</v>
          </cell>
          <cell r="HD1280" t="str">
            <v>Repair Shop</v>
          </cell>
          <cell r="HT1280" t="b">
            <v>0</v>
          </cell>
          <cell r="HU1280" t="str">
            <v>VALLEJO FLOOD &amp; WASTEWATER DISTRICT</v>
          </cell>
        </row>
        <row r="1281">
          <cell r="A1281">
            <v>1468</v>
          </cell>
          <cell r="B1281" t="str">
            <v>VEM0424</v>
          </cell>
          <cell r="D1281" t="str">
            <v>OBRIEN IR WRKS</v>
          </cell>
          <cell r="F1281" t="str">
            <v>Baldor</v>
          </cell>
          <cell r="K1281" t="str">
            <v>.125</v>
          </cell>
          <cell r="O1281" t="str">
            <v>Cord</v>
          </cell>
          <cell r="R1281" t="str">
            <v>Continuous</v>
          </cell>
          <cell r="X1281" t="str">
            <v>90 VDC</v>
          </cell>
          <cell r="AA1281" t="str">
            <v>Other</v>
          </cell>
          <cell r="AD1281" t="str">
            <v>0</v>
          </cell>
          <cell r="AG1281" t="str">
            <v>HP</v>
          </cell>
          <cell r="AQ1281" t="str">
            <v>A</v>
          </cell>
          <cell r="AV1281" t="b">
            <v>0</v>
          </cell>
          <cell r="CC1281" t="str">
            <v>30</v>
          </cell>
          <cell r="CE1281" t="str">
            <v>75IN.LB.</v>
          </cell>
          <cell r="ER1281" t="str">
            <v>PM</v>
          </cell>
          <cell r="EW1281" t="str">
            <v>GP 7404</v>
          </cell>
          <cell r="GK1281" t="str">
            <v>CORD WITH PIN CONNECTOR</v>
          </cell>
          <cell r="GL1281" t="str">
            <v>BRUSH 2/BP5052BP01</v>
          </cell>
          <cell r="HD1281" t="str">
            <v>Repair Shop</v>
          </cell>
          <cell r="HT1281" t="b">
            <v>0</v>
          </cell>
          <cell r="HU1281" t="str">
            <v>O BRIEN IRON WORKS</v>
          </cell>
        </row>
        <row r="1282">
          <cell r="A1282">
            <v>1467</v>
          </cell>
          <cell r="B1282" t="str">
            <v>VEM0423</v>
          </cell>
          <cell r="D1282" t="str">
            <v>VALERO</v>
          </cell>
          <cell r="F1282" t="str">
            <v>LIMITORQUE</v>
          </cell>
          <cell r="K1282" t="str">
            <v>.5</v>
          </cell>
          <cell r="L1282" t="str">
            <v>1725</v>
          </cell>
          <cell r="M1282" t="str">
            <v>MOV</v>
          </cell>
          <cell r="O1282" t="str">
            <v>None</v>
          </cell>
          <cell r="P1282" t="str">
            <v>EXP</v>
          </cell>
          <cell r="R1282" t="str">
            <v>Intermittant</v>
          </cell>
          <cell r="T1282" t="str">
            <v>PINION GEAR</v>
          </cell>
          <cell r="V1282" t="str">
            <v>3</v>
          </cell>
          <cell r="W1282" t="str">
            <v>60</v>
          </cell>
          <cell r="X1282" t="str">
            <v>460</v>
          </cell>
          <cell r="Y1282" t="str">
            <v>1.5</v>
          </cell>
          <cell r="AA1282" t="str">
            <v>Vertical</v>
          </cell>
          <cell r="AG1282" t="str">
            <v>HP</v>
          </cell>
          <cell r="AP1282" t="str">
            <v>P</v>
          </cell>
          <cell r="AQ1282" t="str">
            <v>F</v>
          </cell>
          <cell r="AV1282" t="b">
            <v>0</v>
          </cell>
          <cell r="EX1282" t="str">
            <v>50980456-261</v>
          </cell>
          <cell r="GK1282" t="str">
            <v>2 HEATER LEADS 1 FT LONG</v>
          </cell>
          <cell r="GL1282" t="str">
            <v>2 OL LEADS 1 FT LONG</v>
          </cell>
          <cell r="GM1282" t="str">
            <v>3 MOTOR LEADS 2 FT LONG</v>
          </cell>
          <cell r="HD1282" t="str">
            <v>Repair Shop</v>
          </cell>
          <cell r="HT1282" t="b">
            <v>0</v>
          </cell>
          <cell r="HU1282" t="str">
            <v>VALERO REFINING CO. BENICIA</v>
          </cell>
        </row>
        <row r="1283">
          <cell r="A1283">
            <v>1466</v>
          </cell>
          <cell r="B1283" t="str">
            <v>FE1010</v>
          </cell>
          <cell r="D1283" t="str">
            <v>GIBSON</v>
          </cell>
          <cell r="AG1283" t="str">
            <v>HP</v>
          </cell>
          <cell r="AV1283" t="b">
            <v>0</v>
          </cell>
          <cell r="HD1283" t="str">
            <v>Field Service</v>
          </cell>
          <cell r="HT1283" t="b">
            <v>0</v>
          </cell>
          <cell r="HU1283" t="str">
            <v>Gibson Printing &amp; Publishing</v>
          </cell>
        </row>
        <row r="1284">
          <cell r="A1284">
            <v>1465</v>
          </cell>
          <cell r="B1284" t="str">
            <v>VEM0422</v>
          </cell>
          <cell r="D1284" t="str">
            <v>CULINARY</v>
          </cell>
          <cell r="AD1284" t="str">
            <v>0</v>
          </cell>
          <cell r="AG1284" t="str">
            <v>HP</v>
          </cell>
          <cell r="AV1284" t="b">
            <v>0</v>
          </cell>
          <cell r="HD1284" t="str">
            <v>Repair Shop</v>
          </cell>
          <cell r="HT1284" t="b">
            <v>0</v>
          </cell>
          <cell r="HU1284" t="str">
            <v>CULINARY FARMS</v>
          </cell>
        </row>
        <row r="1285">
          <cell r="A1285">
            <v>1464</v>
          </cell>
          <cell r="B1285" t="str">
            <v>VEM0421</v>
          </cell>
          <cell r="D1285" t="str">
            <v>VALERO</v>
          </cell>
          <cell r="F1285" t="str">
            <v>Siemens</v>
          </cell>
          <cell r="H1285" t="str">
            <v>F07T0622TE 13</v>
          </cell>
          <cell r="I1285" t="str">
            <v>365T</v>
          </cell>
          <cell r="K1285" t="str">
            <v>75</v>
          </cell>
          <cell r="L1285" t="str">
            <v>1775</v>
          </cell>
          <cell r="M1285" t="str">
            <v>RGZESD</v>
          </cell>
          <cell r="O1285" t="str">
            <v>Full no Cord</v>
          </cell>
          <cell r="P1285" t="str">
            <v>TEFC</v>
          </cell>
          <cell r="R1285" t="str">
            <v>Continuous</v>
          </cell>
          <cell r="T1285" t="str">
            <v>NONE NO KEY</v>
          </cell>
          <cell r="U1285" t="str">
            <v>40</v>
          </cell>
          <cell r="V1285" t="str">
            <v>3</v>
          </cell>
          <cell r="W1285" t="str">
            <v>60</v>
          </cell>
          <cell r="X1285" t="str">
            <v>460</v>
          </cell>
          <cell r="Y1285" t="str">
            <v>87.0</v>
          </cell>
          <cell r="AA1285" t="str">
            <v>F1</v>
          </cell>
          <cell r="AG1285" t="str">
            <v>HP</v>
          </cell>
          <cell r="AO1285" t="str">
            <v>B</v>
          </cell>
          <cell r="AP1285" t="str">
            <v>G</v>
          </cell>
          <cell r="AQ1285" t="str">
            <v>F</v>
          </cell>
          <cell r="AS1285" t="str">
            <v>1.15</v>
          </cell>
          <cell r="AT1285" t="str">
            <v>94.1</v>
          </cell>
          <cell r="AV1285" t="b">
            <v>0</v>
          </cell>
          <cell r="HD1285" t="str">
            <v>Repair Shop</v>
          </cell>
          <cell r="HT1285" t="b">
            <v>0</v>
          </cell>
          <cell r="HU1285" t="str">
            <v>VALERO REFINING CO. BENICIA</v>
          </cell>
        </row>
        <row r="1286">
          <cell r="A1286">
            <v>1463</v>
          </cell>
          <cell r="B1286" t="str">
            <v>VEM0420</v>
          </cell>
          <cell r="D1286" t="str">
            <v>CONHAGEN</v>
          </cell>
          <cell r="F1286" t="str">
            <v>Reliance</v>
          </cell>
          <cell r="I1286" t="str">
            <v>324HPZ</v>
          </cell>
          <cell r="K1286" t="str">
            <v>40</v>
          </cell>
          <cell r="L1286" t="str">
            <v>3560</v>
          </cell>
          <cell r="M1286" t="str">
            <v>P</v>
          </cell>
          <cell r="N1286" t="str">
            <v>703</v>
          </cell>
          <cell r="O1286" t="str">
            <v>None</v>
          </cell>
          <cell r="P1286" t="str">
            <v>TEFC</v>
          </cell>
          <cell r="R1286" t="str">
            <v>Continuous</v>
          </cell>
          <cell r="T1286" t="str">
            <v>NONE SPLINED</v>
          </cell>
          <cell r="V1286" t="str">
            <v>3</v>
          </cell>
          <cell r="W1286" t="str">
            <v>60</v>
          </cell>
          <cell r="X1286" t="str">
            <v>460</v>
          </cell>
          <cell r="Y1286" t="str">
            <v>45.4</v>
          </cell>
          <cell r="AA1286" t="str">
            <v>Vertical</v>
          </cell>
          <cell r="AD1286" t="str">
            <v>0</v>
          </cell>
          <cell r="AG1286" t="str">
            <v>HP</v>
          </cell>
          <cell r="AO1286" t="str">
            <v>B</v>
          </cell>
          <cell r="AP1286" t="str">
            <v>G</v>
          </cell>
          <cell r="AQ1286" t="str">
            <v>F</v>
          </cell>
          <cell r="AR1286" t="str">
            <v>87.6</v>
          </cell>
          <cell r="AS1286" t="str">
            <v>1.15</v>
          </cell>
          <cell r="AT1286" t="str">
            <v>94.1</v>
          </cell>
          <cell r="AV1286" t="b">
            <v>0</v>
          </cell>
          <cell r="EX1286" t="str">
            <v>1MAF92422  G002 PW</v>
          </cell>
          <cell r="HD1286" t="str">
            <v>Repair Shop</v>
          </cell>
          <cell r="HT1286" t="b">
            <v>0</v>
          </cell>
          <cell r="HU1286" t="str">
            <v>ALFRED CONHAGEN CO. OF CA</v>
          </cell>
        </row>
        <row r="1287">
          <cell r="A1287">
            <v>1462</v>
          </cell>
          <cell r="B1287" t="str">
            <v>VEM0419</v>
          </cell>
          <cell r="D1287" t="str">
            <v>UNICO</v>
          </cell>
          <cell r="F1287" t="str">
            <v>Baldor</v>
          </cell>
          <cell r="H1287" t="str">
            <v>F0702090705</v>
          </cell>
          <cell r="I1287" t="str">
            <v>215</v>
          </cell>
          <cell r="K1287" t="str">
            <v>5</v>
          </cell>
          <cell r="L1287" t="str">
            <v>1725</v>
          </cell>
          <cell r="O1287" t="str">
            <v>Full no Cord</v>
          </cell>
          <cell r="R1287" t="str">
            <v>Continuous</v>
          </cell>
          <cell r="T1287" t="str">
            <v>YES</v>
          </cell>
          <cell r="V1287" t="str">
            <v>1</v>
          </cell>
          <cell r="W1287" t="str">
            <v>60</v>
          </cell>
          <cell r="X1287" t="str">
            <v>230</v>
          </cell>
          <cell r="Y1287" t="str">
            <v>21</v>
          </cell>
          <cell r="AA1287" t="str">
            <v>F1</v>
          </cell>
          <cell r="AD1287" t="str">
            <v>0</v>
          </cell>
          <cell r="AG1287" t="str">
            <v>HP</v>
          </cell>
          <cell r="AO1287" t="str">
            <v>L</v>
          </cell>
          <cell r="AP1287" t="str">
            <v>J</v>
          </cell>
          <cell r="AQ1287" t="str">
            <v>B</v>
          </cell>
          <cell r="AR1287" t="str">
            <v>92</v>
          </cell>
          <cell r="AS1287" t="str">
            <v>1.00</v>
          </cell>
          <cell r="AT1287" t="str">
            <v>84</v>
          </cell>
          <cell r="AU1287" t="str">
            <v>37J18X11</v>
          </cell>
          <cell r="AV1287" t="b">
            <v>0</v>
          </cell>
          <cell r="EW1287" t="str">
            <v>L9020</v>
          </cell>
          <cell r="HD1287" t="str">
            <v>Repair Shop</v>
          </cell>
          <cell r="HT1287" t="b">
            <v>0</v>
          </cell>
          <cell r="HU1287" t="str">
            <v>UNICO MECHANICAL CORP.</v>
          </cell>
        </row>
        <row r="1288">
          <cell r="A1288">
            <v>1461</v>
          </cell>
          <cell r="B1288" t="str">
            <v>VEM0418</v>
          </cell>
          <cell r="D1288" t="str">
            <v>UNICO</v>
          </cell>
          <cell r="F1288" t="str">
            <v>Baldor</v>
          </cell>
          <cell r="H1288" t="str">
            <v>F1011305026</v>
          </cell>
          <cell r="I1288" t="str">
            <v>182T</v>
          </cell>
          <cell r="K1288" t="str">
            <v>2</v>
          </cell>
          <cell r="L1288" t="str">
            <v>1725</v>
          </cell>
          <cell r="O1288" t="str">
            <v>Full no Cord</v>
          </cell>
          <cell r="R1288" t="str">
            <v>Continuous</v>
          </cell>
          <cell r="S1288" t="str">
            <v>Yes</v>
          </cell>
          <cell r="T1288" t="str">
            <v>YES</v>
          </cell>
          <cell r="U1288" t="str">
            <v>40</v>
          </cell>
          <cell r="V1288" t="str">
            <v>1</v>
          </cell>
          <cell r="W1288" t="str">
            <v>60</v>
          </cell>
          <cell r="X1288" t="str">
            <v>115/230</v>
          </cell>
          <cell r="Y1288" t="str">
            <v>22/11</v>
          </cell>
          <cell r="AA1288" t="str">
            <v>F1</v>
          </cell>
          <cell r="AD1288" t="str">
            <v>0</v>
          </cell>
          <cell r="AG1288" t="str">
            <v>HP</v>
          </cell>
          <cell r="AO1288" t="str">
            <v>L</v>
          </cell>
          <cell r="AP1288" t="str">
            <v>H</v>
          </cell>
          <cell r="AQ1288" t="str">
            <v>B</v>
          </cell>
          <cell r="AR1288" t="str">
            <v>82</v>
          </cell>
          <cell r="AT1288" t="str">
            <v>75</v>
          </cell>
          <cell r="AU1288" t="str">
            <v>36N01-203</v>
          </cell>
          <cell r="AV1288" t="b">
            <v>0</v>
          </cell>
          <cell r="EW1288" t="str">
            <v>L5027T</v>
          </cell>
          <cell r="HD1288" t="str">
            <v>Repair Shop</v>
          </cell>
          <cell r="HT1288" t="b">
            <v>0</v>
          </cell>
          <cell r="HU1288" t="str">
            <v>UNICO MECHANICAL CORP.</v>
          </cell>
        </row>
        <row r="1289">
          <cell r="A1289">
            <v>1460</v>
          </cell>
          <cell r="B1289" t="str">
            <v>VEM0417</v>
          </cell>
          <cell r="D1289" t="str">
            <v>WALTON</v>
          </cell>
          <cell r="F1289" t="str">
            <v>FOREIGN</v>
          </cell>
          <cell r="H1289" t="str">
            <v>7047</v>
          </cell>
          <cell r="K1289" t="str">
            <v>13</v>
          </cell>
          <cell r="M1289" t="str">
            <v>G50e1t</v>
          </cell>
          <cell r="P1289" t="str">
            <v>TEFC</v>
          </cell>
          <cell r="R1289" t="str">
            <v>Intermittant</v>
          </cell>
          <cell r="V1289" t="str">
            <v>3</v>
          </cell>
          <cell r="W1289" t="str">
            <v>60</v>
          </cell>
          <cell r="X1289" t="str">
            <v>460</v>
          </cell>
          <cell r="Y1289" t="str">
            <v>30</v>
          </cell>
          <cell r="AD1289" t="str">
            <v>0</v>
          </cell>
          <cell r="AG1289" t="str">
            <v>KW</v>
          </cell>
          <cell r="AV1289" t="b">
            <v>0</v>
          </cell>
          <cell r="DD1289" t="str">
            <v>24VDC</v>
          </cell>
          <cell r="DE1289" t="str">
            <v>1.0</v>
          </cell>
          <cell r="DF1289" t="str">
            <v>OHMS 20</v>
          </cell>
          <cell r="HD1289" t="str">
            <v>Repair Shop</v>
          </cell>
          <cell r="HT1289" t="b">
            <v>0</v>
          </cell>
          <cell r="HU1289" t="str">
            <v>WALTON SAW AND KNIFE WORKS</v>
          </cell>
        </row>
        <row r="1290">
          <cell r="A1290">
            <v>1459</v>
          </cell>
          <cell r="B1290" t="str">
            <v>VEM0416</v>
          </cell>
          <cell r="D1290" t="str">
            <v>INTEGRATED</v>
          </cell>
          <cell r="F1290" t="str">
            <v>Siemens</v>
          </cell>
          <cell r="H1290" t="str">
            <v>02-B15T0004P2</v>
          </cell>
          <cell r="I1290" t="str">
            <v>215LP</v>
          </cell>
          <cell r="K1290" t="str">
            <v>10</v>
          </cell>
          <cell r="L1290" t="str">
            <v>3505</v>
          </cell>
          <cell r="M1290" t="str">
            <v>RGZVILESD</v>
          </cell>
          <cell r="O1290" t="str">
            <v>Full no Cord</v>
          </cell>
          <cell r="P1290" t="str">
            <v>TEFC</v>
          </cell>
          <cell r="R1290" t="str">
            <v>Continuous</v>
          </cell>
          <cell r="T1290" t="str">
            <v>NONE NO KEY</v>
          </cell>
          <cell r="U1290" t="str">
            <v>40</v>
          </cell>
          <cell r="V1290" t="str">
            <v>3</v>
          </cell>
          <cell r="W1290" t="str">
            <v>60</v>
          </cell>
          <cell r="X1290" t="str">
            <v>230/460</v>
          </cell>
          <cell r="Y1290" t="str">
            <v>23.0/11.5</v>
          </cell>
          <cell r="AA1290" t="str">
            <v>Vertical</v>
          </cell>
          <cell r="AD1290" t="str">
            <v>0</v>
          </cell>
          <cell r="AG1290" t="str">
            <v>HP</v>
          </cell>
          <cell r="AI1290" t="str">
            <v>6209</v>
          </cell>
          <cell r="AJ1290" t="str">
            <v>2-7309</v>
          </cell>
          <cell r="AP1290" t="str">
            <v>H</v>
          </cell>
          <cell r="AQ1290" t="str">
            <v>F</v>
          </cell>
          <cell r="AS1290" t="str">
            <v>1.15</v>
          </cell>
          <cell r="AT1290" t="str">
            <v>88.5</v>
          </cell>
          <cell r="AV1290" t="b">
            <v>0</v>
          </cell>
          <cell r="HD1290" t="str">
            <v>Repair Shop</v>
          </cell>
          <cell r="HT1290" t="b">
            <v>0</v>
          </cell>
          <cell r="HU1290" t="str">
            <v>INTEGRATED TURBO MACHINERY, INC.</v>
          </cell>
        </row>
        <row r="1291">
          <cell r="A1291">
            <v>1458</v>
          </cell>
          <cell r="B1291" t="str">
            <v>VEM0415</v>
          </cell>
          <cell r="D1291" t="str">
            <v>EECO</v>
          </cell>
          <cell r="F1291" t="str">
            <v>Baldor</v>
          </cell>
          <cell r="H1291" t="str">
            <v>F060206</v>
          </cell>
          <cell r="I1291" t="str">
            <v>215TC</v>
          </cell>
          <cell r="K1291" t="str">
            <v>10</v>
          </cell>
          <cell r="L1291" t="str">
            <v>1775</v>
          </cell>
          <cell r="O1291" t="str">
            <v>None</v>
          </cell>
          <cell r="P1291" t="str">
            <v>TEFC</v>
          </cell>
          <cell r="R1291" t="str">
            <v>Continuous</v>
          </cell>
          <cell r="V1291" t="str">
            <v>3</v>
          </cell>
          <cell r="W1291" t="str">
            <v>60</v>
          </cell>
          <cell r="X1291" t="str">
            <v>240/480</v>
          </cell>
          <cell r="Y1291" t="str">
            <v>29/14.5</v>
          </cell>
          <cell r="AD1291" t="str">
            <v>0</v>
          </cell>
          <cell r="AG1291" t="str">
            <v>HP</v>
          </cell>
          <cell r="AO1291" t="str">
            <v>B</v>
          </cell>
          <cell r="AQ1291" t="str">
            <v>F</v>
          </cell>
          <cell r="AV1291" t="b">
            <v>0</v>
          </cell>
          <cell r="GK1291" t="str">
            <v>12 LEADS</v>
          </cell>
          <cell r="HD1291" t="str">
            <v>Repair Shop</v>
          </cell>
          <cell r="HT1291" t="b">
            <v>0</v>
          </cell>
          <cell r="HU1291" t="str">
            <v>ELECTRICAL EQUIPMENT CO.</v>
          </cell>
        </row>
        <row r="1292">
          <cell r="A1292">
            <v>1457</v>
          </cell>
          <cell r="B1292" t="str">
            <v>VEM0414</v>
          </cell>
          <cell r="D1292" t="str">
            <v>PANPACIFIC</v>
          </cell>
          <cell r="F1292" t="str">
            <v>Baldor</v>
          </cell>
          <cell r="H1292" t="str">
            <v>Z1007261101</v>
          </cell>
          <cell r="I1292" t="str">
            <v>254VPZ</v>
          </cell>
          <cell r="K1292" t="str">
            <v>15</v>
          </cell>
          <cell r="L1292" t="str">
            <v>1765</v>
          </cell>
          <cell r="O1292" t="str">
            <v>Half no Cord</v>
          </cell>
          <cell r="P1292" t="str">
            <v>EXP</v>
          </cell>
          <cell r="R1292" t="str">
            <v>Continuous</v>
          </cell>
          <cell r="T1292" t="str">
            <v>NONE NO KEY</v>
          </cell>
          <cell r="U1292" t="str">
            <v>40</v>
          </cell>
          <cell r="V1292" t="str">
            <v>3</v>
          </cell>
          <cell r="W1292" t="str">
            <v>60</v>
          </cell>
          <cell r="X1292" t="str">
            <v>208-230/460</v>
          </cell>
          <cell r="Y1292" t="str">
            <v>37.4-35.4/17.7</v>
          </cell>
          <cell r="AA1292" t="str">
            <v>Vertical</v>
          </cell>
          <cell r="AD1292" t="str">
            <v>0</v>
          </cell>
          <cell r="AG1292" t="str">
            <v>HP</v>
          </cell>
          <cell r="AO1292" t="str">
            <v>B</v>
          </cell>
          <cell r="AQ1292" t="str">
            <v>F</v>
          </cell>
          <cell r="AR1292" t="str">
            <v>86</v>
          </cell>
          <cell r="AS1292" t="str">
            <v>1.15</v>
          </cell>
          <cell r="AT1292" t="str">
            <v>92.4</v>
          </cell>
          <cell r="AU1292" t="str">
            <v>09G275Y344G5</v>
          </cell>
          <cell r="AV1292" t="b">
            <v>0</v>
          </cell>
          <cell r="HA1292" t="str">
            <v>F</v>
          </cell>
          <cell r="HD1292" t="str">
            <v>Repair Shop</v>
          </cell>
          <cell r="HT1292" t="b">
            <v>0</v>
          </cell>
          <cell r="HU1292" t="str">
            <v>PAN PACIFIC SUPPLY CO.</v>
          </cell>
        </row>
        <row r="1293">
          <cell r="A1293">
            <v>1456</v>
          </cell>
          <cell r="B1293" t="str">
            <v>VEM0413</v>
          </cell>
          <cell r="D1293" t="str">
            <v>P66</v>
          </cell>
          <cell r="F1293" t="str">
            <v>GE</v>
          </cell>
          <cell r="G1293" t="str">
            <v>5KS256XAB208</v>
          </cell>
          <cell r="H1293" t="str">
            <v>RVP3174ML06B</v>
          </cell>
          <cell r="I1293" t="str">
            <v>256T</v>
          </cell>
          <cell r="K1293" t="str">
            <v>20</v>
          </cell>
          <cell r="L1293" t="str">
            <v>1770</v>
          </cell>
          <cell r="N1293" t="str">
            <v>350</v>
          </cell>
          <cell r="O1293" t="str">
            <v>Full no Cord</v>
          </cell>
          <cell r="P1293" t="str">
            <v>TEFC</v>
          </cell>
          <cell r="R1293" t="str">
            <v>Continuous</v>
          </cell>
          <cell r="T1293" t="str">
            <v>KEY ONLY</v>
          </cell>
          <cell r="U1293" t="str">
            <v>40</v>
          </cell>
          <cell r="V1293" t="str">
            <v>3</v>
          </cell>
          <cell r="W1293" t="str">
            <v>60</v>
          </cell>
          <cell r="X1293" t="str">
            <v>460</v>
          </cell>
          <cell r="Y1293" t="str">
            <v>23.4</v>
          </cell>
          <cell r="AA1293" t="str">
            <v>F1</v>
          </cell>
          <cell r="AG1293" t="str">
            <v>HP</v>
          </cell>
          <cell r="AO1293" t="str">
            <v>B</v>
          </cell>
          <cell r="AP1293" t="str">
            <v>G</v>
          </cell>
          <cell r="AR1293" t="str">
            <v>86.0</v>
          </cell>
          <cell r="AT1293" t="str">
            <v>92.4</v>
          </cell>
          <cell r="AV1293" t="b">
            <v>0</v>
          </cell>
          <cell r="EW1293" t="str">
            <v>M9439</v>
          </cell>
          <cell r="HD1293" t="str">
            <v>Repair Shop</v>
          </cell>
          <cell r="HT1293" t="b">
            <v>0</v>
          </cell>
          <cell r="HU1293" t="str">
            <v>PHILLIPS 66</v>
          </cell>
        </row>
        <row r="1294">
          <cell r="A1294">
            <v>1455</v>
          </cell>
          <cell r="B1294" t="str">
            <v>VEM0412</v>
          </cell>
          <cell r="D1294" t="str">
            <v>P66</v>
          </cell>
          <cell r="F1294" t="str">
            <v>Reliance</v>
          </cell>
          <cell r="I1294" t="str">
            <v>256T</v>
          </cell>
          <cell r="K1294" t="str">
            <v>20</v>
          </cell>
          <cell r="L1294" t="str">
            <v>1765</v>
          </cell>
          <cell r="M1294" t="str">
            <v>P</v>
          </cell>
          <cell r="O1294" t="str">
            <v>Full no Cord</v>
          </cell>
          <cell r="P1294" t="str">
            <v>TEFC</v>
          </cell>
          <cell r="R1294" t="str">
            <v>Continuous</v>
          </cell>
          <cell r="S1294" t="str">
            <v>NONE</v>
          </cell>
          <cell r="T1294" t="str">
            <v>NONE</v>
          </cell>
          <cell r="U1294" t="str">
            <v>40</v>
          </cell>
          <cell r="V1294" t="str">
            <v>3</v>
          </cell>
          <cell r="W1294" t="str">
            <v>60</v>
          </cell>
          <cell r="X1294" t="str">
            <v>460</v>
          </cell>
          <cell r="Y1294" t="str">
            <v>24.0</v>
          </cell>
          <cell r="AA1294" t="str">
            <v>F1</v>
          </cell>
          <cell r="AD1294" t="str">
            <v>0</v>
          </cell>
          <cell r="AG1294" t="str">
            <v>HP</v>
          </cell>
          <cell r="AO1294" t="str">
            <v>B</v>
          </cell>
          <cell r="AP1294" t="str">
            <v>G</v>
          </cell>
          <cell r="AR1294" t="str">
            <v>83.8</v>
          </cell>
          <cell r="AS1294" t="str">
            <v>1.15</v>
          </cell>
          <cell r="AT1294" t="str">
            <v>93.0</v>
          </cell>
          <cell r="AV1294" t="b">
            <v>0</v>
          </cell>
          <cell r="EX1294" t="str">
            <v>HM421183-009-AK</v>
          </cell>
          <cell r="HD1294" t="str">
            <v>Repair Shop</v>
          </cell>
          <cell r="HT1294" t="b">
            <v>0</v>
          </cell>
          <cell r="HU1294" t="str">
            <v>PHILLIPS 66</v>
          </cell>
        </row>
        <row r="1295">
          <cell r="A1295">
            <v>1454</v>
          </cell>
          <cell r="B1295" t="str">
            <v>VEM0411</v>
          </cell>
          <cell r="D1295" t="str">
            <v>P66</v>
          </cell>
          <cell r="F1295" t="str">
            <v>GE</v>
          </cell>
          <cell r="I1295" t="str">
            <v>213T</v>
          </cell>
          <cell r="K1295" t="str">
            <v>7.5</v>
          </cell>
          <cell r="L1295" t="str">
            <v>1765</v>
          </cell>
          <cell r="M1295" t="str">
            <v>KS</v>
          </cell>
          <cell r="N1295" t="str">
            <v>220</v>
          </cell>
          <cell r="O1295" t="str">
            <v>Full no Cord</v>
          </cell>
          <cell r="R1295" t="str">
            <v>Continuous</v>
          </cell>
          <cell r="S1295" t="str">
            <v>NONE</v>
          </cell>
          <cell r="T1295" t="str">
            <v>KEY ONLY</v>
          </cell>
          <cell r="V1295" t="str">
            <v>3</v>
          </cell>
          <cell r="W1295" t="str">
            <v>60</v>
          </cell>
          <cell r="X1295" t="str">
            <v>460</v>
          </cell>
          <cell r="Y1295" t="str">
            <v>9.4</v>
          </cell>
          <cell r="AA1295" t="str">
            <v>F1</v>
          </cell>
          <cell r="AG1295" t="str">
            <v>HP</v>
          </cell>
          <cell r="AO1295" t="str">
            <v>B</v>
          </cell>
          <cell r="AP1295" t="str">
            <v>H</v>
          </cell>
          <cell r="AR1295" t="str">
            <v>82.0</v>
          </cell>
          <cell r="AT1295" t="str">
            <v>91.7</v>
          </cell>
          <cell r="AV1295" t="b">
            <v>0</v>
          </cell>
          <cell r="EW1295" t="str">
            <v>9911E</v>
          </cell>
          <cell r="GK1295" t="str">
            <v>JB HAS SMALL JB ATTACHED TO IT</v>
          </cell>
          <cell r="HD1295" t="str">
            <v>Repair Shop</v>
          </cell>
          <cell r="HT1295" t="b">
            <v>0</v>
          </cell>
          <cell r="HU1295" t="str">
            <v>PHILLIPS 66</v>
          </cell>
        </row>
        <row r="1296">
          <cell r="A1296">
            <v>1453</v>
          </cell>
          <cell r="B1296" t="str">
            <v>VEM0410</v>
          </cell>
          <cell r="D1296" t="str">
            <v>P66</v>
          </cell>
          <cell r="F1296" t="str">
            <v>US Motors</v>
          </cell>
          <cell r="H1296" t="str">
            <v>P4302323</v>
          </cell>
          <cell r="I1296" t="str">
            <v>286T</v>
          </cell>
          <cell r="K1296" t="str">
            <v>30</v>
          </cell>
          <cell r="L1296" t="str">
            <v>1760</v>
          </cell>
          <cell r="O1296" t="str">
            <v>None</v>
          </cell>
          <cell r="P1296" t="str">
            <v>TEFC</v>
          </cell>
          <cell r="R1296" t="str">
            <v>Continuous</v>
          </cell>
          <cell r="S1296" t="str">
            <v>NONE</v>
          </cell>
          <cell r="T1296" t="str">
            <v>KEY ONLY</v>
          </cell>
          <cell r="U1296" t="str">
            <v>40</v>
          </cell>
          <cell r="V1296" t="str">
            <v>3</v>
          </cell>
          <cell r="W1296" t="str">
            <v>60</v>
          </cell>
          <cell r="X1296" t="str">
            <v>230/460</v>
          </cell>
          <cell r="Y1296" t="str">
            <v>73/36.5</v>
          </cell>
          <cell r="AA1296" t="str">
            <v>F1</v>
          </cell>
          <cell r="AD1296" t="str">
            <v>0</v>
          </cell>
          <cell r="AG1296" t="str">
            <v>HP</v>
          </cell>
          <cell r="AO1296" t="str">
            <v>B</v>
          </cell>
          <cell r="AP1296" t="str">
            <v>G</v>
          </cell>
          <cell r="AQ1296" t="str">
            <v>B</v>
          </cell>
          <cell r="AS1296" t="str">
            <v>1.0</v>
          </cell>
          <cell r="AV1296" t="b">
            <v>0</v>
          </cell>
          <cell r="HD1296" t="str">
            <v>Repair Shop</v>
          </cell>
          <cell r="HT1296" t="b">
            <v>0</v>
          </cell>
          <cell r="HU1296" t="str">
            <v>PHILLIPS 66</v>
          </cell>
        </row>
        <row r="1297">
          <cell r="A1297">
            <v>1452</v>
          </cell>
          <cell r="B1297" t="str">
            <v>VEM0409</v>
          </cell>
          <cell r="D1297" t="str">
            <v>VALERO</v>
          </cell>
          <cell r="F1297" t="str">
            <v>Westinghouse</v>
          </cell>
          <cell r="G1297" t="str">
            <v>TAFC</v>
          </cell>
          <cell r="H1297" t="str">
            <v>7707</v>
          </cell>
          <cell r="I1297" t="str">
            <v>405TS</v>
          </cell>
          <cell r="K1297" t="str">
            <v>100</v>
          </cell>
          <cell r="L1297" t="str">
            <v>1780</v>
          </cell>
          <cell r="O1297" t="str">
            <v>Full no Cord</v>
          </cell>
          <cell r="P1297" t="str">
            <v>TEFC</v>
          </cell>
          <cell r="R1297" t="str">
            <v>Continuous</v>
          </cell>
          <cell r="T1297" t="str">
            <v>YES</v>
          </cell>
          <cell r="U1297" t="str">
            <v>40</v>
          </cell>
          <cell r="V1297" t="str">
            <v>3</v>
          </cell>
          <cell r="W1297" t="str">
            <v>60</v>
          </cell>
          <cell r="X1297" t="str">
            <v>230/460</v>
          </cell>
          <cell r="Y1297" t="str">
            <v>226/113</v>
          </cell>
          <cell r="AA1297" t="str">
            <v>F1</v>
          </cell>
          <cell r="AD1297" t="str">
            <v>0</v>
          </cell>
          <cell r="AG1297" t="str">
            <v>HP</v>
          </cell>
          <cell r="AO1297" t="str">
            <v>A</v>
          </cell>
          <cell r="AP1297" t="str">
            <v>H</v>
          </cell>
          <cell r="AQ1297" t="str">
            <v>B</v>
          </cell>
          <cell r="AS1297" t="str">
            <v>1.0</v>
          </cell>
          <cell r="AV1297" t="b">
            <v>0</v>
          </cell>
          <cell r="EY1297" t="str">
            <v>680B104G58</v>
          </cell>
          <cell r="HD1297" t="str">
            <v>Repair Shop</v>
          </cell>
          <cell r="HT1297" t="b">
            <v>0</v>
          </cell>
          <cell r="HU1297" t="str">
            <v>VALERO REFINING CO. BENICIA</v>
          </cell>
        </row>
        <row r="1298">
          <cell r="A1298">
            <v>1451</v>
          </cell>
          <cell r="B1298" t="str">
            <v>VEM0408</v>
          </cell>
          <cell r="D1298" t="str">
            <v>VALERO</v>
          </cell>
          <cell r="F1298" t="str">
            <v>Toshiba</v>
          </cell>
          <cell r="G1298" t="str">
            <v>B0024FLF2UMW</v>
          </cell>
          <cell r="H1298" t="str">
            <v>0006080005</v>
          </cell>
          <cell r="I1298" t="str">
            <v>145T</v>
          </cell>
          <cell r="K1298" t="str">
            <v>2</v>
          </cell>
          <cell r="L1298" t="str">
            <v>1735</v>
          </cell>
          <cell r="M1298" t="str">
            <v>IK</v>
          </cell>
          <cell r="O1298" t="str">
            <v>Full no Cord</v>
          </cell>
          <cell r="P1298" t="str">
            <v>TEFC</v>
          </cell>
          <cell r="R1298" t="str">
            <v>Continuous</v>
          </cell>
          <cell r="T1298" t="str">
            <v>WITH FAN</v>
          </cell>
          <cell r="U1298" t="str">
            <v>40</v>
          </cell>
          <cell r="V1298" t="str">
            <v>3</v>
          </cell>
          <cell r="W1298" t="str">
            <v>60</v>
          </cell>
          <cell r="X1298" t="str">
            <v>230/460</v>
          </cell>
          <cell r="Y1298" t="str">
            <v>5.8/2.9</v>
          </cell>
          <cell r="AD1298" t="str">
            <v>0</v>
          </cell>
          <cell r="AG1298" t="str">
            <v>HP</v>
          </cell>
          <cell r="AO1298" t="str">
            <v>B</v>
          </cell>
          <cell r="AP1298" t="str">
            <v>L</v>
          </cell>
          <cell r="AQ1298" t="str">
            <v>F</v>
          </cell>
          <cell r="AT1298" t="str">
            <v>84.0</v>
          </cell>
          <cell r="AV1298" t="b">
            <v>0</v>
          </cell>
          <cell r="HD1298" t="str">
            <v>Repair Shop</v>
          </cell>
          <cell r="HT1298" t="b">
            <v>0</v>
          </cell>
          <cell r="HU1298" t="str">
            <v>VALERO REFINING CO. BENICIA</v>
          </cell>
        </row>
        <row r="1299">
          <cell r="A1299">
            <v>1450</v>
          </cell>
          <cell r="B1299" t="str">
            <v>VEM0407</v>
          </cell>
          <cell r="D1299" t="str">
            <v>CONHAGEN</v>
          </cell>
          <cell r="F1299" t="str">
            <v>US Motors</v>
          </cell>
          <cell r="H1299" t="str">
            <v>P4374105</v>
          </cell>
          <cell r="I1299" t="str">
            <v>215P</v>
          </cell>
          <cell r="K1299" t="str">
            <v>5</v>
          </cell>
          <cell r="L1299" t="str">
            <v>1800</v>
          </cell>
          <cell r="M1299" t="str">
            <v>JVA</v>
          </cell>
          <cell r="O1299" t="str">
            <v>None</v>
          </cell>
          <cell r="P1299" t="str">
            <v>TEFC</v>
          </cell>
          <cell r="R1299" t="str">
            <v>Continuous</v>
          </cell>
          <cell r="T1299" t="str">
            <v>YES</v>
          </cell>
          <cell r="U1299" t="str">
            <v>55</v>
          </cell>
          <cell r="V1299" t="str">
            <v>3</v>
          </cell>
          <cell r="W1299" t="str">
            <v>60</v>
          </cell>
          <cell r="X1299" t="str">
            <v>230/460</v>
          </cell>
          <cell r="Y1299" t="str">
            <v>13.6/6.8</v>
          </cell>
          <cell r="AA1299" t="str">
            <v>Vertical</v>
          </cell>
          <cell r="AD1299" t="str">
            <v>0</v>
          </cell>
          <cell r="AG1299" t="str">
            <v>HP</v>
          </cell>
          <cell r="AO1299" t="str">
            <v>B</v>
          </cell>
          <cell r="AP1299" t="str">
            <v>H</v>
          </cell>
          <cell r="AS1299" t="str">
            <v>1.0</v>
          </cell>
          <cell r="AV1299" t="b">
            <v>0</v>
          </cell>
          <cell r="GK1299" t="str">
            <v>LEADS SEALED</v>
          </cell>
          <cell r="HD1299" t="str">
            <v>Repair Shop</v>
          </cell>
          <cell r="HT1299" t="b">
            <v>0</v>
          </cell>
          <cell r="HU1299" t="str">
            <v>ALFRED CONHAGEN CO. OF CA</v>
          </cell>
        </row>
        <row r="1300">
          <cell r="A1300">
            <v>1449</v>
          </cell>
          <cell r="B1300" t="str">
            <v>VEM0406</v>
          </cell>
          <cell r="D1300" t="str">
            <v>GONZELECT</v>
          </cell>
          <cell r="F1300" t="str">
            <v>KIESEL</v>
          </cell>
          <cell r="O1300" t="str">
            <v>Full w/ Cord</v>
          </cell>
          <cell r="P1300" t="str">
            <v>TEFC</v>
          </cell>
          <cell r="R1300" t="str">
            <v>Continuous</v>
          </cell>
          <cell r="V1300" t="str">
            <v>3</v>
          </cell>
          <cell r="W1300" t="str">
            <v>60</v>
          </cell>
          <cell r="AD1300" t="str">
            <v>0</v>
          </cell>
          <cell r="AV1300" t="b">
            <v>0</v>
          </cell>
          <cell r="HD1300" t="str">
            <v>Repair Shop</v>
          </cell>
          <cell r="HT1300" t="b">
            <v>0</v>
          </cell>
          <cell r="HU1300" t="str">
            <v>GONZALEZ ELECTRIC</v>
          </cell>
        </row>
        <row r="1301">
          <cell r="A1301">
            <v>1448</v>
          </cell>
          <cell r="B1301" t="str">
            <v>VEM0405</v>
          </cell>
          <cell r="D1301" t="str">
            <v>CONHAGEN</v>
          </cell>
          <cell r="F1301" t="str">
            <v>Westinghouse</v>
          </cell>
          <cell r="G1301" t="str">
            <v>TBFC</v>
          </cell>
          <cell r="H1301" t="str">
            <v>7009</v>
          </cell>
          <cell r="I1301" t="str">
            <v>256T</v>
          </cell>
          <cell r="K1301" t="str">
            <v>20</v>
          </cell>
          <cell r="L1301" t="str">
            <v>3505</v>
          </cell>
          <cell r="O1301" t="str">
            <v>Full no Cord</v>
          </cell>
          <cell r="P1301" t="str">
            <v>TEFC</v>
          </cell>
          <cell r="R1301" t="str">
            <v>Continuous</v>
          </cell>
          <cell r="S1301" t="str">
            <v>Yes</v>
          </cell>
          <cell r="T1301" t="str">
            <v>NONE NO KEY</v>
          </cell>
          <cell r="U1301" t="str">
            <v>40</v>
          </cell>
          <cell r="V1301" t="str">
            <v>3</v>
          </cell>
          <cell r="W1301" t="str">
            <v>60</v>
          </cell>
          <cell r="X1301" t="str">
            <v>230/460</v>
          </cell>
          <cell r="Y1301" t="str">
            <v>46.8/23.4</v>
          </cell>
          <cell r="AA1301" t="str">
            <v>Vertical</v>
          </cell>
          <cell r="AD1301" t="str">
            <v>-1</v>
          </cell>
          <cell r="AG1301" t="str">
            <v>HP</v>
          </cell>
          <cell r="AI1301" t="str">
            <v>2736D30G02</v>
          </cell>
          <cell r="AJ1301" t="str">
            <v>2736D20604</v>
          </cell>
          <cell r="AO1301" t="str">
            <v>B</v>
          </cell>
          <cell r="AP1301" t="str">
            <v>F</v>
          </cell>
          <cell r="AS1301" t="str">
            <v>1.0</v>
          </cell>
          <cell r="AV1301" t="b">
            <v>0</v>
          </cell>
          <cell r="EY1301" t="str">
            <v>70A65345</v>
          </cell>
          <cell r="HD1301" t="str">
            <v>Repair Shop</v>
          </cell>
          <cell r="HT1301" t="b">
            <v>0</v>
          </cell>
          <cell r="HU1301" t="str">
            <v>ALFRED CONHAGEN CO. OF CA</v>
          </cell>
        </row>
        <row r="1302">
          <cell r="A1302">
            <v>1447</v>
          </cell>
          <cell r="B1302" t="str">
            <v>0410</v>
          </cell>
          <cell r="D1302" t="str">
            <v>MAREISLDRYDK</v>
          </cell>
          <cell r="F1302" t="str">
            <v>Reliance</v>
          </cell>
          <cell r="G1302" t="str">
            <v>17ZY893994</v>
          </cell>
          <cell r="I1302" t="str">
            <v>286TSD</v>
          </cell>
          <cell r="K1302" t="str">
            <v>20</v>
          </cell>
          <cell r="L1302" t="str">
            <v>1200</v>
          </cell>
          <cell r="P1302" t="str">
            <v>TE</v>
          </cell>
          <cell r="X1302" t="str">
            <v>440</v>
          </cell>
          <cell r="AG1302" t="str">
            <v>HP</v>
          </cell>
          <cell r="AV1302" t="b">
            <v>0</v>
          </cell>
          <cell r="AX1302" t="str">
            <v>6</v>
          </cell>
          <cell r="HD1302" t="str">
            <v>Repair Shop</v>
          </cell>
          <cell r="HT1302" t="b">
            <v>0</v>
          </cell>
          <cell r="HU1302" t="str">
            <v>MARE ISLAND DRY DOCK</v>
          </cell>
        </row>
        <row r="1303">
          <cell r="A1303">
            <v>1446</v>
          </cell>
          <cell r="B1303" t="str">
            <v>0409</v>
          </cell>
          <cell r="D1303" t="str">
            <v>MAREISLDRYDK</v>
          </cell>
          <cell r="F1303" t="str">
            <v>Reliance</v>
          </cell>
          <cell r="G1303" t="str">
            <v>11MA893994</v>
          </cell>
          <cell r="I1303" t="str">
            <v>286TD</v>
          </cell>
          <cell r="K1303" t="str">
            <v>10</v>
          </cell>
          <cell r="L1303" t="str">
            <v>1800</v>
          </cell>
          <cell r="P1303" t="str">
            <v>TE</v>
          </cell>
          <cell r="X1303" t="str">
            <v>440</v>
          </cell>
          <cell r="AG1303" t="str">
            <v>HP</v>
          </cell>
          <cell r="AV1303" t="b">
            <v>0</v>
          </cell>
          <cell r="AX1303" t="str">
            <v>4</v>
          </cell>
          <cell r="HD1303" t="str">
            <v>Repair Shop</v>
          </cell>
          <cell r="HT1303" t="b">
            <v>0</v>
          </cell>
          <cell r="HU1303" t="str">
            <v>MARE ISLAND DRY DOCK</v>
          </cell>
        </row>
        <row r="1304">
          <cell r="A1304">
            <v>1445</v>
          </cell>
          <cell r="B1304" t="str">
            <v>0408</v>
          </cell>
          <cell r="D1304" t="str">
            <v>MAREISLDRYDK</v>
          </cell>
          <cell r="F1304" t="str">
            <v>Reliance</v>
          </cell>
          <cell r="G1304" t="str">
            <v>12ZY893994</v>
          </cell>
          <cell r="I1304" t="str">
            <v>L215TD</v>
          </cell>
          <cell r="K1304" t="str">
            <v>10</v>
          </cell>
          <cell r="L1304" t="str">
            <v>1800</v>
          </cell>
          <cell r="P1304" t="str">
            <v>TE</v>
          </cell>
          <cell r="V1304" t="str">
            <v>3</v>
          </cell>
          <cell r="W1304" t="str">
            <v>60</v>
          </cell>
          <cell r="X1304" t="str">
            <v>440</v>
          </cell>
          <cell r="AG1304" t="str">
            <v>HP</v>
          </cell>
          <cell r="AV1304" t="b">
            <v>0</v>
          </cell>
          <cell r="AX1304" t="str">
            <v>4</v>
          </cell>
          <cell r="HD1304" t="str">
            <v>Repair Shop</v>
          </cell>
          <cell r="HT1304" t="b">
            <v>0</v>
          </cell>
          <cell r="HU1304" t="str">
            <v>MARE ISLAND DRY DOCK</v>
          </cell>
        </row>
        <row r="1305">
          <cell r="A1305">
            <v>1444</v>
          </cell>
          <cell r="B1305" t="str">
            <v>0407</v>
          </cell>
          <cell r="D1305" t="str">
            <v>MAREISLDRYDK</v>
          </cell>
          <cell r="F1305" t="str">
            <v>Reliance</v>
          </cell>
          <cell r="G1305" t="str">
            <v>3MA893994</v>
          </cell>
          <cell r="I1305" t="str">
            <v>256TD</v>
          </cell>
          <cell r="K1305" t="str">
            <v>20</v>
          </cell>
          <cell r="L1305" t="str">
            <v>1665</v>
          </cell>
          <cell r="P1305" t="str">
            <v>TE</v>
          </cell>
          <cell r="X1305" t="str">
            <v>440</v>
          </cell>
          <cell r="AG1305" t="str">
            <v>HP</v>
          </cell>
          <cell r="AV1305" t="b">
            <v>0</v>
          </cell>
          <cell r="AX1305" t="str">
            <v>4</v>
          </cell>
          <cell r="HD1305" t="str">
            <v>Repair Shop</v>
          </cell>
          <cell r="HT1305" t="b">
            <v>0</v>
          </cell>
          <cell r="HU1305" t="str">
            <v>MARE ISLAND DRY DOCK</v>
          </cell>
        </row>
        <row r="1306">
          <cell r="A1306">
            <v>1443</v>
          </cell>
          <cell r="B1306" t="str">
            <v>0406</v>
          </cell>
          <cell r="D1306" t="str">
            <v>MAREISLDRYDK</v>
          </cell>
          <cell r="F1306" t="str">
            <v>Reliance</v>
          </cell>
          <cell r="G1306" t="str">
            <v>72MA893994</v>
          </cell>
          <cell r="I1306" t="str">
            <v>405HP</v>
          </cell>
          <cell r="K1306" t="str">
            <v>100</v>
          </cell>
          <cell r="L1306" t="str">
            <v>1800</v>
          </cell>
          <cell r="P1306" t="str">
            <v>TE</v>
          </cell>
          <cell r="V1306" t="str">
            <v>3</v>
          </cell>
          <cell r="W1306" t="str">
            <v>60</v>
          </cell>
          <cell r="X1306" t="str">
            <v>440</v>
          </cell>
          <cell r="AG1306" t="str">
            <v>HP</v>
          </cell>
          <cell r="AV1306" t="b">
            <v>0</v>
          </cell>
          <cell r="AX1306" t="str">
            <v>4</v>
          </cell>
          <cell r="HD1306" t="str">
            <v>Repair Shop</v>
          </cell>
          <cell r="HT1306" t="b">
            <v>0</v>
          </cell>
          <cell r="HU1306" t="str">
            <v>MARE ISLAND DRY DOCK</v>
          </cell>
        </row>
        <row r="1307">
          <cell r="A1307">
            <v>1442</v>
          </cell>
          <cell r="B1307" t="str">
            <v>0405</v>
          </cell>
          <cell r="D1307" t="str">
            <v>MAREISLDRYDK</v>
          </cell>
          <cell r="F1307" t="str">
            <v>Reliance</v>
          </cell>
          <cell r="G1307" t="str">
            <v>20MA893994</v>
          </cell>
          <cell r="I1307" t="str">
            <v>445HPH</v>
          </cell>
          <cell r="K1307" t="str">
            <v>200</v>
          </cell>
          <cell r="L1307" t="str">
            <v>1800</v>
          </cell>
          <cell r="P1307" t="str">
            <v>TE</v>
          </cell>
          <cell r="V1307" t="str">
            <v>3</v>
          </cell>
          <cell r="W1307" t="str">
            <v>60</v>
          </cell>
          <cell r="X1307" t="str">
            <v>440</v>
          </cell>
          <cell r="AG1307" t="str">
            <v>HP</v>
          </cell>
          <cell r="AV1307" t="b">
            <v>0</v>
          </cell>
          <cell r="AX1307" t="str">
            <v>4</v>
          </cell>
          <cell r="HD1307" t="str">
            <v>Repair Shop</v>
          </cell>
          <cell r="HT1307" t="b">
            <v>0</v>
          </cell>
          <cell r="HU1307" t="str">
            <v>MARE ISLAND DRY DOCK</v>
          </cell>
        </row>
        <row r="1308">
          <cell r="A1308">
            <v>1441</v>
          </cell>
          <cell r="B1308" t="str">
            <v>VEM0404</v>
          </cell>
          <cell r="D1308" t="str">
            <v>MAREISLDRYDK</v>
          </cell>
          <cell r="F1308" t="str">
            <v>Reliance</v>
          </cell>
          <cell r="G1308" t="str">
            <v>19ZY893994</v>
          </cell>
          <cell r="I1308" t="str">
            <v>5010P</v>
          </cell>
          <cell r="K1308" t="str">
            <v>200</v>
          </cell>
          <cell r="L1308" t="str">
            <v>1200</v>
          </cell>
          <cell r="P1308" t="str">
            <v>TE</v>
          </cell>
          <cell r="V1308" t="str">
            <v>3</v>
          </cell>
          <cell r="X1308" t="str">
            <v>440</v>
          </cell>
          <cell r="AG1308" t="str">
            <v>HP</v>
          </cell>
          <cell r="AV1308" t="b">
            <v>0</v>
          </cell>
          <cell r="AX1308" t="str">
            <v>6</v>
          </cell>
          <cell r="HD1308" t="str">
            <v>Repair Shop</v>
          </cell>
          <cell r="HT1308" t="b">
            <v>0</v>
          </cell>
          <cell r="HU1308" t="str">
            <v>MARE ISLAND DRY DOCK</v>
          </cell>
        </row>
        <row r="1309">
          <cell r="A1309">
            <v>1440</v>
          </cell>
          <cell r="B1309" t="str">
            <v>VEM0403</v>
          </cell>
          <cell r="D1309" t="str">
            <v>VALLEJOSAN</v>
          </cell>
          <cell r="AD1309" t="str">
            <v>0</v>
          </cell>
          <cell r="AG1309" t="str">
            <v>HP</v>
          </cell>
          <cell r="AV1309" t="b">
            <v>0</v>
          </cell>
          <cell r="HD1309" t="str">
            <v>Repair Shop</v>
          </cell>
          <cell r="HT1309" t="b">
            <v>0</v>
          </cell>
          <cell r="HU1309" t="str">
            <v>VALLEJO FLOOD &amp; WASTEWATER DISTRICT</v>
          </cell>
        </row>
        <row r="1310">
          <cell r="A1310">
            <v>1439</v>
          </cell>
          <cell r="B1310" t="str">
            <v>VEM0402</v>
          </cell>
          <cell r="D1310" t="str">
            <v>CONHAGEN</v>
          </cell>
          <cell r="F1310" t="str">
            <v>Reliance</v>
          </cell>
          <cell r="I1310" t="str">
            <v>210TC</v>
          </cell>
          <cell r="K1310" t="str">
            <v>7.5</v>
          </cell>
          <cell r="L1310" t="str">
            <v>1755</v>
          </cell>
          <cell r="M1310" t="str">
            <v>P</v>
          </cell>
          <cell r="O1310" t="str">
            <v>Full no Cord</v>
          </cell>
          <cell r="P1310" t="str">
            <v>TEFC</v>
          </cell>
          <cell r="Q1310" t="str">
            <v>NONE</v>
          </cell>
          <cell r="R1310" t="str">
            <v>Continuous</v>
          </cell>
          <cell r="S1310" t="str">
            <v>NONE</v>
          </cell>
          <cell r="T1310" t="str">
            <v>NONE</v>
          </cell>
          <cell r="U1310" t="str">
            <v>40C</v>
          </cell>
          <cell r="V1310" t="str">
            <v>3</v>
          </cell>
          <cell r="W1310" t="str">
            <v>60</v>
          </cell>
          <cell r="X1310" t="str">
            <v>230/460</v>
          </cell>
          <cell r="Z1310" t="str">
            <v>VRING</v>
          </cell>
          <cell r="AA1310" t="str">
            <v>Vertical</v>
          </cell>
          <cell r="AD1310" t="str">
            <v>0</v>
          </cell>
          <cell r="AG1310" t="str">
            <v>HP</v>
          </cell>
          <cell r="AI1310" t="str">
            <v>6207ZZ</v>
          </cell>
          <cell r="AJ1310" t="str">
            <v>6206ZZ</v>
          </cell>
          <cell r="AO1310" t="str">
            <v>B</v>
          </cell>
          <cell r="AP1310" t="str">
            <v>F</v>
          </cell>
          <cell r="AQ1310" t="str">
            <v>F</v>
          </cell>
          <cell r="AS1310" t="str">
            <v>1.15</v>
          </cell>
          <cell r="AT1310" t="str">
            <v>84</v>
          </cell>
          <cell r="AV1310" t="b">
            <v>0</v>
          </cell>
          <cell r="AW1310" t="str">
            <v>21/10.5</v>
          </cell>
          <cell r="EX1310" t="str">
            <v>P21G1107A</v>
          </cell>
          <cell r="HD1310" t="str">
            <v>Repair Shop</v>
          </cell>
          <cell r="HT1310" t="b">
            <v>0</v>
          </cell>
          <cell r="HU1310" t="str">
            <v>ALFRED CONHAGEN CO. OF CA</v>
          </cell>
        </row>
        <row r="1311">
          <cell r="A1311">
            <v>1438</v>
          </cell>
          <cell r="B1311" t="str">
            <v>VEM0401</v>
          </cell>
          <cell r="D1311" t="str">
            <v>CLEANHARBORS</v>
          </cell>
          <cell r="F1311" t="str">
            <v>Baldor</v>
          </cell>
          <cell r="H1311" t="str">
            <v>Z1511120215</v>
          </cell>
          <cell r="I1311" t="str">
            <v>256T</v>
          </cell>
          <cell r="K1311" t="str">
            <v>20</v>
          </cell>
          <cell r="L1311" t="str">
            <v>3530</v>
          </cell>
          <cell r="O1311" t="str">
            <v>Full no Cord</v>
          </cell>
          <cell r="P1311" t="str">
            <v>EXP</v>
          </cell>
          <cell r="R1311" t="str">
            <v>Continuous</v>
          </cell>
          <cell r="S1311" t="str">
            <v>Yes</v>
          </cell>
          <cell r="T1311" t="str">
            <v>YES</v>
          </cell>
          <cell r="U1311" t="str">
            <v>40</v>
          </cell>
          <cell r="V1311" t="str">
            <v>3</v>
          </cell>
          <cell r="W1311" t="str">
            <v>60</v>
          </cell>
          <cell r="X1311" t="str">
            <v>230/460</v>
          </cell>
          <cell r="Y1311" t="str">
            <v>46/23</v>
          </cell>
          <cell r="AA1311" t="str">
            <v>F2</v>
          </cell>
          <cell r="AD1311" t="str">
            <v>0</v>
          </cell>
          <cell r="AG1311" t="str">
            <v>HP</v>
          </cell>
          <cell r="AO1311" t="str">
            <v>A</v>
          </cell>
          <cell r="AP1311" t="str">
            <v>H</v>
          </cell>
          <cell r="AQ1311" t="str">
            <v>F</v>
          </cell>
          <cell r="AR1311" t="str">
            <v>89</v>
          </cell>
          <cell r="AS1311" t="str">
            <v>1.00</v>
          </cell>
          <cell r="AT1311" t="str">
            <v>91</v>
          </cell>
          <cell r="AU1311" t="str">
            <v>09E270Z601G1</v>
          </cell>
          <cell r="AV1311" t="b">
            <v>0</v>
          </cell>
          <cell r="EW1311" t="str">
            <v>EM7059T</v>
          </cell>
          <cell r="GK1311" t="str">
            <v>NO LOAD AMPS 6,5</v>
          </cell>
          <cell r="HD1311" t="str">
            <v>Repair Shop</v>
          </cell>
          <cell r="HT1311" t="b">
            <v>0</v>
          </cell>
          <cell r="HU1311" t="str">
            <v>CLEAN HARBORS</v>
          </cell>
        </row>
        <row r="1312">
          <cell r="A1312">
            <v>1437</v>
          </cell>
          <cell r="B1312" t="str">
            <v>VEM0400</v>
          </cell>
          <cell r="D1312" t="str">
            <v>P66</v>
          </cell>
          <cell r="F1312" t="str">
            <v>Westinghouse</v>
          </cell>
          <cell r="H1312" t="str">
            <v>7001</v>
          </cell>
          <cell r="I1312" t="str">
            <v>182TP</v>
          </cell>
          <cell r="K1312" t="str">
            <v>1.5</v>
          </cell>
          <cell r="L1312" t="str">
            <v>1740</v>
          </cell>
          <cell r="P1312" t="str">
            <v>TEFC</v>
          </cell>
          <cell r="X1312" t="str">
            <v>230/460</v>
          </cell>
          <cell r="AD1312" t="str">
            <v>0</v>
          </cell>
          <cell r="AG1312" t="str">
            <v>HP</v>
          </cell>
          <cell r="AV1312" t="b">
            <v>0</v>
          </cell>
          <cell r="AW1312" t="str">
            <v>4.6/2.3</v>
          </cell>
          <cell r="AX1312" t="str">
            <v>4</v>
          </cell>
          <cell r="HD1312" t="str">
            <v>Repair Shop</v>
          </cell>
          <cell r="HT1312" t="b">
            <v>0</v>
          </cell>
          <cell r="HU1312" t="str">
            <v>PHILLIPS 66</v>
          </cell>
        </row>
        <row r="1313">
          <cell r="A1313">
            <v>1436</v>
          </cell>
          <cell r="B1313" t="str">
            <v>VEM0399</v>
          </cell>
          <cell r="D1313" t="str">
            <v>C&amp;H</v>
          </cell>
          <cell r="F1313" t="str">
            <v>Westinghouse</v>
          </cell>
          <cell r="G1313" t="str">
            <v>ABFC</v>
          </cell>
          <cell r="H1313" t="str">
            <v>6404</v>
          </cell>
          <cell r="I1313" t="str">
            <v>326UY</v>
          </cell>
          <cell r="K1313" t="str">
            <v>30</v>
          </cell>
          <cell r="L1313" t="str">
            <v>1765</v>
          </cell>
          <cell r="O1313" t="str">
            <v>None</v>
          </cell>
          <cell r="P1313" t="str">
            <v>TEFC</v>
          </cell>
          <cell r="R1313" t="str">
            <v>Continuous</v>
          </cell>
          <cell r="S1313" t="str">
            <v>Yes</v>
          </cell>
          <cell r="T1313" t="str">
            <v>Other</v>
          </cell>
          <cell r="U1313" t="str">
            <v>40</v>
          </cell>
          <cell r="V1313" t="str">
            <v>3</v>
          </cell>
          <cell r="W1313" t="str">
            <v>60</v>
          </cell>
          <cell r="X1313" t="str">
            <v>208-230/460</v>
          </cell>
          <cell r="Y1313" t="str">
            <v>75-74/37</v>
          </cell>
          <cell r="AA1313" t="str">
            <v>F1</v>
          </cell>
          <cell r="AD1313" t="str">
            <v>0</v>
          </cell>
          <cell r="AG1313" t="str">
            <v>HP</v>
          </cell>
          <cell r="AP1313" t="str">
            <v>G</v>
          </cell>
          <cell r="AV1313" t="b">
            <v>0</v>
          </cell>
          <cell r="GK1313" t="str">
            <v>3 LEADS ONLY</v>
          </cell>
          <cell r="GL1313" t="str">
            <v>PINION GEAR ON SHAFT</v>
          </cell>
          <cell r="HD1313" t="str">
            <v>Repair Shop</v>
          </cell>
          <cell r="HT1313" t="b">
            <v>0</v>
          </cell>
          <cell r="HU1313" t="str">
            <v>C &amp; H SUGAR CO.</v>
          </cell>
        </row>
        <row r="1314">
          <cell r="A1314">
            <v>1435</v>
          </cell>
          <cell r="B1314" t="str">
            <v>VEM0398</v>
          </cell>
          <cell r="D1314" t="str">
            <v>CONHAGEN</v>
          </cell>
          <cell r="F1314" t="str">
            <v>Siemens</v>
          </cell>
          <cell r="H1314" t="str">
            <v>F08T0137P 2</v>
          </cell>
          <cell r="I1314" t="str">
            <v>256HP</v>
          </cell>
          <cell r="K1314" t="str">
            <v>20</v>
          </cell>
          <cell r="L1314" t="str">
            <v>3525</v>
          </cell>
          <cell r="M1314" t="str">
            <v>RGZVEASD</v>
          </cell>
          <cell r="N1314" t="str">
            <v>308</v>
          </cell>
          <cell r="P1314" t="str">
            <v>TEFC</v>
          </cell>
          <cell r="R1314" t="str">
            <v>Continuous</v>
          </cell>
          <cell r="T1314" t="str">
            <v>NONE NO KEY</v>
          </cell>
          <cell r="U1314" t="str">
            <v>40</v>
          </cell>
          <cell r="V1314" t="str">
            <v>3</v>
          </cell>
          <cell r="W1314" t="str">
            <v>60</v>
          </cell>
          <cell r="X1314" t="str">
            <v>230/460</v>
          </cell>
          <cell r="Y1314" t="str">
            <v>48/23</v>
          </cell>
          <cell r="AA1314" t="str">
            <v>Vertical</v>
          </cell>
          <cell r="AD1314" t="str">
            <v>0</v>
          </cell>
          <cell r="AG1314" t="str">
            <v>HP</v>
          </cell>
          <cell r="AO1314" t="str">
            <v>B</v>
          </cell>
          <cell r="AP1314" t="str">
            <v>G</v>
          </cell>
          <cell r="AQ1314" t="str">
            <v>F</v>
          </cell>
          <cell r="AS1314" t="str">
            <v>1.15</v>
          </cell>
          <cell r="AT1314" t="str">
            <v>88.5</v>
          </cell>
          <cell r="AV1314" t="b">
            <v>0</v>
          </cell>
          <cell r="HD1314" t="str">
            <v>Repair Shop</v>
          </cell>
          <cell r="HT1314" t="b">
            <v>0</v>
          </cell>
          <cell r="HU1314" t="str">
            <v>ALFRED CONHAGEN CO. OF CA</v>
          </cell>
        </row>
        <row r="1315">
          <cell r="A1315">
            <v>1434</v>
          </cell>
          <cell r="B1315" t="str">
            <v>FE1009</v>
          </cell>
          <cell r="D1315" t="str">
            <v>MAREISLDRYDK</v>
          </cell>
          <cell r="AD1315" t="str">
            <v>0</v>
          </cell>
          <cell r="AG1315" t="str">
            <v>HP</v>
          </cell>
          <cell r="AV1315" t="b">
            <v>0</v>
          </cell>
          <cell r="HD1315" t="str">
            <v>Field Service</v>
          </cell>
          <cell r="HT1315" t="b">
            <v>0</v>
          </cell>
          <cell r="HU1315" t="str">
            <v>MARE ISLAND DRY DOCK</v>
          </cell>
        </row>
        <row r="1316">
          <cell r="A1316">
            <v>1433</v>
          </cell>
          <cell r="B1316" t="str">
            <v>VEM0397</v>
          </cell>
          <cell r="D1316" t="str">
            <v>VALERO</v>
          </cell>
          <cell r="F1316" t="str">
            <v>TECO</v>
          </cell>
          <cell r="H1316" t="str">
            <v>SBP7165393001</v>
          </cell>
          <cell r="I1316" t="str">
            <v>364 TSC</v>
          </cell>
          <cell r="K1316" t="str">
            <v>60</v>
          </cell>
          <cell r="L1316" t="str">
            <v>3550</v>
          </cell>
          <cell r="N1316" t="str">
            <v>759</v>
          </cell>
          <cell r="O1316" t="str">
            <v>Full no Cord</v>
          </cell>
          <cell r="P1316" t="str">
            <v>TEFC</v>
          </cell>
          <cell r="R1316" t="str">
            <v>Continuous</v>
          </cell>
          <cell r="T1316" t="str">
            <v>KEY ONLY</v>
          </cell>
          <cell r="U1316" t="str">
            <v>50</v>
          </cell>
          <cell r="V1316" t="str">
            <v>3</v>
          </cell>
          <cell r="W1316" t="str">
            <v>6-60</v>
          </cell>
          <cell r="X1316" t="str">
            <v>460</v>
          </cell>
          <cell r="Y1316" t="str">
            <v>64.2</v>
          </cell>
          <cell r="AA1316" t="str">
            <v>Vertical</v>
          </cell>
          <cell r="AD1316" t="str">
            <v>0</v>
          </cell>
          <cell r="AG1316" t="str">
            <v>HP</v>
          </cell>
          <cell r="AI1316" t="str">
            <v>312</v>
          </cell>
          <cell r="AJ1316" t="str">
            <v>212</v>
          </cell>
          <cell r="AP1316" t="str">
            <v>G</v>
          </cell>
          <cell r="AQ1316" t="str">
            <v>F</v>
          </cell>
          <cell r="AS1316" t="str">
            <v>1.15</v>
          </cell>
          <cell r="AT1316" t="str">
            <v>94.1</v>
          </cell>
          <cell r="AV1316" t="b">
            <v>0</v>
          </cell>
          <cell r="HD1316" t="str">
            <v>Repair Shop</v>
          </cell>
          <cell r="HT1316" t="b">
            <v>0</v>
          </cell>
          <cell r="HU1316" t="str">
            <v>VALERO REFINING CO. BENICIA</v>
          </cell>
        </row>
        <row r="1317">
          <cell r="A1317">
            <v>1432</v>
          </cell>
          <cell r="B1317" t="str">
            <v>VEM0396</v>
          </cell>
          <cell r="D1317" t="str">
            <v>P66</v>
          </cell>
          <cell r="F1317" t="str">
            <v>LOUIS ALLIS</v>
          </cell>
          <cell r="G1317" t="str">
            <v>1J17245M002</v>
          </cell>
          <cell r="I1317" t="str">
            <v>145T</v>
          </cell>
          <cell r="K1317" t="str">
            <v>2</v>
          </cell>
          <cell r="L1317" t="str">
            <v>1740</v>
          </cell>
          <cell r="M1317" t="str">
            <v>CE4B</v>
          </cell>
          <cell r="O1317" t="str">
            <v>Full no Cord</v>
          </cell>
          <cell r="P1317" t="str">
            <v>EXP</v>
          </cell>
          <cell r="R1317" t="str">
            <v>Continuous</v>
          </cell>
          <cell r="S1317" t="str">
            <v>No</v>
          </cell>
          <cell r="T1317" t="str">
            <v>NONE</v>
          </cell>
          <cell r="U1317" t="str">
            <v>40</v>
          </cell>
          <cell r="V1317" t="str">
            <v>3</v>
          </cell>
          <cell r="W1317" t="str">
            <v>60</v>
          </cell>
          <cell r="X1317" t="str">
            <v>230/460</v>
          </cell>
          <cell r="Y1317" t="str">
            <v>6.4/3.2</v>
          </cell>
          <cell r="AA1317" t="str">
            <v>F1</v>
          </cell>
          <cell r="AD1317" t="str">
            <v>0</v>
          </cell>
          <cell r="AG1317" t="str">
            <v>HP</v>
          </cell>
          <cell r="AI1317" t="str">
            <v>6205</v>
          </cell>
          <cell r="AJ1317" t="str">
            <v>6203</v>
          </cell>
          <cell r="AO1317" t="str">
            <v>B</v>
          </cell>
          <cell r="AS1317" t="str">
            <v>1.0</v>
          </cell>
          <cell r="AV1317" t="b">
            <v>0</v>
          </cell>
          <cell r="HD1317" t="str">
            <v>Repair Shop</v>
          </cell>
          <cell r="HT1317" t="b">
            <v>0</v>
          </cell>
          <cell r="HU1317" t="str">
            <v>PHILLIPS 66</v>
          </cell>
        </row>
        <row r="1318">
          <cell r="A1318">
            <v>1431</v>
          </cell>
          <cell r="B1318" t="str">
            <v>VEM0395</v>
          </cell>
          <cell r="D1318" t="str">
            <v>INTEGRATED</v>
          </cell>
          <cell r="F1318" t="str">
            <v>Reliance</v>
          </cell>
          <cell r="I1318" t="str">
            <v>210HP</v>
          </cell>
          <cell r="K1318" t="str">
            <v>10</v>
          </cell>
          <cell r="L1318" t="str">
            <v>1755</v>
          </cell>
          <cell r="M1318" t="str">
            <v>P</v>
          </cell>
          <cell r="O1318" t="str">
            <v>Full no Cord</v>
          </cell>
          <cell r="P1318" t="str">
            <v>TEFC</v>
          </cell>
          <cell r="R1318" t="str">
            <v>Continuous</v>
          </cell>
          <cell r="T1318" t="str">
            <v>NONE</v>
          </cell>
          <cell r="U1318" t="str">
            <v>40</v>
          </cell>
          <cell r="V1318" t="str">
            <v>3</v>
          </cell>
          <cell r="W1318" t="str">
            <v>60</v>
          </cell>
          <cell r="X1318" t="str">
            <v>230/460</v>
          </cell>
          <cell r="Y1318" t="str">
            <v>23.8/11.4</v>
          </cell>
          <cell r="AA1318" t="str">
            <v>Vertical</v>
          </cell>
          <cell r="AD1318" t="str">
            <v>0</v>
          </cell>
          <cell r="AG1318" t="str">
            <v>HP</v>
          </cell>
          <cell r="AO1318" t="str">
            <v>b</v>
          </cell>
          <cell r="AQ1318" t="str">
            <v>F</v>
          </cell>
          <cell r="AS1318" t="str">
            <v>1.15</v>
          </cell>
          <cell r="AV1318" t="b">
            <v>0</v>
          </cell>
          <cell r="EX1318" t="str">
            <v>1YWB43660 A1 PN</v>
          </cell>
          <cell r="HD1318" t="str">
            <v>Repair Shop</v>
          </cell>
          <cell r="HT1318" t="b">
            <v>0</v>
          </cell>
          <cell r="HU1318" t="str">
            <v>INTEGRATED TURBO MACHINERY, INC.</v>
          </cell>
        </row>
        <row r="1319">
          <cell r="A1319">
            <v>1430</v>
          </cell>
          <cell r="B1319" t="str">
            <v>VEM0394</v>
          </cell>
          <cell r="D1319" t="str">
            <v>VALLEJOSAN</v>
          </cell>
          <cell r="F1319" t="str">
            <v>GE</v>
          </cell>
          <cell r="G1319" t="str">
            <v>5K6234XM19B</v>
          </cell>
          <cell r="H1319" t="str">
            <v>BPJ208274</v>
          </cell>
          <cell r="I1319" t="str">
            <v>C284HP10</v>
          </cell>
          <cell r="K1319" t="str">
            <v>25</v>
          </cell>
          <cell r="L1319" t="str">
            <v>1750</v>
          </cell>
          <cell r="O1319" t="str">
            <v>Full no Cord</v>
          </cell>
          <cell r="P1319" t="str">
            <v>ODP</v>
          </cell>
          <cell r="R1319" t="str">
            <v>Continuous</v>
          </cell>
          <cell r="T1319" t="str">
            <v>YES</v>
          </cell>
          <cell r="U1319" t="str">
            <v>40</v>
          </cell>
          <cell r="V1319" t="str">
            <v>3</v>
          </cell>
          <cell r="W1319" t="str">
            <v>60</v>
          </cell>
          <cell r="X1319" t="str">
            <v>460</v>
          </cell>
          <cell r="Y1319" t="str">
            <v>32.4</v>
          </cell>
          <cell r="AA1319" t="str">
            <v>Vertical</v>
          </cell>
          <cell r="AD1319" t="str">
            <v>0</v>
          </cell>
          <cell r="AG1319" t="str">
            <v>HP</v>
          </cell>
          <cell r="AO1319" t="str">
            <v>B</v>
          </cell>
          <cell r="AP1319" t="str">
            <v>G</v>
          </cell>
          <cell r="AS1319" t="str">
            <v>1.15</v>
          </cell>
          <cell r="AV1319" t="b">
            <v>0</v>
          </cell>
          <cell r="HD1319" t="str">
            <v>Repair Shop</v>
          </cell>
          <cell r="HT1319" t="b">
            <v>0</v>
          </cell>
          <cell r="HU1319" t="str">
            <v>VALLEJO FLOOD &amp; WASTEWATER DISTRICT</v>
          </cell>
        </row>
        <row r="1320">
          <cell r="A1320">
            <v>1429</v>
          </cell>
          <cell r="B1320" t="str">
            <v>VEM0393</v>
          </cell>
          <cell r="D1320" t="str">
            <v>VALERO</v>
          </cell>
          <cell r="E1320" t="str">
            <v>GEARBOX</v>
          </cell>
          <cell r="F1320" t="str">
            <v>GE</v>
          </cell>
          <cell r="I1320" t="str">
            <v>48Y</v>
          </cell>
          <cell r="K1320" t="str">
            <v>1/4</v>
          </cell>
          <cell r="L1320" t="str">
            <v>1725</v>
          </cell>
          <cell r="R1320" t="str">
            <v>Continuous</v>
          </cell>
          <cell r="V1320" t="str">
            <v>1</v>
          </cell>
          <cell r="W1320" t="str">
            <v>60</v>
          </cell>
          <cell r="X1320" t="str">
            <v>115</v>
          </cell>
          <cell r="AA1320" t="str">
            <v>Other</v>
          </cell>
          <cell r="AD1320" t="str">
            <v>0</v>
          </cell>
          <cell r="AG1320" t="str">
            <v>HP</v>
          </cell>
          <cell r="AV1320" t="b">
            <v>0</v>
          </cell>
          <cell r="HD1320" t="str">
            <v>Repair Shop</v>
          </cell>
          <cell r="HT1320" t="b">
            <v>0</v>
          </cell>
          <cell r="HU1320" t="str">
            <v>VALERO REFINING CO. BENICIA</v>
          </cell>
        </row>
        <row r="1321">
          <cell r="A1321">
            <v>1428</v>
          </cell>
          <cell r="B1321" t="str">
            <v>VEM0392</v>
          </cell>
          <cell r="D1321" t="str">
            <v>CONHAGEN</v>
          </cell>
          <cell r="AG1321" t="str">
            <v>HP</v>
          </cell>
          <cell r="AV1321" t="b">
            <v>0</v>
          </cell>
          <cell r="HD1321" t="str">
            <v>Repair Shop</v>
          </cell>
          <cell r="HT1321" t="b">
            <v>0</v>
          </cell>
          <cell r="HU1321" t="str">
            <v>ALFRED CONHAGEN CO. OF CA</v>
          </cell>
        </row>
        <row r="1322">
          <cell r="A1322">
            <v>1427</v>
          </cell>
          <cell r="B1322" t="str">
            <v>VEM0391</v>
          </cell>
          <cell r="D1322" t="str">
            <v>BARRY</v>
          </cell>
          <cell r="F1322" t="str">
            <v>FRISSE</v>
          </cell>
          <cell r="H1322" t="str">
            <v>20856301/2</v>
          </cell>
          <cell r="K1322" t="str">
            <v>132</v>
          </cell>
          <cell r="L1322" t="str">
            <v>900</v>
          </cell>
          <cell r="M1322" t="str">
            <v>KN7318M-SB019-Z</v>
          </cell>
          <cell r="O1322" t="str">
            <v>Half no Cord</v>
          </cell>
          <cell r="P1322" t="str">
            <v>ODP</v>
          </cell>
          <cell r="R1322" t="str">
            <v>Continuous</v>
          </cell>
          <cell r="S1322" t="str">
            <v>No</v>
          </cell>
          <cell r="T1322" t="str">
            <v>YES</v>
          </cell>
          <cell r="X1322" t="str">
            <v>440-480</v>
          </cell>
          <cell r="Y1322" t="str">
            <v>220/210</v>
          </cell>
          <cell r="AD1322" t="str">
            <v>0</v>
          </cell>
          <cell r="AG1322" t="str">
            <v>KW</v>
          </cell>
          <cell r="AQ1322" t="str">
            <v>F</v>
          </cell>
          <cell r="AV1322" t="b">
            <v>0</v>
          </cell>
          <cell r="AW1322" t="str">
            <v>220-210</v>
          </cell>
          <cell r="HD1322" t="str">
            <v>Repair Shop</v>
          </cell>
          <cell r="HT1322" t="b">
            <v>0</v>
          </cell>
          <cell r="HU1322" t="str">
            <v>BARRY CALLEBAUT</v>
          </cell>
        </row>
        <row r="1323">
          <cell r="A1323">
            <v>1426</v>
          </cell>
          <cell r="B1323" t="str">
            <v>VEM0390</v>
          </cell>
          <cell r="D1323" t="str">
            <v>VALERO</v>
          </cell>
          <cell r="AG1323" t="str">
            <v>HP</v>
          </cell>
          <cell r="AV1323" t="b">
            <v>0</v>
          </cell>
          <cell r="HD1323" t="str">
            <v>Repair Shop</v>
          </cell>
          <cell r="HT1323" t="b">
            <v>0</v>
          </cell>
          <cell r="HU1323" t="str">
            <v>VALERO REFINING CO. BENICIA</v>
          </cell>
        </row>
        <row r="1324">
          <cell r="A1324">
            <v>1425</v>
          </cell>
          <cell r="B1324" t="str">
            <v>VEM0389</v>
          </cell>
          <cell r="D1324" t="str">
            <v>VALLEJOSAN</v>
          </cell>
          <cell r="F1324" t="str">
            <v>GE</v>
          </cell>
          <cell r="G1324" t="str">
            <v>5K6234XM19B</v>
          </cell>
          <cell r="H1324" t="str">
            <v>BPJ208273</v>
          </cell>
          <cell r="I1324" t="str">
            <v>C284HP10</v>
          </cell>
          <cell r="K1324" t="str">
            <v>25</v>
          </cell>
          <cell r="L1324" t="str">
            <v>1750</v>
          </cell>
          <cell r="M1324" t="str">
            <v>K</v>
          </cell>
          <cell r="O1324" t="str">
            <v>Full no Cord</v>
          </cell>
          <cell r="R1324" t="str">
            <v>Continuous</v>
          </cell>
          <cell r="T1324" t="str">
            <v>YES</v>
          </cell>
          <cell r="U1324" t="str">
            <v>40</v>
          </cell>
          <cell r="V1324" t="str">
            <v>3</v>
          </cell>
          <cell r="W1324" t="str">
            <v>60</v>
          </cell>
          <cell r="X1324" t="str">
            <v>230/460</v>
          </cell>
          <cell r="AD1324" t="str">
            <v>0</v>
          </cell>
          <cell r="AG1324" t="str">
            <v>HP</v>
          </cell>
          <cell r="AQ1324" t="str">
            <v>F</v>
          </cell>
          <cell r="AS1324" t="str">
            <v>1.15</v>
          </cell>
          <cell r="AV1324" t="b">
            <v>0</v>
          </cell>
          <cell r="HD1324" t="str">
            <v>Repair Shop</v>
          </cell>
          <cell r="HT1324" t="b">
            <v>0</v>
          </cell>
          <cell r="HU1324" t="str">
            <v>VALLEJO FLOOD &amp; WASTEWATER DISTRICT</v>
          </cell>
        </row>
        <row r="1325">
          <cell r="A1325">
            <v>1424</v>
          </cell>
          <cell r="B1325" t="str">
            <v>VEM0388</v>
          </cell>
          <cell r="D1325" t="str">
            <v>EURO</v>
          </cell>
          <cell r="F1325" t="str">
            <v>CSM  (IITALY)</v>
          </cell>
          <cell r="H1325" t="str">
            <v>010800182</v>
          </cell>
          <cell r="K1325" t="str">
            <v>1.8</v>
          </cell>
          <cell r="L1325" t="str">
            <v>3520</v>
          </cell>
          <cell r="M1325" t="str">
            <v>M90S2</v>
          </cell>
          <cell r="O1325" t="str">
            <v>Full no Cord</v>
          </cell>
          <cell r="P1325" t="str">
            <v>TEFC</v>
          </cell>
          <cell r="R1325" t="str">
            <v>Continuous</v>
          </cell>
          <cell r="T1325" t="str">
            <v>BLOWER</v>
          </cell>
          <cell r="V1325" t="str">
            <v>3</v>
          </cell>
          <cell r="W1325" t="str">
            <v>60</v>
          </cell>
          <cell r="X1325" t="str">
            <v>277/480</v>
          </cell>
          <cell r="Y1325" t="str">
            <v>6.4/3.7</v>
          </cell>
          <cell r="AD1325" t="str">
            <v>0</v>
          </cell>
          <cell r="AG1325" t="str">
            <v>KW</v>
          </cell>
          <cell r="AV1325" t="b">
            <v>0</v>
          </cell>
          <cell r="HD1325" t="str">
            <v>Repair Shop</v>
          </cell>
          <cell r="HT1325" t="b">
            <v>0</v>
          </cell>
          <cell r="HU1325" t="str">
            <v>EURO-MACHINES, INC.</v>
          </cell>
        </row>
        <row r="1326">
          <cell r="A1326">
            <v>1423</v>
          </cell>
          <cell r="B1326" t="str">
            <v>VEM0387</v>
          </cell>
          <cell r="D1326" t="str">
            <v>VALERO</v>
          </cell>
          <cell r="F1326" t="str">
            <v>Siemens</v>
          </cell>
          <cell r="I1326" t="str">
            <v>405TS</v>
          </cell>
          <cell r="K1326" t="str">
            <v>100</v>
          </cell>
          <cell r="L1326" t="str">
            <v>3570</v>
          </cell>
          <cell r="M1326" t="str">
            <v>RGZESD</v>
          </cell>
          <cell r="O1326" t="str">
            <v>Full no Cord</v>
          </cell>
          <cell r="P1326" t="str">
            <v>TEFC</v>
          </cell>
          <cell r="R1326" t="str">
            <v>Continuous</v>
          </cell>
          <cell r="S1326" t="str">
            <v>No</v>
          </cell>
          <cell r="T1326" t="str">
            <v>YES</v>
          </cell>
          <cell r="U1326" t="str">
            <v>40</v>
          </cell>
          <cell r="V1326" t="str">
            <v>3</v>
          </cell>
          <cell r="W1326" t="str">
            <v>60</v>
          </cell>
          <cell r="X1326" t="str">
            <v>460</v>
          </cell>
          <cell r="Y1326" t="str">
            <v>110</v>
          </cell>
          <cell r="AA1326" t="str">
            <v>F1</v>
          </cell>
          <cell r="AD1326" t="str">
            <v>0</v>
          </cell>
          <cell r="AG1326" t="str">
            <v>HP</v>
          </cell>
          <cell r="AI1326" t="str">
            <v>6316</v>
          </cell>
          <cell r="AJ1326" t="str">
            <v>6316</v>
          </cell>
          <cell r="AO1326" t="str">
            <v>B</v>
          </cell>
          <cell r="AP1326" t="str">
            <v>G</v>
          </cell>
          <cell r="AQ1326" t="str">
            <v>F</v>
          </cell>
          <cell r="AT1326" t="str">
            <v>95.0</v>
          </cell>
          <cell r="AV1326" t="b">
            <v>0</v>
          </cell>
          <cell r="EX1326" t="str">
            <v>ORD#1LA04052SE42A</v>
          </cell>
          <cell r="GK1326" t="str">
            <v>FAN GUARD</v>
          </cell>
          <cell r="HD1326" t="str">
            <v>Repair Shop</v>
          </cell>
          <cell r="HT1326" t="b">
            <v>0</v>
          </cell>
          <cell r="HU1326" t="str">
            <v>VALERO REFINING CO. BENICIA</v>
          </cell>
        </row>
        <row r="1327">
          <cell r="A1327">
            <v>1422</v>
          </cell>
          <cell r="B1327" t="str">
            <v>VEM0386</v>
          </cell>
          <cell r="D1327" t="str">
            <v>CONHAGEN</v>
          </cell>
          <cell r="F1327" t="str">
            <v>Reliance</v>
          </cell>
          <cell r="I1327" t="str">
            <v>256TC</v>
          </cell>
          <cell r="K1327" t="str">
            <v>20</v>
          </cell>
          <cell r="L1327" t="str">
            <v>1760</v>
          </cell>
          <cell r="M1327" t="str">
            <v>P</v>
          </cell>
          <cell r="N1327" t="str">
            <v>337</v>
          </cell>
          <cell r="O1327" t="str">
            <v>Full no Cord</v>
          </cell>
          <cell r="P1327" t="str">
            <v>TEFC</v>
          </cell>
          <cell r="Q1327" t="str">
            <v>NONE</v>
          </cell>
          <cell r="R1327" t="str">
            <v>Continuous</v>
          </cell>
          <cell r="T1327" t="str">
            <v>NONE</v>
          </cell>
          <cell r="U1327" t="str">
            <v>40C</v>
          </cell>
          <cell r="V1327" t="str">
            <v>3</v>
          </cell>
          <cell r="W1327" t="str">
            <v>60</v>
          </cell>
          <cell r="X1327" t="str">
            <v>460</v>
          </cell>
          <cell r="Y1327" t="str">
            <v>24</v>
          </cell>
          <cell r="AA1327" t="str">
            <v>Vertical</v>
          </cell>
          <cell r="AD1327" t="str">
            <v>-1</v>
          </cell>
          <cell r="AG1327" t="str">
            <v>HP</v>
          </cell>
          <cell r="AI1327" t="str">
            <v>45BC03J30X</v>
          </cell>
          <cell r="AJ1327" t="str">
            <v>45BC03J30X</v>
          </cell>
          <cell r="AO1327" t="str">
            <v>B</v>
          </cell>
          <cell r="AP1327" t="str">
            <v>G</v>
          </cell>
          <cell r="AQ1327" t="str">
            <v>F</v>
          </cell>
          <cell r="AR1327" t="str">
            <v>86</v>
          </cell>
          <cell r="AS1327" t="str">
            <v>1.15</v>
          </cell>
          <cell r="AT1327" t="str">
            <v>92.4</v>
          </cell>
          <cell r="AV1327" t="b">
            <v>0</v>
          </cell>
          <cell r="AX1327" t="str">
            <v>4</v>
          </cell>
          <cell r="EX1327" t="str">
            <v>01UBZ7971701G 2 KB</v>
          </cell>
          <cell r="HD1327" t="str">
            <v>Repair Shop</v>
          </cell>
          <cell r="HT1327" t="b">
            <v>0</v>
          </cell>
          <cell r="HU1327" t="str">
            <v>ALFRED CONHAGEN CO. OF CA</v>
          </cell>
        </row>
        <row r="1328">
          <cell r="A1328">
            <v>1421</v>
          </cell>
          <cell r="B1328" t="str">
            <v>VEM0385</v>
          </cell>
          <cell r="D1328" t="str">
            <v>VALERO</v>
          </cell>
          <cell r="F1328" t="str">
            <v>GENERAL ELECTRIC</v>
          </cell>
          <cell r="I1328" t="str">
            <v>286T</v>
          </cell>
          <cell r="K1328" t="str">
            <v>30</v>
          </cell>
          <cell r="O1328" t="str">
            <v>Full no Cord</v>
          </cell>
          <cell r="Q1328" t="str">
            <v>No</v>
          </cell>
          <cell r="S1328" t="str">
            <v>No</v>
          </cell>
          <cell r="T1328" t="str">
            <v>FULL KEY</v>
          </cell>
          <cell r="U1328" t="str">
            <v>40C</v>
          </cell>
          <cell r="W1328" t="str">
            <v>60</v>
          </cell>
          <cell r="Z1328" t="str">
            <v>No</v>
          </cell>
          <cell r="AA1328" t="str">
            <v>F1</v>
          </cell>
          <cell r="AD1328" t="str">
            <v>0</v>
          </cell>
          <cell r="AG1328" t="str">
            <v>HP</v>
          </cell>
          <cell r="AV1328" t="b">
            <v>0</v>
          </cell>
          <cell r="HD1328" t="str">
            <v>Repair Shop</v>
          </cell>
          <cell r="HT1328" t="b">
            <v>0</v>
          </cell>
          <cell r="HU1328" t="str">
            <v>VALERO REFINING CO. BENICIA</v>
          </cell>
        </row>
        <row r="1329">
          <cell r="A1329">
            <v>1420</v>
          </cell>
          <cell r="B1329" t="str">
            <v>VEM0384</v>
          </cell>
          <cell r="D1329" t="str">
            <v>VALERO</v>
          </cell>
          <cell r="AG1329" t="str">
            <v>HP</v>
          </cell>
          <cell r="AV1329" t="b">
            <v>0</v>
          </cell>
          <cell r="HD1329" t="str">
            <v>Repair Shop</v>
          </cell>
          <cell r="HT1329" t="b">
            <v>0</v>
          </cell>
          <cell r="HU1329" t="str">
            <v>VALERO REFINING CO. BENICIA</v>
          </cell>
        </row>
        <row r="1330">
          <cell r="A1330">
            <v>1419</v>
          </cell>
          <cell r="B1330" t="str">
            <v>VEM0383</v>
          </cell>
          <cell r="D1330" t="str">
            <v>CLEANHARBORS</v>
          </cell>
          <cell r="F1330" t="str">
            <v>TECO</v>
          </cell>
          <cell r="H1330" t="str">
            <v>XB E016A407002</v>
          </cell>
          <cell r="I1330" t="str">
            <v>254TC</v>
          </cell>
          <cell r="K1330" t="str">
            <v>15/11</v>
          </cell>
          <cell r="L1330" t="str">
            <v>1770/1450</v>
          </cell>
          <cell r="M1330" t="str">
            <v>AEHHXG</v>
          </cell>
          <cell r="N1330" t="str">
            <v>354</v>
          </cell>
          <cell r="O1330" t="str">
            <v>Full no Cord</v>
          </cell>
          <cell r="P1330" t="str">
            <v>TEFC</v>
          </cell>
          <cell r="Q1330" t="str">
            <v>No</v>
          </cell>
          <cell r="R1330" t="str">
            <v>Continuous</v>
          </cell>
          <cell r="S1330" t="str">
            <v>Yes</v>
          </cell>
          <cell r="T1330" t="str">
            <v>FULL KEY</v>
          </cell>
          <cell r="U1330" t="str">
            <v>40C</v>
          </cell>
          <cell r="V1330" t="str">
            <v>3</v>
          </cell>
          <cell r="W1330" t="str">
            <v>60/50</v>
          </cell>
          <cell r="X1330" t="str">
            <v>230/460</v>
          </cell>
          <cell r="Y1330" t="str">
            <v>35.8/17.9</v>
          </cell>
          <cell r="Z1330" t="str">
            <v>YES</v>
          </cell>
          <cell r="AA1330" t="str">
            <v>F2</v>
          </cell>
          <cell r="AG1330" t="str">
            <v>HP</v>
          </cell>
          <cell r="AI1330" t="str">
            <v>6309ZZ</v>
          </cell>
          <cell r="AJ1330" t="str">
            <v>6307ZZ</v>
          </cell>
          <cell r="AO1330" t="str">
            <v>B</v>
          </cell>
          <cell r="AP1330" t="str">
            <v>B</v>
          </cell>
          <cell r="AQ1330" t="str">
            <v>F</v>
          </cell>
          <cell r="AS1330" t="str">
            <v>1.15/1.0</v>
          </cell>
          <cell r="AT1330" t="str">
            <v>92.4/90.2</v>
          </cell>
          <cell r="AV1330" t="b">
            <v>0</v>
          </cell>
          <cell r="EW1330" t="str">
            <v>XP0154C</v>
          </cell>
          <cell r="HD1330" t="str">
            <v>Repair Shop</v>
          </cell>
          <cell r="HT1330" t="b">
            <v>0</v>
          </cell>
          <cell r="HU1330" t="str">
            <v>CLEAN HARBORS</v>
          </cell>
        </row>
        <row r="1331">
          <cell r="A1331">
            <v>1418</v>
          </cell>
          <cell r="B1331" t="str">
            <v>VEM0382</v>
          </cell>
          <cell r="D1331" t="str">
            <v>CLEANHARBORS</v>
          </cell>
          <cell r="F1331" t="str">
            <v>BALDOR-RELIANCE</v>
          </cell>
          <cell r="H1331" t="str">
            <v>Z1511120220</v>
          </cell>
          <cell r="I1331" t="str">
            <v>256T</v>
          </cell>
          <cell r="K1331" t="str">
            <v>20/15</v>
          </cell>
          <cell r="L1331" t="str">
            <v>3520/2930</v>
          </cell>
          <cell r="O1331" t="str">
            <v>Full no Cord</v>
          </cell>
          <cell r="P1331" t="str">
            <v>TEFC</v>
          </cell>
          <cell r="Q1331" t="str">
            <v>No</v>
          </cell>
          <cell r="R1331" t="str">
            <v>Continuous</v>
          </cell>
          <cell r="S1331" t="str">
            <v>Yes</v>
          </cell>
          <cell r="T1331" t="str">
            <v>YES</v>
          </cell>
          <cell r="U1331" t="str">
            <v>40C</v>
          </cell>
          <cell r="V1331" t="str">
            <v>3</v>
          </cell>
          <cell r="W1331" t="str">
            <v>60/50</v>
          </cell>
          <cell r="X1331" t="str">
            <v>230/460</v>
          </cell>
          <cell r="Y1331" t="str">
            <v>46/23</v>
          </cell>
          <cell r="Z1331" t="str">
            <v>No</v>
          </cell>
          <cell r="AA1331" t="str">
            <v>F2</v>
          </cell>
          <cell r="AD1331" t="str">
            <v>0</v>
          </cell>
          <cell r="AG1331" t="str">
            <v>HP</v>
          </cell>
          <cell r="AO1331" t="str">
            <v>A</v>
          </cell>
          <cell r="AP1331" t="str">
            <v>H</v>
          </cell>
          <cell r="AQ1331" t="str">
            <v>F</v>
          </cell>
          <cell r="AR1331" t="str">
            <v>89</v>
          </cell>
          <cell r="AS1331" t="str">
            <v>1.0</v>
          </cell>
          <cell r="AT1331" t="str">
            <v>91</v>
          </cell>
          <cell r="AU1331" t="str">
            <v>09E270Z601G1</v>
          </cell>
          <cell r="AV1331" t="b">
            <v>0</v>
          </cell>
          <cell r="EW1331" t="str">
            <v>EM7059T</v>
          </cell>
          <cell r="GK1331" t="str">
            <v>NO#B-43333454</v>
          </cell>
          <cell r="HD1331" t="str">
            <v>Repair Shop</v>
          </cell>
          <cell r="HT1331" t="b">
            <v>0</v>
          </cell>
          <cell r="HU1331" t="str">
            <v>CLEAN HARBORS</v>
          </cell>
        </row>
        <row r="1332">
          <cell r="A1332">
            <v>1417</v>
          </cell>
          <cell r="B1332" t="str">
            <v>VEM0381</v>
          </cell>
          <cell r="D1332" t="str">
            <v>EURO</v>
          </cell>
          <cell r="F1332" t="str">
            <v>RIETSCHLE</v>
          </cell>
          <cell r="G1332" t="str">
            <v>101550-0339</v>
          </cell>
          <cell r="H1332" t="str">
            <v>02 2346862</v>
          </cell>
          <cell r="K1332" t="str">
            <v>1.8/1.5</v>
          </cell>
          <cell r="L1332" t="str">
            <v>2880</v>
          </cell>
          <cell r="M1332" t="str">
            <v>SKG 270-2.02 (03)</v>
          </cell>
          <cell r="O1332" t="str">
            <v>Full no Cord</v>
          </cell>
          <cell r="P1332" t="str">
            <v>TEFC</v>
          </cell>
          <cell r="R1332" t="str">
            <v>Continuous</v>
          </cell>
          <cell r="V1332" t="str">
            <v>3</v>
          </cell>
          <cell r="W1332" t="str">
            <v>60/50</v>
          </cell>
          <cell r="X1332" t="str">
            <v>200-277/346-480</v>
          </cell>
          <cell r="Y1332" t="str">
            <v>8.0/4.6</v>
          </cell>
          <cell r="AA1332" t="str">
            <v>Top</v>
          </cell>
          <cell r="AD1332" t="str">
            <v>0</v>
          </cell>
          <cell r="AG1332" t="str">
            <v>KW</v>
          </cell>
          <cell r="AQ1332" t="str">
            <v>F</v>
          </cell>
          <cell r="AR1332" t="str">
            <v>.88/.81</v>
          </cell>
          <cell r="AV1332" t="b">
            <v>0</v>
          </cell>
          <cell r="GK1332" t="str">
            <v>PIPING ON MOTOR</v>
          </cell>
          <cell r="HD1332" t="str">
            <v>Repair Shop</v>
          </cell>
          <cell r="HO1332" t="str">
            <v>3300</v>
          </cell>
          <cell r="HT1332" t="b">
            <v>0</v>
          </cell>
          <cell r="HU1332" t="str">
            <v>EURO-MACHINES, INC.</v>
          </cell>
        </row>
        <row r="1333">
          <cell r="A1333">
            <v>1416</v>
          </cell>
          <cell r="B1333" t="str">
            <v>VEM0380</v>
          </cell>
          <cell r="D1333" t="str">
            <v>CONHAGEN</v>
          </cell>
          <cell r="F1333" t="str">
            <v>GE</v>
          </cell>
          <cell r="G1333" t="str">
            <v>5K6257XJ205B</v>
          </cell>
          <cell r="H1333" t="str">
            <v>JEJ910536</v>
          </cell>
          <cell r="I1333" t="str">
            <v>326TPZ12</v>
          </cell>
          <cell r="K1333" t="str">
            <v>50</v>
          </cell>
          <cell r="L1333" t="str">
            <v>3540</v>
          </cell>
          <cell r="O1333" t="str">
            <v>Full no Cord</v>
          </cell>
          <cell r="P1333" t="str">
            <v>TEFC</v>
          </cell>
          <cell r="R1333" t="str">
            <v>Continuous</v>
          </cell>
          <cell r="S1333" t="str">
            <v>Yes</v>
          </cell>
          <cell r="T1333" t="str">
            <v>SPLINED</v>
          </cell>
          <cell r="U1333" t="str">
            <v>75</v>
          </cell>
          <cell r="V1333" t="str">
            <v>3</v>
          </cell>
          <cell r="W1333" t="str">
            <v>60</v>
          </cell>
          <cell r="X1333" t="str">
            <v>230/460</v>
          </cell>
          <cell r="Y1333" t="str">
            <v>117/58.5</v>
          </cell>
          <cell r="AA1333" t="str">
            <v>Vertical</v>
          </cell>
          <cell r="AD1333" t="str">
            <v>-1</v>
          </cell>
          <cell r="AG1333" t="str">
            <v>HP</v>
          </cell>
          <cell r="AI1333" t="str">
            <v>6310</v>
          </cell>
          <cell r="AJ1333" t="str">
            <v>6210</v>
          </cell>
          <cell r="AO1333" t="str">
            <v>B</v>
          </cell>
          <cell r="AS1333" t="str">
            <v>1.0</v>
          </cell>
          <cell r="AV1333" t="b">
            <v>0</v>
          </cell>
          <cell r="HD1333" t="str">
            <v>Repair Shop</v>
          </cell>
          <cell r="HT1333" t="b">
            <v>0</v>
          </cell>
          <cell r="HU1333" t="str">
            <v>ALFRED CONHAGEN CO. OF CA</v>
          </cell>
        </row>
        <row r="1334">
          <cell r="A1334">
            <v>1415</v>
          </cell>
          <cell r="B1334" t="str">
            <v>VEM0379</v>
          </cell>
          <cell r="D1334" t="str">
            <v>VALERO</v>
          </cell>
          <cell r="F1334" t="str">
            <v>Siemens</v>
          </cell>
          <cell r="H1334" t="str">
            <v>D06T0004P1</v>
          </cell>
          <cell r="I1334" t="str">
            <v>215LP</v>
          </cell>
          <cell r="K1334" t="str">
            <v>10</v>
          </cell>
          <cell r="L1334" t="str">
            <v>3505</v>
          </cell>
          <cell r="M1334" t="str">
            <v>RGZVILESD</v>
          </cell>
          <cell r="N1334" t="str">
            <v>291</v>
          </cell>
          <cell r="O1334" t="str">
            <v>Full no Cord</v>
          </cell>
          <cell r="P1334" t="str">
            <v>TEFC</v>
          </cell>
          <cell r="R1334" t="str">
            <v>Continuous</v>
          </cell>
          <cell r="T1334" t="str">
            <v>Yes</v>
          </cell>
          <cell r="U1334" t="str">
            <v>40</v>
          </cell>
          <cell r="V1334" t="str">
            <v>3</v>
          </cell>
          <cell r="W1334" t="str">
            <v>60</v>
          </cell>
          <cell r="X1334" t="str">
            <v>230/460</v>
          </cell>
          <cell r="Y1334" t="str">
            <v>23/11.5</v>
          </cell>
          <cell r="Z1334" t="str">
            <v>No</v>
          </cell>
          <cell r="AA1334" t="str">
            <v>Vertical</v>
          </cell>
          <cell r="AD1334" t="str">
            <v>0</v>
          </cell>
          <cell r="AG1334" t="str">
            <v>HP</v>
          </cell>
          <cell r="AO1334" t="str">
            <v>B</v>
          </cell>
          <cell r="AP1334" t="str">
            <v>H</v>
          </cell>
          <cell r="AQ1334" t="str">
            <v>F</v>
          </cell>
          <cell r="AS1334" t="str">
            <v>1.15</v>
          </cell>
          <cell r="AT1334" t="str">
            <v>88.5</v>
          </cell>
          <cell r="AV1334" t="b">
            <v>0</v>
          </cell>
          <cell r="GK1334" t="str">
            <v>WITH RAIN CAP</v>
          </cell>
          <cell r="HD1334" t="str">
            <v>Repair Shop</v>
          </cell>
          <cell r="HT1334" t="b">
            <v>0</v>
          </cell>
          <cell r="HU1334" t="str">
            <v>VALERO REFINING CO. BENICIA</v>
          </cell>
        </row>
        <row r="1335">
          <cell r="A1335">
            <v>1414</v>
          </cell>
          <cell r="B1335" t="str">
            <v>VEM0378</v>
          </cell>
          <cell r="D1335" t="str">
            <v>COUNTYASPHALT</v>
          </cell>
          <cell r="AD1335" t="str">
            <v>0</v>
          </cell>
          <cell r="AG1335" t="str">
            <v>HP</v>
          </cell>
          <cell r="AV1335" t="b">
            <v>0</v>
          </cell>
          <cell r="BY1335" t="str">
            <v>13.62</v>
          </cell>
          <cell r="BZ1335" t="str">
            <v>1750</v>
          </cell>
          <cell r="CC1335" t="str">
            <v>OUTPUT RPM 128.4</v>
          </cell>
          <cell r="CE1335" t="str">
            <v>150</v>
          </cell>
          <cell r="CI1335" t="str">
            <v>OIL CAP-9.5 GAL</v>
          </cell>
          <cell r="HD1335" t="str">
            <v>Repair Shop</v>
          </cell>
          <cell r="HT1335" t="b">
            <v>0</v>
          </cell>
          <cell r="HU1335" t="str">
            <v>COUNTY ASPHALT</v>
          </cell>
        </row>
        <row r="1336">
          <cell r="A1336">
            <v>1412</v>
          </cell>
          <cell r="B1336" t="str">
            <v>VEM0376</v>
          </cell>
          <cell r="D1336" t="str">
            <v>VALLEJOSAN</v>
          </cell>
          <cell r="AG1336" t="str">
            <v>HP</v>
          </cell>
          <cell r="AV1336" t="b">
            <v>0</v>
          </cell>
          <cell r="HD1336" t="str">
            <v>Repair Shop</v>
          </cell>
          <cell r="HT1336" t="b">
            <v>0</v>
          </cell>
          <cell r="HU1336" t="str">
            <v>VALLEJO FLOOD &amp; WASTEWATER DISTRICT</v>
          </cell>
        </row>
        <row r="1337">
          <cell r="A1337">
            <v>1411</v>
          </cell>
          <cell r="B1337" t="str">
            <v>VEM0375</v>
          </cell>
          <cell r="D1337" t="str">
            <v>LINDMARINE</v>
          </cell>
          <cell r="AD1337" t="str">
            <v>0</v>
          </cell>
          <cell r="AV1337" t="b">
            <v>0</v>
          </cell>
          <cell r="HD1337" t="str">
            <v>Repair Shop</v>
          </cell>
          <cell r="HT1337" t="b">
            <v>0</v>
          </cell>
          <cell r="HU1337" t="str">
            <v>LIND MARINE</v>
          </cell>
        </row>
        <row r="1338">
          <cell r="A1338">
            <v>1410</v>
          </cell>
          <cell r="B1338" t="str">
            <v>VEM0374</v>
          </cell>
          <cell r="D1338" t="str">
            <v>VALERO</v>
          </cell>
          <cell r="F1338" t="str">
            <v>Reliance</v>
          </cell>
          <cell r="I1338" t="str">
            <v>342TS</v>
          </cell>
          <cell r="K1338" t="str">
            <v>40</v>
          </cell>
          <cell r="L1338" t="str">
            <v>3545</v>
          </cell>
          <cell r="O1338" t="str">
            <v>None</v>
          </cell>
          <cell r="P1338" t="str">
            <v>TEFC</v>
          </cell>
          <cell r="R1338" t="str">
            <v>Continuous</v>
          </cell>
          <cell r="S1338" t="str">
            <v>Yes</v>
          </cell>
          <cell r="T1338" t="str">
            <v>YES</v>
          </cell>
          <cell r="U1338" t="str">
            <v>40</v>
          </cell>
          <cell r="V1338" t="str">
            <v>3</v>
          </cell>
          <cell r="W1338" t="str">
            <v>60</v>
          </cell>
          <cell r="X1338" t="str">
            <v>230/460</v>
          </cell>
          <cell r="Y1338" t="str">
            <v>50</v>
          </cell>
          <cell r="AA1338" t="str">
            <v>Vertical</v>
          </cell>
          <cell r="AG1338" t="str">
            <v>HP</v>
          </cell>
          <cell r="AP1338" t="str">
            <v>F</v>
          </cell>
          <cell r="AQ1338" t="str">
            <v>F</v>
          </cell>
          <cell r="AT1338" t="str">
            <v>87.5</v>
          </cell>
          <cell r="AV1338" t="b">
            <v>0</v>
          </cell>
          <cell r="EX1338" t="str">
            <v>P32G0367E</v>
          </cell>
          <cell r="GK1338" t="str">
            <v>3 LEADS ONLY</v>
          </cell>
          <cell r="HD1338" t="str">
            <v>Repair Shop</v>
          </cell>
          <cell r="HT1338" t="b">
            <v>0</v>
          </cell>
          <cell r="HU1338" t="str">
            <v>VALERO REFINING CO. BENICIA</v>
          </cell>
        </row>
        <row r="1339">
          <cell r="A1339">
            <v>1409</v>
          </cell>
          <cell r="B1339" t="str">
            <v>VEM0373</v>
          </cell>
          <cell r="D1339" t="str">
            <v>VALLEJOSAN</v>
          </cell>
          <cell r="F1339" t="str">
            <v>SMITH LOVELESS</v>
          </cell>
          <cell r="G1339" t="str">
            <v>18710-XR0036</v>
          </cell>
          <cell r="H1339" t="str">
            <v>857010B1</v>
          </cell>
          <cell r="I1339" t="str">
            <v>256U</v>
          </cell>
          <cell r="K1339" t="str">
            <v>15</v>
          </cell>
          <cell r="L1339" t="str">
            <v>1800</v>
          </cell>
          <cell r="M1339" t="str">
            <v>VONO</v>
          </cell>
          <cell r="O1339" t="str">
            <v>Half no Cord</v>
          </cell>
          <cell r="P1339" t="str">
            <v>ODP</v>
          </cell>
          <cell r="R1339" t="str">
            <v>Continuous</v>
          </cell>
          <cell r="T1339" t="str">
            <v>IMPELLER</v>
          </cell>
          <cell r="U1339" t="str">
            <v>50</v>
          </cell>
          <cell r="V1339" t="str">
            <v>3</v>
          </cell>
          <cell r="W1339" t="str">
            <v>60</v>
          </cell>
          <cell r="X1339" t="str">
            <v>230/460</v>
          </cell>
          <cell r="Y1339" t="str">
            <v>38.6/19.3</v>
          </cell>
          <cell r="AA1339" t="str">
            <v>Vertical</v>
          </cell>
          <cell r="AD1339" t="str">
            <v>0</v>
          </cell>
          <cell r="AG1339" t="str">
            <v>HP</v>
          </cell>
          <cell r="AP1339" t="str">
            <v>G</v>
          </cell>
          <cell r="AS1339" t="str">
            <v>1.15</v>
          </cell>
          <cell r="AV1339" t="b">
            <v>0</v>
          </cell>
          <cell r="HD1339" t="str">
            <v>Repair Shop</v>
          </cell>
          <cell r="HT1339" t="b">
            <v>0</v>
          </cell>
          <cell r="HU1339" t="str">
            <v>VALLEJO FLOOD &amp; WASTEWATER DISTRICT</v>
          </cell>
        </row>
        <row r="1340">
          <cell r="A1340">
            <v>1408</v>
          </cell>
          <cell r="B1340" t="str">
            <v>VEM0372</v>
          </cell>
          <cell r="D1340" t="str">
            <v>VALLEJOWATER</v>
          </cell>
          <cell r="F1340" t="str">
            <v>US Motors</v>
          </cell>
          <cell r="I1340" t="str">
            <v>326VP</v>
          </cell>
          <cell r="K1340" t="str">
            <v>50</v>
          </cell>
          <cell r="L1340" t="str">
            <v>1780</v>
          </cell>
          <cell r="M1340" t="str">
            <v>RV14</v>
          </cell>
          <cell r="O1340" t="str">
            <v>None</v>
          </cell>
          <cell r="P1340" t="str">
            <v>ODP</v>
          </cell>
          <cell r="R1340" t="str">
            <v>Continuous</v>
          </cell>
          <cell r="T1340" t="str">
            <v>NONE NO KEY</v>
          </cell>
          <cell r="V1340" t="str">
            <v>3</v>
          </cell>
          <cell r="W1340" t="str">
            <v>60</v>
          </cell>
          <cell r="X1340" t="str">
            <v>460</v>
          </cell>
          <cell r="Y1340" t="str">
            <v>57</v>
          </cell>
          <cell r="AA1340" t="str">
            <v>Vertical</v>
          </cell>
          <cell r="AD1340" t="str">
            <v>0</v>
          </cell>
          <cell r="AG1340" t="str">
            <v>HP</v>
          </cell>
          <cell r="AI1340" t="str">
            <v>6211</v>
          </cell>
          <cell r="AJ1340" t="str">
            <v>7220</v>
          </cell>
          <cell r="AO1340" t="str">
            <v>B</v>
          </cell>
          <cell r="AP1340" t="str">
            <v>G</v>
          </cell>
          <cell r="AQ1340" t="str">
            <v>F</v>
          </cell>
          <cell r="AR1340" t="str">
            <v>87.7</v>
          </cell>
          <cell r="AS1340" t="str">
            <v>1.15</v>
          </cell>
          <cell r="AV1340" t="b">
            <v>0</v>
          </cell>
          <cell r="EX1340" t="str">
            <v>G0202143567-100R-01</v>
          </cell>
          <cell r="EZ1340" t="str">
            <v>standard blue paint</v>
          </cell>
          <cell r="GK1340" t="str">
            <v>YELLOW LEAD 11METAL 305 PAPER</v>
          </cell>
          <cell r="GL1340" t="str">
            <v>YELLOW LEAD 7 METAL 306 PAPER</v>
          </cell>
          <cell r="GM1340" t="str">
            <v>HAS TOP HAT</v>
          </cell>
          <cell r="HD1340" t="str">
            <v>Repair Shop</v>
          </cell>
          <cell r="HT1340" t="b">
            <v>0</v>
          </cell>
          <cell r="HU1340" t="str">
            <v>CITY OF VALLEJO WATER TREATMENT</v>
          </cell>
        </row>
        <row r="1341">
          <cell r="A1341">
            <v>1407</v>
          </cell>
          <cell r="B1341" t="str">
            <v>VEM0371</v>
          </cell>
          <cell r="D1341" t="str">
            <v>TURBO</v>
          </cell>
          <cell r="F1341" t="str">
            <v>SIEMENS ALLIS</v>
          </cell>
          <cell r="G1341" t="str">
            <v>142</v>
          </cell>
          <cell r="H1341" t="str">
            <v>1-5141-30595-1-2</v>
          </cell>
          <cell r="I1341" t="str">
            <v>405LP</v>
          </cell>
          <cell r="K1341" t="str">
            <v>100</v>
          </cell>
          <cell r="L1341" t="str">
            <v>3570</v>
          </cell>
          <cell r="O1341" t="str">
            <v>Full no Cord</v>
          </cell>
          <cell r="P1341" t="str">
            <v>TEFC</v>
          </cell>
          <cell r="R1341" t="str">
            <v>Continuous</v>
          </cell>
          <cell r="T1341" t="str">
            <v>NONE</v>
          </cell>
          <cell r="U1341" t="str">
            <v>40</v>
          </cell>
          <cell r="V1341" t="str">
            <v>3</v>
          </cell>
          <cell r="W1341" t="str">
            <v>60</v>
          </cell>
          <cell r="X1341" t="str">
            <v>460</v>
          </cell>
          <cell r="Y1341" t="str">
            <v>111</v>
          </cell>
          <cell r="AD1341" t="str">
            <v>0</v>
          </cell>
          <cell r="AG1341" t="str">
            <v>HP</v>
          </cell>
          <cell r="AO1341" t="str">
            <v>B</v>
          </cell>
          <cell r="AQ1341" t="str">
            <v>F</v>
          </cell>
          <cell r="AS1341" t="str">
            <v>1.15</v>
          </cell>
          <cell r="AT1341" t="str">
            <v>94.1</v>
          </cell>
          <cell r="AV1341" t="b">
            <v>0</v>
          </cell>
          <cell r="HD1341" t="str">
            <v>Repair Shop</v>
          </cell>
          <cell r="HT1341" t="b">
            <v>0</v>
          </cell>
          <cell r="HU1341" t="str">
            <v>TURBO MACHINE</v>
          </cell>
        </row>
        <row r="1342">
          <cell r="A1342">
            <v>1406</v>
          </cell>
          <cell r="B1342" t="str">
            <v>VEM0370</v>
          </cell>
          <cell r="D1342" t="str">
            <v>CONHAGEN</v>
          </cell>
          <cell r="F1342" t="str">
            <v>LOUIS ALLIS</v>
          </cell>
          <cell r="G1342" t="str">
            <v>CJ4B</v>
          </cell>
          <cell r="H1342" t="str">
            <v>7121852001</v>
          </cell>
          <cell r="I1342" t="str">
            <v>444HP</v>
          </cell>
          <cell r="K1342" t="str">
            <v>125</v>
          </cell>
          <cell r="L1342" t="str">
            <v>3570</v>
          </cell>
          <cell r="O1342" t="str">
            <v>None</v>
          </cell>
          <cell r="P1342" t="str">
            <v>TEFC</v>
          </cell>
          <cell r="R1342" t="str">
            <v>Continuous</v>
          </cell>
          <cell r="S1342" t="str">
            <v>No</v>
          </cell>
          <cell r="T1342" t="str">
            <v>none no key</v>
          </cell>
          <cell r="U1342" t="str">
            <v>40</v>
          </cell>
          <cell r="V1342" t="str">
            <v>3</v>
          </cell>
          <cell r="W1342" t="str">
            <v>60</v>
          </cell>
          <cell r="X1342" t="str">
            <v>460</v>
          </cell>
          <cell r="Y1342" t="str">
            <v>149</v>
          </cell>
          <cell r="AA1342" t="str">
            <v>Vertical</v>
          </cell>
          <cell r="AD1342" t="str">
            <v>-1</v>
          </cell>
          <cell r="AH1342" t="str">
            <v>3 LEADS ONLY</v>
          </cell>
          <cell r="AI1342" t="str">
            <v>6316</v>
          </cell>
          <cell r="AJ1342" t="str">
            <v>6216</v>
          </cell>
          <cell r="AO1342" t="str">
            <v>B</v>
          </cell>
          <cell r="AP1342" t="str">
            <v>G</v>
          </cell>
          <cell r="AQ1342" t="str">
            <v>F</v>
          </cell>
          <cell r="AS1342" t="str">
            <v>1.0</v>
          </cell>
          <cell r="AV1342" t="b">
            <v>0</v>
          </cell>
          <cell r="HD1342" t="str">
            <v>Repair Shop</v>
          </cell>
          <cell r="HT1342" t="b">
            <v>0</v>
          </cell>
          <cell r="HU1342" t="str">
            <v>ALFRED CONHAGEN CO. OF CA</v>
          </cell>
        </row>
        <row r="1343">
          <cell r="A1343">
            <v>1405</v>
          </cell>
          <cell r="B1343" t="str">
            <v>VEM0369</v>
          </cell>
          <cell r="D1343" t="str">
            <v>ABCPAINTING</v>
          </cell>
          <cell r="F1343" t="str">
            <v>WHEELABRATOR</v>
          </cell>
          <cell r="H1343" t="str">
            <v>71001180086</v>
          </cell>
          <cell r="I1343" t="str">
            <v>254TDZ</v>
          </cell>
          <cell r="K1343" t="str">
            <v>15</v>
          </cell>
          <cell r="L1343" t="str">
            <v>3510</v>
          </cell>
          <cell r="O1343" t="str">
            <v>Half no Cord</v>
          </cell>
          <cell r="P1343" t="str">
            <v>TEFC</v>
          </cell>
          <cell r="Q1343" t="str">
            <v>NONE</v>
          </cell>
          <cell r="R1343" t="str">
            <v>Continuous</v>
          </cell>
          <cell r="S1343" t="str">
            <v>YES</v>
          </cell>
          <cell r="T1343" t="str">
            <v>NONE</v>
          </cell>
          <cell r="U1343" t="str">
            <v>40C</v>
          </cell>
          <cell r="V1343" t="str">
            <v>3</v>
          </cell>
          <cell r="W1343" t="str">
            <v>60</v>
          </cell>
          <cell r="X1343" t="str">
            <v>230/460</v>
          </cell>
          <cell r="Z1343" t="str">
            <v>NONE</v>
          </cell>
          <cell r="AA1343" t="str">
            <v>VERT</v>
          </cell>
          <cell r="AD1343" t="str">
            <v>0</v>
          </cell>
          <cell r="AG1343" t="str">
            <v>HP</v>
          </cell>
          <cell r="AI1343" t="str">
            <v>6211</v>
          </cell>
          <cell r="AJ1343" t="str">
            <v>6208</v>
          </cell>
          <cell r="AO1343" t="str">
            <v>B</v>
          </cell>
          <cell r="AP1343" t="str">
            <v>G</v>
          </cell>
          <cell r="AQ1343" t="str">
            <v>F</v>
          </cell>
          <cell r="AR1343" t="str">
            <v>91</v>
          </cell>
          <cell r="AS1343" t="str">
            <v>1.15</v>
          </cell>
          <cell r="AT1343" t="str">
            <v>90.2</v>
          </cell>
          <cell r="AU1343" t="str">
            <v>09G600Y133G1</v>
          </cell>
          <cell r="AV1343" t="b">
            <v>0</v>
          </cell>
          <cell r="AW1343" t="str">
            <v>33.6/16.8</v>
          </cell>
          <cell r="EW1343" t="str">
            <v>7275780</v>
          </cell>
          <cell r="HD1343" t="str">
            <v>Repair Shop</v>
          </cell>
          <cell r="HT1343" t="b">
            <v>0</v>
          </cell>
          <cell r="HU1343" t="str">
            <v>ABC PAINTING</v>
          </cell>
        </row>
        <row r="1344">
          <cell r="A1344">
            <v>1404</v>
          </cell>
          <cell r="B1344" t="str">
            <v>VEM0368</v>
          </cell>
          <cell r="D1344" t="str">
            <v>P66</v>
          </cell>
          <cell r="F1344" t="str">
            <v>Reliance</v>
          </cell>
          <cell r="I1344" t="str">
            <v>286  HP</v>
          </cell>
          <cell r="K1344" t="str">
            <v>30</v>
          </cell>
          <cell r="L1344" t="str">
            <v>3540</v>
          </cell>
          <cell r="N1344" t="str">
            <v>414</v>
          </cell>
          <cell r="O1344" t="str">
            <v>Full no Cord</v>
          </cell>
          <cell r="P1344" t="str">
            <v>TEFC</v>
          </cell>
          <cell r="R1344" t="str">
            <v>Continuous</v>
          </cell>
          <cell r="S1344" t="str">
            <v>Yes</v>
          </cell>
          <cell r="T1344" t="str">
            <v>NONE</v>
          </cell>
          <cell r="V1344" t="str">
            <v>3</v>
          </cell>
          <cell r="W1344" t="str">
            <v>60</v>
          </cell>
          <cell r="X1344" t="str">
            <v>460</v>
          </cell>
          <cell r="Y1344" t="str">
            <v>33.9</v>
          </cell>
          <cell r="AA1344" t="str">
            <v>Vertical</v>
          </cell>
          <cell r="AD1344" t="str">
            <v>0</v>
          </cell>
          <cell r="AG1344" t="str">
            <v>HP</v>
          </cell>
          <cell r="AO1344" t="str">
            <v>B</v>
          </cell>
          <cell r="AP1344" t="str">
            <v>G</v>
          </cell>
          <cell r="AQ1344" t="str">
            <v>F</v>
          </cell>
          <cell r="AV1344" t="b">
            <v>0</v>
          </cell>
          <cell r="EX1344" t="str">
            <v>7392505-001</v>
          </cell>
          <cell r="GK1344" t="str">
            <v>G-137 SULFUR PUMP ON FAN SHROUD</v>
          </cell>
          <cell r="HD1344" t="str">
            <v>Repair Shop</v>
          </cell>
          <cell r="HT1344" t="b">
            <v>0</v>
          </cell>
          <cell r="HU1344" t="str">
            <v>PHILLIPS 66</v>
          </cell>
        </row>
        <row r="1345">
          <cell r="A1345">
            <v>1403</v>
          </cell>
          <cell r="B1345" t="str">
            <v>VEM0367</v>
          </cell>
          <cell r="D1345" t="str">
            <v>CONHAGEN</v>
          </cell>
          <cell r="F1345" t="str">
            <v>GE</v>
          </cell>
          <cell r="G1345" t="str">
            <v>5K6256X201B</v>
          </cell>
          <cell r="H1345" t="str">
            <v>FEJ604426</v>
          </cell>
          <cell r="I1345" t="str">
            <v>324TP16</v>
          </cell>
          <cell r="K1345" t="str">
            <v>40</v>
          </cell>
          <cell r="L1345" t="str">
            <v>3540</v>
          </cell>
          <cell r="M1345" t="str">
            <v>K</v>
          </cell>
          <cell r="O1345" t="str">
            <v>Full no Cord</v>
          </cell>
          <cell r="P1345" t="str">
            <v>TEFC</v>
          </cell>
          <cell r="R1345" t="str">
            <v>Continuous</v>
          </cell>
          <cell r="T1345" t="str">
            <v>NONE</v>
          </cell>
          <cell r="V1345" t="str">
            <v>3</v>
          </cell>
          <cell r="W1345" t="str">
            <v>60</v>
          </cell>
          <cell r="X1345" t="str">
            <v>230/460</v>
          </cell>
          <cell r="Y1345" t="str">
            <v>94/47</v>
          </cell>
          <cell r="AA1345" t="str">
            <v>Vertical</v>
          </cell>
          <cell r="AD1345" t="str">
            <v>0</v>
          </cell>
          <cell r="AG1345" t="str">
            <v>HP</v>
          </cell>
          <cell r="AP1345" t="str">
            <v>G</v>
          </cell>
          <cell r="AS1345" t="str">
            <v>1.0</v>
          </cell>
          <cell r="AV1345" t="b">
            <v>0</v>
          </cell>
          <cell r="HD1345" t="str">
            <v>Repair Shop</v>
          </cell>
          <cell r="HT1345" t="b">
            <v>0</v>
          </cell>
          <cell r="HU1345" t="str">
            <v>ALFRED CONHAGEN CO. OF CA</v>
          </cell>
        </row>
        <row r="1346">
          <cell r="A1346">
            <v>1402</v>
          </cell>
          <cell r="B1346" t="str">
            <v>VEM0366</v>
          </cell>
          <cell r="D1346" t="str">
            <v>SUPERSTORES</v>
          </cell>
          <cell r="F1346" t="str">
            <v>Lincoln</v>
          </cell>
          <cell r="H1346" t="str">
            <v>2574659</v>
          </cell>
          <cell r="I1346" t="str">
            <v>213T</v>
          </cell>
          <cell r="K1346" t="str">
            <v>7.5</v>
          </cell>
          <cell r="L1346" t="str">
            <v>1745</v>
          </cell>
          <cell r="O1346" t="str">
            <v>Half no Cord</v>
          </cell>
          <cell r="P1346" t="str">
            <v>TEFC</v>
          </cell>
          <cell r="R1346" t="str">
            <v>Continuous</v>
          </cell>
          <cell r="T1346" t="str">
            <v>NOINE</v>
          </cell>
          <cell r="U1346" t="str">
            <v>40</v>
          </cell>
          <cell r="V1346" t="str">
            <v>3</v>
          </cell>
          <cell r="W1346" t="str">
            <v>60</v>
          </cell>
          <cell r="X1346" t="str">
            <v>230/460</v>
          </cell>
          <cell r="Y1346" t="str">
            <v>20.4/10.2</v>
          </cell>
          <cell r="AA1346" t="str">
            <v>F1</v>
          </cell>
          <cell r="AD1346" t="str">
            <v>0</v>
          </cell>
          <cell r="AG1346" t="str">
            <v>HP</v>
          </cell>
          <cell r="AO1346" t="str">
            <v>B</v>
          </cell>
          <cell r="AS1346" t="str">
            <v>1.0</v>
          </cell>
          <cell r="AT1346" t="str">
            <v>82.5</v>
          </cell>
          <cell r="AV1346" t="b">
            <v>0</v>
          </cell>
          <cell r="HD1346" t="str">
            <v>Repair Shop</v>
          </cell>
          <cell r="HT1346" t="b">
            <v>0</v>
          </cell>
          <cell r="HU1346" t="str">
            <v>Producers Dairy Foods</v>
          </cell>
        </row>
        <row r="1347">
          <cell r="A1347">
            <v>1401</v>
          </cell>
          <cell r="B1347" t="str">
            <v>VEM0365</v>
          </cell>
          <cell r="D1347" t="str">
            <v>MEYER</v>
          </cell>
          <cell r="F1347" t="str">
            <v>SAUER DANFOSS</v>
          </cell>
          <cell r="H1347" t="str">
            <v>1778222</v>
          </cell>
          <cell r="K1347" t="str">
            <v>3.0</v>
          </cell>
          <cell r="L1347" t="str">
            <v>2285</v>
          </cell>
          <cell r="M1347" t="str">
            <v>35-22.6/TSL210-296</v>
          </cell>
          <cell r="O1347" t="str">
            <v>None</v>
          </cell>
          <cell r="R1347" t="str">
            <v>Intermittant</v>
          </cell>
          <cell r="T1347" t="str">
            <v>NONE</v>
          </cell>
          <cell r="Y1347" t="str">
            <v>48</v>
          </cell>
          <cell r="AD1347" t="str">
            <v>0</v>
          </cell>
          <cell r="AG1347" t="str">
            <v>KW</v>
          </cell>
          <cell r="AV1347" t="b">
            <v>0</v>
          </cell>
          <cell r="GK1347" t="str">
            <v>MATERIAL NO. 50066305</v>
          </cell>
          <cell r="HD1347" t="str">
            <v>Repair Shop</v>
          </cell>
          <cell r="HT1347" t="b">
            <v>0</v>
          </cell>
          <cell r="HU1347" t="str">
            <v>MEYER CORP</v>
          </cell>
        </row>
        <row r="1348">
          <cell r="A1348">
            <v>1400</v>
          </cell>
          <cell r="B1348" t="str">
            <v>VEM0364</v>
          </cell>
          <cell r="D1348" t="str">
            <v>ALLEN</v>
          </cell>
          <cell r="AG1348" t="str">
            <v>HP</v>
          </cell>
          <cell r="AV1348" t="b">
            <v>0</v>
          </cell>
          <cell r="HD1348" t="str">
            <v>Repair Shop</v>
          </cell>
          <cell r="HT1348" t="b">
            <v>0</v>
          </cell>
          <cell r="HU1348" t="str">
            <v>ALLEN-SIMMONS HEATING &amp; SHEET METAL</v>
          </cell>
        </row>
        <row r="1349">
          <cell r="A1349">
            <v>1399</v>
          </cell>
          <cell r="B1349" t="str">
            <v>VEM0363</v>
          </cell>
          <cell r="D1349" t="str">
            <v>VALLEJOWATER</v>
          </cell>
          <cell r="F1349" t="str">
            <v>Emerson</v>
          </cell>
          <cell r="I1349" t="str">
            <v>326VP</v>
          </cell>
          <cell r="K1349" t="str">
            <v>50</v>
          </cell>
          <cell r="L1349" t="str">
            <v>1780</v>
          </cell>
          <cell r="M1349" t="str">
            <v>RV14</v>
          </cell>
          <cell r="P1349" t="str">
            <v>WP1</v>
          </cell>
          <cell r="R1349" t="str">
            <v>Continuous</v>
          </cell>
          <cell r="W1349" t="str">
            <v>60</v>
          </cell>
          <cell r="X1349" t="str">
            <v>460</v>
          </cell>
          <cell r="Y1349" t="str">
            <v>57</v>
          </cell>
          <cell r="AG1349" t="str">
            <v>HP</v>
          </cell>
          <cell r="AI1349" t="str">
            <v>7220-B</v>
          </cell>
          <cell r="AJ1349" t="str">
            <v>6211-J</v>
          </cell>
          <cell r="AV1349" t="b">
            <v>0</v>
          </cell>
          <cell r="EX1349" t="str">
            <v>602 02143567-100R</v>
          </cell>
          <cell r="HD1349" t="str">
            <v>Repair Shop</v>
          </cell>
          <cell r="HT1349" t="b">
            <v>0</v>
          </cell>
          <cell r="HU1349" t="str">
            <v>CITY OF VALLEJO WATER TREATMENT</v>
          </cell>
        </row>
        <row r="1350">
          <cell r="A1350">
            <v>1398</v>
          </cell>
          <cell r="B1350" t="str">
            <v>VEM0362</v>
          </cell>
          <cell r="D1350" t="str">
            <v>CONHAGEN</v>
          </cell>
          <cell r="F1350" t="str">
            <v>TECO</v>
          </cell>
          <cell r="I1350" t="str">
            <v>145TC</v>
          </cell>
          <cell r="K1350" t="str">
            <v>2</v>
          </cell>
          <cell r="L1350" t="str">
            <v>1715</v>
          </cell>
          <cell r="M1350" t="str">
            <v>AEHHXF</v>
          </cell>
          <cell r="O1350" t="str">
            <v>Full no Cord</v>
          </cell>
          <cell r="P1350" t="str">
            <v>EXP</v>
          </cell>
          <cell r="R1350" t="str">
            <v>Continuous</v>
          </cell>
          <cell r="T1350" t="str">
            <v>NONE</v>
          </cell>
          <cell r="V1350" t="str">
            <v>3</v>
          </cell>
          <cell r="W1350" t="str">
            <v>60</v>
          </cell>
          <cell r="X1350" t="str">
            <v>230/460</v>
          </cell>
          <cell r="Y1350" t="str">
            <v>5.72/2.86</v>
          </cell>
          <cell r="AA1350" t="str">
            <v>F1</v>
          </cell>
          <cell r="AD1350" t="str">
            <v>0</v>
          </cell>
          <cell r="AG1350" t="str">
            <v>HP</v>
          </cell>
          <cell r="AI1350" t="str">
            <v>6205</v>
          </cell>
          <cell r="AJ1350" t="str">
            <v>6205</v>
          </cell>
          <cell r="AO1350" t="str">
            <v>B</v>
          </cell>
          <cell r="AP1350" t="str">
            <v>L</v>
          </cell>
          <cell r="AV1350" t="b">
            <v>0</v>
          </cell>
          <cell r="EW1350" t="str">
            <v>X0024C</v>
          </cell>
          <cell r="HD1350" t="str">
            <v>Repair Shop</v>
          </cell>
          <cell r="HT1350" t="b">
            <v>0</v>
          </cell>
          <cell r="HU1350" t="str">
            <v>ALFRED CONHAGEN CO. OF CA</v>
          </cell>
        </row>
        <row r="1351">
          <cell r="A1351">
            <v>1397</v>
          </cell>
          <cell r="B1351" t="str">
            <v>VEM0361</v>
          </cell>
          <cell r="D1351" t="str">
            <v>CONHAGEN</v>
          </cell>
          <cell r="F1351" t="str">
            <v>US Motors</v>
          </cell>
          <cell r="G1351" t="str">
            <v>H12325</v>
          </cell>
          <cell r="I1351" t="str">
            <v>254TC</v>
          </cell>
          <cell r="K1351" t="str">
            <v>15</v>
          </cell>
          <cell r="L1351" t="str">
            <v>1760</v>
          </cell>
          <cell r="O1351" t="str">
            <v>None</v>
          </cell>
          <cell r="P1351" t="str">
            <v>TEFC</v>
          </cell>
          <cell r="R1351" t="str">
            <v>Continuous</v>
          </cell>
          <cell r="T1351" t="str">
            <v>NONE</v>
          </cell>
          <cell r="U1351" t="str">
            <v>40</v>
          </cell>
          <cell r="V1351" t="str">
            <v>3</v>
          </cell>
          <cell r="W1351" t="str">
            <v>60</v>
          </cell>
          <cell r="X1351" t="str">
            <v>230/460</v>
          </cell>
          <cell r="Y1351" t="str">
            <v>39.2/19.6</v>
          </cell>
          <cell r="AA1351" t="str">
            <v>Vertical</v>
          </cell>
          <cell r="AG1351" t="str">
            <v>HP</v>
          </cell>
          <cell r="AI1351" t="str">
            <v>6210</v>
          </cell>
          <cell r="AJ1351" t="str">
            <v>6207</v>
          </cell>
          <cell r="AO1351" t="str">
            <v>B</v>
          </cell>
          <cell r="AP1351" t="str">
            <v>G</v>
          </cell>
          <cell r="AS1351" t="str">
            <v>1.15</v>
          </cell>
          <cell r="AT1351" t="str">
            <v>88.5</v>
          </cell>
          <cell r="AV1351" t="b">
            <v>0</v>
          </cell>
          <cell r="EX1351" t="str">
            <v>AO1Z3250308F</v>
          </cell>
          <cell r="HD1351" t="str">
            <v>Repair Shop</v>
          </cell>
          <cell r="HT1351" t="b">
            <v>0</v>
          </cell>
          <cell r="HU1351" t="str">
            <v>ALFRED CONHAGEN CO. OF CA</v>
          </cell>
        </row>
        <row r="1352">
          <cell r="A1352">
            <v>1396</v>
          </cell>
          <cell r="B1352" t="str">
            <v>VEM0360</v>
          </cell>
          <cell r="D1352" t="str">
            <v>FRFLD-SUISUN</v>
          </cell>
          <cell r="F1352" t="str">
            <v>US Motors</v>
          </cell>
          <cell r="H1352" t="str">
            <v>3524597</v>
          </cell>
          <cell r="I1352" t="str">
            <v>A365UP</v>
          </cell>
          <cell r="K1352" t="str">
            <v>30</v>
          </cell>
          <cell r="L1352" t="str">
            <v>1200</v>
          </cell>
          <cell r="M1352" t="str">
            <v>RU3</v>
          </cell>
          <cell r="O1352" t="str">
            <v>None</v>
          </cell>
          <cell r="R1352" t="str">
            <v>Continuous</v>
          </cell>
          <cell r="T1352" t="str">
            <v>ANTI-REVERSE</v>
          </cell>
          <cell r="U1352" t="str">
            <v>40</v>
          </cell>
          <cell r="V1352" t="str">
            <v>3</v>
          </cell>
          <cell r="W1352" t="str">
            <v>60</v>
          </cell>
          <cell r="X1352" t="str">
            <v>220/440</v>
          </cell>
          <cell r="Y1352" t="str">
            <v>78/39</v>
          </cell>
          <cell r="AA1352" t="str">
            <v>Vertical</v>
          </cell>
          <cell r="AD1352" t="str">
            <v>0</v>
          </cell>
          <cell r="AG1352" t="str">
            <v>HP</v>
          </cell>
          <cell r="AI1352" t="str">
            <v>6211</v>
          </cell>
          <cell r="AJ1352" t="str">
            <v>7222</v>
          </cell>
          <cell r="AV1352" t="b">
            <v>0</v>
          </cell>
          <cell r="GK1352" t="str">
            <v>NO TOP HAT</v>
          </cell>
          <cell r="HD1352" t="str">
            <v>Repair Shop</v>
          </cell>
          <cell r="HT1352" t="b">
            <v>0</v>
          </cell>
          <cell r="HU1352" t="str">
            <v>FAIRFIELD-SUISUN SEWER DISTRICT</v>
          </cell>
        </row>
        <row r="1353">
          <cell r="A1353">
            <v>1395</v>
          </cell>
          <cell r="B1353" t="str">
            <v>VEM0359</v>
          </cell>
          <cell r="D1353" t="str">
            <v>P66</v>
          </cell>
          <cell r="F1353" t="str">
            <v>Westinghouse</v>
          </cell>
          <cell r="G1353" t="str">
            <v>ABFC</v>
          </cell>
          <cell r="H1353" t="str">
            <v>6602</v>
          </cell>
          <cell r="I1353" t="str">
            <v>324UP</v>
          </cell>
          <cell r="K1353" t="str">
            <v>30</v>
          </cell>
          <cell r="L1353" t="str">
            <v>3525</v>
          </cell>
          <cell r="O1353" t="str">
            <v>Full no Cord</v>
          </cell>
          <cell r="P1353" t="str">
            <v>TEFC</v>
          </cell>
          <cell r="R1353" t="str">
            <v>Continuous</v>
          </cell>
          <cell r="S1353" t="str">
            <v>Yes</v>
          </cell>
          <cell r="T1353" t="str">
            <v>NONE</v>
          </cell>
          <cell r="U1353" t="str">
            <v>40</v>
          </cell>
          <cell r="V1353" t="str">
            <v>3</v>
          </cell>
          <cell r="W1353" t="str">
            <v>60</v>
          </cell>
          <cell r="X1353" t="str">
            <v>208-220/460</v>
          </cell>
          <cell r="Y1353" t="str">
            <v>78-73.6/36.8</v>
          </cell>
          <cell r="AA1353" t="str">
            <v>Vertical</v>
          </cell>
          <cell r="AD1353" t="str">
            <v>0</v>
          </cell>
          <cell r="AG1353" t="str">
            <v>HP</v>
          </cell>
          <cell r="AI1353" t="str">
            <v>6312</v>
          </cell>
          <cell r="AJ1353" t="str">
            <v>6209</v>
          </cell>
          <cell r="AS1353" t="str">
            <v>1.0</v>
          </cell>
          <cell r="AV1353" t="b">
            <v>0</v>
          </cell>
          <cell r="GK1353" t="str">
            <v>RAIN COVER</v>
          </cell>
          <cell r="HD1353" t="str">
            <v>Repair Shop</v>
          </cell>
          <cell r="HT1353" t="b">
            <v>0</v>
          </cell>
          <cell r="HU1353" t="str">
            <v>PHILLIPS 66</v>
          </cell>
        </row>
        <row r="1354">
          <cell r="A1354">
            <v>1394</v>
          </cell>
          <cell r="B1354" t="str">
            <v>VEM0358</v>
          </cell>
          <cell r="D1354" t="str">
            <v>P66</v>
          </cell>
          <cell r="F1354" t="str">
            <v>GE</v>
          </cell>
          <cell r="G1354" t="str">
            <v>5K184PK59</v>
          </cell>
          <cell r="H1354" t="str">
            <v>AD</v>
          </cell>
          <cell r="I1354" t="str">
            <v>184TPZ</v>
          </cell>
          <cell r="K1354" t="str">
            <v>5</v>
          </cell>
          <cell r="L1354" t="str">
            <v>3510</v>
          </cell>
          <cell r="M1354" t="str">
            <v>K</v>
          </cell>
          <cell r="O1354" t="str">
            <v>Full no Cord</v>
          </cell>
          <cell r="P1354" t="str">
            <v>TEFC</v>
          </cell>
          <cell r="R1354" t="str">
            <v>Continuous</v>
          </cell>
          <cell r="T1354" t="str">
            <v>NONE</v>
          </cell>
          <cell r="U1354" t="str">
            <v>40</v>
          </cell>
          <cell r="V1354" t="str">
            <v>3</v>
          </cell>
          <cell r="W1354" t="str">
            <v>60</v>
          </cell>
          <cell r="AA1354" t="str">
            <v>Vertical</v>
          </cell>
          <cell r="AD1354" t="str">
            <v>-1</v>
          </cell>
          <cell r="AG1354" t="str">
            <v>HP</v>
          </cell>
          <cell r="AP1354" t="str">
            <v>H</v>
          </cell>
          <cell r="AQ1354" t="str">
            <v>B</v>
          </cell>
          <cell r="AS1354" t="str">
            <v>1.0</v>
          </cell>
          <cell r="AV1354" t="b">
            <v>0</v>
          </cell>
          <cell r="GK1354" t="str">
            <v>RAIN COVER</v>
          </cell>
          <cell r="HD1354" t="str">
            <v>Repair Shop</v>
          </cell>
          <cell r="HT1354" t="b">
            <v>0</v>
          </cell>
          <cell r="HU1354" t="str">
            <v>PHILLIPS 66</v>
          </cell>
        </row>
        <row r="1355">
          <cell r="A1355">
            <v>1393</v>
          </cell>
          <cell r="B1355" t="str">
            <v>VEM0357</v>
          </cell>
          <cell r="D1355" t="str">
            <v>VALERO</v>
          </cell>
          <cell r="E1355" t="str">
            <v>PUMP MOTOR</v>
          </cell>
          <cell r="F1355" t="str">
            <v>FLYGT</v>
          </cell>
          <cell r="K1355" t="str">
            <v>15</v>
          </cell>
          <cell r="L1355" t="str">
            <v>1155</v>
          </cell>
          <cell r="R1355" t="str">
            <v>Continuous</v>
          </cell>
          <cell r="V1355" t="str">
            <v>3</v>
          </cell>
          <cell r="W1355" t="str">
            <v>60</v>
          </cell>
          <cell r="X1355" t="str">
            <v>230/460</v>
          </cell>
          <cell r="Y1355" t="str">
            <v>22/46</v>
          </cell>
          <cell r="AD1355" t="str">
            <v>0</v>
          </cell>
          <cell r="AG1355" t="str">
            <v>HP</v>
          </cell>
          <cell r="AV1355" t="b">
            <v>0</v>
          </cell>
          <cell r="GK1355" t="str">
            <v>CONNECTED 460 VOLT</v>
          </cell>
          <cell r="GL1355" t="str">
            <v>5 LEADS TOTAL</v>
          </cell>
          <cell r="HD1355" t="str">
            <v>Repair Shop</v>
          </cell>
          <cell r="HT1355" t="b">
            <v>0</v>
          </cell>
          <cell r="HU1355" t="str">
            <v>VALERO REFINING CO. BENICIA</v>
          </cell>
        </row>
        <row r="1356">
          <cell r="A1356">
            <v>1392</v>
          </cell>
          <cell r="B1356" t="str">
            <v>VEM0356</v>
          </cell>
          <cell r="D1356" t="str">
            <v>C&amp;H</v>
          </cell>
          <cell r="F1356" t="str">
            <v>ALLIS CHALMERS</v>
          </cell>
          <cell r="G1356" t="str">
            <v>CENTRIFUGAL</v>
          </cell>
          <cell r="H1356" t="str">
            <v>1-5110-07584-1-1</v>
          </cell>
          <cell r="I1356" t="str">
            <v>30ES8</v>
          </cell>
          <cell r="K1356" t="str">
            <v>50</v>
          </cell>
          <cell r="L1356" t="str">
            <v>450/900</v>
          </cell>
          <cell r="M1356" t="str">
            <v>AWVHS</v>
          </cell>
          <cell r="O1356" t="str">
            <v>None</v>
          </cell>
          <cell r="P1356" t="str">
            <v>ODP</v>
          </cell>
          <cell r="R1356" t="str">
            <v>Continuous</v>
          </cell>
          <cell r="T1356" t="str">
            <v>NONE</v>
          </cell>
          <cell r="U1356" t="str">
            <v>100</v>
          </cell>
          <cell r="V1356" t="str">
            <v>3</v>
          </cell>
          <cell r="W1356" t="str">
            <v>60</v>
          </cell>
          <cell r="Y1356" t="str">
            <v>LR  500-310</v>
          </cell>
          <cell r="AA1356" t="str">
            <v>Vertical</v>
          </cell>
          <cell r="AD1356" t="str">
            <v>0</v>
          </cell>
          <cell r="AG1356" t="str">
            <v>HP</v>
          </cell>
          <cell r="AI1356" t="str">
            <v>6222</v>
          </cell>
          <cell r="AJ1356" t="str">
            <v>7319</v>
          </cell>
          <cell r="AV1356" t="b">
            <v>0</v>
          </cell>
          <cell r="HD1356" t="str">
            <v>Repair Shop</v>
          </cell>
          <cell r="HT1356" t="b">
            <v>0</v>
          </cell>
          <cell r="HU1356" t="str">
            <v>C &amp; H SUGAR CO.</v>
          </cell>
        </row>
        <row r="1357">
          <cell r="A1357">
            <v>1391</v>
          </cell>
          <cell r="B1357" t="str">
            <v>VEM0355</v>
          </cell>
          <cell r="D1357" t="str">
            <v>C&amp;H</v>
          </cell>
          <cell r="AG1357" t="str">
            <v>HP</v>
          </cell>
          <cell r="AV1357" t="b">
            <v>0</v>
          </cell>
          <cell r="HD1357" t="str">
            <v>Repair Shop</v>
          </cell>
          <cell r="HT1357" t="b">
            <v>0</v>
          </cell>
          <cell r="HU1357" t="str">
            <v>C &amp; H SUGAR CO.</v>
          </cell>
        </row>
        <row r="1358">
          <cell r="A1358">
            <v>1390</v>
          </cell>
          <cell r="B1358" t="str">
            <v>VEM0354</v>
          </cell>
          <cell r="D1358" t="str">
            <v>P66</v>
          </cell>
          <cell r="F1358" t="str">
            <v>Baldor</v>
          </cell>
          <cell r="H1358" t="str">
            <v>F1306280188</v>
          </cell>
          <cell r="I1358" t="str">
            <v>56C</v>
          </cell>
          <cell r="K1358" t="str">
            <v>1</v>
          </cell>
          <cell r="L1358" t="str">
            <v>1750</v>
          </cell>
          <cell r="O1358" t="str">
            <v>Full no Cord</v>
          </cell>
          <cell r="P1358" t="str">
            <v>EXP</v>
          </cell>
          <cell r="R1358" t="str">
            <v>Continuous</v>
          </cell>
          <cell r="T1358" t="str">
            <v>NONE</v>
          </cell>
          <cell r="U1358" t="str">
            <v>40</v>
          </cell>
          <cell r="V1358" t="str">
            <v>3</v>
          </cell>
          <cell r="W1358" t="str">
            <v>60</v>
          </cell>
          <cell r="X1358" t="str">
            <v>230/460</v>
          </cell>
          <cell r="Y1358" t="str">
            <v>2.8/1.4</v>
          </cell>
          <cell r="AA1358" t="str">
            <v>Vertical</v>
          </cell>
          <cell r="AG1358" t="str">
            <v>HP</v>
          </cell>
          <cell r="AQ1358" t="str">
            <v>F</v>
          </cell>
          <cell r="AS1358" t="str">
            <v>1.00</v>
          </cell>
          <cell r="AT1358" t="str">
            <v>86.5</v>
          </cell>
          <cell r="AU1358" t="str">
            <v>35Y027S396G1</v>
          </cell>
          <cell r="AV1358" t="b">
            <v>0</v>
          </cell>
          <cell r="HD1358" t="str">
            <v>Repair Shop</v>
          </cell>
          <cell r="HT1358" t="b">
            <v>0</v>
          </cell>
          <cell r="HU1358" t="str">
            <v>PHILLIPS 66</v>
          </cell>
        </row>
        <row r="1359">
          <cell r="A1359">
            <v>1389</v>
          </cell>
          <cell r="B1359" t="str">
            <v>VEM0353</v>
          </cell>
          <cell r="D1359" t="str">
            <v>VALERO</v>
          </cell>
          <cell r="F1359" t="str">
            <v>Westinghouse</v>
          </cell>
          <cell r="G1359" t="str">
            <v>TAFC</v>
          </cell>
          <cell r="H1359" t="str">
            <v>6905</v>
          </cell>
          <cell r="I1359" t="str">
            <v>326TS</v>
          </cell>
          <cell r="K1359" t="str">
            <v>50</v>
          </cell>
          <cell r="L1359" t="str">
            <v>3555</v>
          </cell>
          <cell r="O1359" t="str">
            <v>Full no Cord</v>
          </cell>
          <cell r="P1359" t="str">
            <v>TEFC</v>
          </cell>
          <cell r="R1359" t="str">
            <v>Continuous</v>
          </cell>
          <cell r="S1359" t="str">
            <v>Yes</v>
          </cell>
          <cell r="T1359" t="str">
            <v>YES</v>
          </cell>
          <cell r="V1359" t="str">
            <v>3</v>
          </cell>
          <cell r="W1359" t="str">
            <v>60</v>
          </cell>
          <cell r="X1359" t="str">
            <v>230/460</v>
          </cell>
          <cell r="Y1359" t="str">
            <v>116/58</v>
          </cell>
          <cell r="AA1359" t="str">
            <v>F1</v>
          </cell>
          <cell r="AD1359" t="str">
            <v>0</v>
          </cell>
          <cell r="AG1359" t="str">
            <v>HP</v>
          </cell>
          <cell r="AO1359" t="str">
            <v>B</v>
          </cell>
          <cell r="AS1359" t="str">
            <v>1.0</v>
          </cell>
          <cell r="AV1359" t="b">
            <v>0</v>
          </cell>
          <cell r="HD1359" t="str">
            <v>Repair Shop</v>
          </cell>
          <cell r="HT1359" t="b">
            <v>0</v>
          </cell>
          <cell r="HU1359" t="str">
            <v>VALERO REFINING CO. BENICIA</v>
          </cell>
        </row>
        <row r="1360">
          <cell r="A1360">
            <v>1388</v>
          </cell>
          <cell r="B1360" t="str">
            <v>VEM0352</v>
          </cell>
          <cell r="D1360" t="str">
            <v>VALERO</v>
          </cell>
          <cell r="F1360" t="str">
            <v>US Motors</v>
          </cell>
          <cell r="I1360" t="str">
            <v>364TS</v>
          </cell>
          <cell r="K1360" t="str">
            <v>60</v>
          </cell>
          <cell r="L1360" t="str">
            <v>1780</v>
          </cell>
          <cell r="O1360" t="str">
            <v>Full no Cord</v>
          </cell>
          <cell r="P1360" t="str">
            <v>TEFC</v>
          </cell>
          <cell r="R1360" t="str">
            <v>Continuous</v>
          </cell>
          <cell r="T1360" t="str">
            <v>FLUSH</v>
          </cell>
          <cell r="U1360" t="str">
            <v>40</v>
          </cell>
          <cell r="V1360" t="str">
            <v>3</v>
          </cell>
          <cell r="W1360" t="str">
            <v>60</v>
          </cell>
          <cell r="X1360" t="str">
            <v>230/460</v>
          </cell>
          <cell r="Y1360" t="str">
            <v>144/72</v>
          </cell>
          <cell r="AA1360" t="str">
            <v>F1</v>
          </cell>
          <cell r="AD1360" t="str">
            <v>-1</v>
          </cell>
          <cell r="AG1360" t="str">
            <v>HP</v>
          </cell>
          <cell r="AI1360" t="str">
            <v>6212</v>
          </cell>
          <cell r="AJ1360" t="str">
            <v>6212</v>
          </cell>
          <cell r="AO1360" t="str">
            <v>B</v>
          </cell>
          <cell r="AQ1360" t="str">
            <v>F</v>
          </cell>
          <cell r="AS1360" t="str">
            <v>1.15</v>
          </cell>
          <cell r="AT1360" t="str">
            <v>93</v>
          </cell>
          <cell r="AV1360" t="b">
            <v>0</v>
          </cell>
          <cell r="EX1360" t="str">
            <v>F215-50-Y08Y160R095M</v>
          </cell>
          <cell r="HD1360" t="str">
            <v>Repair Shop</v>
          </cell>
          <cell r="HT1360" t="b">
            <v>0</v>
          </cell>
          <cell r="HU1360" t="str">
            <v>VALERO REFINING CO. BENICIA</v>
          </cell>
        </row>
        <row r="1361">
          <cell r="A1361">
            <v>1387</v>
          </cell>
          <cell r="B1361" t="str">
            <v>VEM0351</v>
          </cell>
          <cell r="D1361" t="str">
            <v>CONHAGEN</v>
          </cell>
          <cell r="F1361" t="str">
            <v>Reliance</v>
          </cell>
          <cell r="H1361" t="str">
            <v>05MAF973909G001</v>
          </cell>
          <cell r="I1361" t="str">
            <v>284HPZ</v>
          </cell>
          <cell r="K1361" t="str">
            <v>25</v>
          </cell>
          <cell r="L1361" t="str">
            <v>3535</v>
          </cell>
          <cell r="M1361" t="str">
            <v>P</v>
          </cell>
          <cell r="N1361" t="str">
            <v>491</v>
          </cell>
          <cell r="O1361" t="str">
            <v>Full no Cord</v>
          </cell>
          <cell r="P1361" t="str">
            <v>TEFC</v>
          </cell>
          <cell r="R1361" t="str">
            <v>Continuous</v>
          </cell>
          <cell r="T1361" t="str">
            <v>FEM SPLINES</v>
          </cell>
          <cell r="U1361" t="str">
            <v>40</v>
          </cell>
          <cell r="V1361" t="str">
            <v>3</v>
          </cell>
          <cell r="W1361" t="str">
            <v>60</v>
          </cell>
          <cell r="X1361" t="str">
            <v>460</v>
          </cell>
          <cell r="Y1361" t="str">
            <v>28.1</v>
          </cell>
          <cell r="AA1361" t="str">
            <v>Vertical</v>
          </cell>
          <cell r="AD1361" t="str">
            <v>-1</v>
          </cell>
          <cell r="AG1361" t="str">
            <v>HP</v>
          </cell>
          <cell r="AI1361" t="str">
            <v>6312</v>
          </cell>
          <cell r="AJ1361" t="str">
            <v>6310</v>
          </cell>
          <cell r="AO1361" t="str">
            <v>B</v>
          </cell>
          <cell r="AP1361" t="str">
            <v>G</v>
          </cell>
          <cell r="AQ1361" t="str">
            <v>F</v>
          </cell>
          <cell r="AS1361" t="str">
            <v>1.15</v>
          </cell>
          <cell r="AT1361" t="str">
            <v>92.4</v>
          </cell>
          <cell r="AV1361" t="b">
            <v>0</v>
          </cell>
          <cell r="GK1361" t="str">
            <v>WITH RAIN COVER</v>
          </cell>
          <cell r="HD1361" t="str">
            <v>Repair Shop</v>
          </cell>
          <cell r="HT1361" t="b">
            <v>1</v>
          </cell>
          <cell r="HU1361" t="str">
            <v>ALFRED CONHAGEN CO. OF CA</v>
          </cell>
        </row>
        <row r="1362">
          <cell r="A1362">
            <v>1386</v>
          </cell>
          <cell r="B1362" t="str">
            <v>VEM0350</v>
          </cell>
          <cell r="D1362" t="str">
            <v>CONHAGEN</v>
          </cell>
          <cell r="F1362" t="str">
            <v>Siemens</v>
          </cell>
          <cell r="H1362" t="str">
            <v>Q2-G14T0133P3</v>
          </cell>
          <cell r="I1362" t="str">
            <v>184HP</v>
          </cell>
          <cell r="K1362" t="str">
            <v>5</v>
          </cell>
          <cell r="L1362" t="str">
            <v>3490</v>
          </cell>
          <cell r="M1362" t="str">
            <v>RGZZVESD</v>
          </cell>
          <cell r="N1362" t="str">
            <v>125</v>
          </cell>
          <cell r="O1362" t="str">
            <v>Full no Cord</v>
          </cell>
          <cell r="P1362" t="str">
            <v>TEFC</v>
          </cell>
          <cell r="R1362" t="str">
            <v>Continuous</v>
          </cell>
          <cell r="T1362" t="str">
            <v>NONE NO KEY</v>
          </cell>
          <cell r="U1362" t="str">
            <v>40</v>
          </cell>
          <cell r="V1362" t="str">
            <v>3</v>
          </cell>
          <cell r="W1362" t="str">
            <v>60</v>
          </cell>
          <cell r="X1362" t="str">
            <v>230/460</v>
          </cell>
          <cell r="Y1362" t="str">
            <v>11.6/5.8</v>
          </cell>
          <cell r="AA1362" t="str">
            <v>Vertical</v>
          </cell>
          <cell r="AD1362" t="str">
            <v>0</v>
          </cell>
          <cell r="AG1362" t="str">
            <v>HP</v>
          </cell>
          <cell r="AO1362" t="str">
            <v>B</v>
          </cell>
          <cell r="AP1362" t="str">
            <v>J</v>
          </cell>
          <cell r="AQ1362" t="str">
            <v>F</v>
          </cell>
          <cell r="AS1362" t="str">
            <v>1.0</v>
          </cell>
          <cell r="AV1362" t="b">
            <v>0</v>
          </cell>
          <cell r="HD1362" t="str">
            <v>Repair Shop</v>
          </cell>
          <cell r="HT1362" t="b">
            <v>0</v>
          </cell>
          <cell r="HU1362" t="str">
            <v>ALFRED CONHAGEN CO. OF CA</v>
          </cell>
        </row>
        <row r="1363">
          <cell r="A1363">
            <v>1385</v>
          </cell>
          <cell r="B1363" t="str">
            <v>VEM0349</v>
          </cell>
          <cell r="D1363" t="str">
            <v>CONHAGEN</v>
          </cell>
          <cell r="F1363" t="str">
            <v>Siemens</v>
          </cell>
          <cell r="H1363" t="str">
            <v>J05T0164P2</v>
          </cell>
          <cell r="I1363" t="str">
            <v>184HP</v>
          </cell>
          <cell r="K1363" t="str">
            <v>5</v>
          </cell>
          <cell r="L1363" t="str">
            <v>3490</v>
          </cell>
          <cell r="M1363" t="str">
            <v>RGZVESD</v>
          </cell>
          <cell r="N1363" t="str">
            <v>125</v>
          </cell>
          <cell r="O1363" t="str">
            <v>Full no Cord</v>
          </cell>
          <cell r="P1363" t="str">
            <v>EXP</v>
          </cell>
          <cell r="R1363" t="str">
            <v>Continuous</v>
          </cell>
          <cell r="T1363" t="str">
            <v>KEY ONLY</v>
          </cell>
          <cell r="U1363" t="str">
            <v>40</v>
          </cell>
          <cell r="V1363" t="str">
            <v>3</v>
          </cell>
          <cell r="W1363" t="str">
            <v>60</v>
          </cell>
          <cell r="X1363" t="str">
            <v>230/460</v>
          </cell>
          <cell r="Y1363" t="str">
            <v>11.6/5.8</v>
          </cell>
          <cell r="AA1363" t="str">
            <v>Vertical</v>
          </cell>
          <cell r="AD1363" t="str">
            <v>0</v>
          </cell>
          <cell r="AG1363" t="str">
            <v>HP</v>
          </cell>
          <cell r="AO1363" t="str">
            <v>B</v>
          </cell>
          <cell r="AQ1363" t="str">
            <v>F</v>
          </cell>
          <cell r="AS1363" t="str">
            <v>1.15</v>
          </cell>
          <cell r="AT1363" t="str">
            <v>86.5</v>
          </cell>
          <cell r="AV1363" t="b">
            <v>0</v>
          </cell>
          <cell r="HD1363" t="str">
            <v>Repair Shop</v>
          </cell>
          <cell r="HT1363" t="b">
            <v>0</v>
          </cell>
          <cell r="HU1363" t="str">
            <v>ALFRED CONHAGEN CO. OF CA</v>
          </cell>
        </row>
        <row r="1364">
          <cell r="A1364">
            <v>1384</v>
          </cell>
          <cell r="B1364" t="str">
            <v>VEM0348</v>
          </cell>
          <cell r="D1364" t="str">
            <v>CETOLAND</v>
          </cell>
          <cell r="AG1364" t="str">
            <v>HP</v>
          </cell>
          <cell r="AV1364" t="b">
            <v>0</v>
          </cell>
          <cell r="HD1364" t="str">
            <v>Repair Shop</v>
          </cell>
          <cell r="HT1364" t="b">
            <v>0</v>
          </cell>
          <cell r="HU1364" t="str">
            <v>C.E. TOLAND &amp; SON</v>
          </cell>
        </row>
        <row r="1365">
          <cell r="A1365">
            <v>1383</v>
          </cell>
          <cell r="B1365" t="str">
            <v>VEM0347</v>
          </cell>
          <cell r="D1365" t="str">
            <v>VALERO</v>
          </cell>
          <cell r="F1365" t="str">
            <v>Reliance</v>
          </cell>
          <cell r="I1365" t="str">
            <v>286T</v>
          </cell>
          <cell r="K1365" t="str">
            <v>30</v>
          </cell>
          <cell r="L1365" t="str">
            <v>1770</v>
          </cell>
          <cell r="M1365" t="str">
            <v>P</v>
          </cell>
          <cell r="O1365" t="str">
            <v>Full no Cord</v>
          </cell>
          <cell r="P1365" t="str">
            <v>TEFC</v>
          </cell>
          <cell r="R1365" t="str">
            <v>Continuous</v>
          </cell>
          <cell r="T1365" t="str">
            <v>KEY ONLY</v>
          </cell>
          <cell r="U1365" t="str">
            <v>40</v>
          </cell>
          <cell r="V1365" t="str">
            <v>3</v>
          </cell>
          <cell r="W1365" t="str">
            <v>60</v>
          </cell>
          <cell r="X1365" t="str">
            <v>460</v>
          </cell>
          <cell r="Y1365" t="str">
            <v>35.6</v>
          </cell>
          <cell r="AA1365" t="str">
            <v>F1</v>
          </cell>
          <cell r="AD1365" t="str">
            <v>0</v>
          </cell>
          <cell r="AG1365" t="str">
            <v>HP</v>
          </cell>
          <cell r="AO1365" t="str">
            <v>B</v>
          </cell>
          <cell r="AP1365" t="str">
            <v>G</v>
          </cell>
          <cell r="AR1365" t="str">
            <v>84.5</v>
          </cell>
          <cell r="AV1365" t="b">
            <v>0</v>
          </cell>
          <cell r="EX1365" t="str">
            <v>P28G3314F-G6VK</v>
          </cell>
          <cell r="HD1365" t="str">
            <v>Repair Shop</v>
          </cell>
          <cell r="HT1365" t="b">
            <v>0</v>
          </cell>
          <cell r="HU1365" t="str">
            <v>VALERO REFINING CO. BENICIA</v>
          </cell>
        </row>
        <row r="1366">
          <cell r="A1366">
            <v>1382</v>
          </cell>
          <cell r="B1366" t="str">
            <v>VEM0346</v>
          </cell>
          <cell r="D1366" t="str">
            <v>VALERO</v>
          </cell>
          <cell r="F1366" t="str">
            <v>Siemens</v>
          </cell>
          <cell r="I1366" t="str">
            <v>286T</v>
          </cell>
          <cell r="K1366" t="str">
            <v>30</v>
          </cell>
          <cell r="L1366" t="str">
            <v>1765</v>
          </cell>
          <cell r="M1366" t="str">
            <v>RGZESD</v>
          </cell>
          <cell r="O1366" t="str">
            <v>Full no Cord</v>
          </cell>
          <cell r="P1366" t="str">
            <v>TEFC</v>
          </cell>
          <cell r="R1366" t="str">
            <v>Continuous</v>
          </cell>
          <cell r="T1366" t="str">
            <v>KEY ONLY</v>
          </cell>
          <cell r="U1366" t="str">
            <v>40</v>
          </cell>
          <cell r="V1366" t="str">
            <v>3</v>
          </cell>
          <cell r="W1366" t="str">
            <v>60</v>
          </cell>
          <cell r="X1366" t="str">
            <v>460</v>
          </cell>
          <cell r="Y1366" t="str">
            <v>34.9</v>
          </cell>
          <cell r="AA1366" t="str">
            <v>F1</v>
          </cell>
          <cell r="AD1366" t="str">
            <v>0</v>
          </cell>
          <cell r="AG1366" t="str">
            <v>HP</v>
          </cell>
          <cell r="AP1366" t="str">
            <v>G</v>
          </cell>
          <cell r="AQ1366" t="str">
            <v>F</v>
          </cell>
          <cell r="AS1366" t="str">
            <v>1.15</v>
          </cell>
          <cell r="AT1366" t="str">
            <v>93.6</v>
          </cell>
          <cell r="AV1366" t="b">
            <v>0</v>
          </cell>
          <cell r="GK1366" t="str">
            <v>WITH RAIN COVER</v>
          </cell>
          <cell r="GL1366" t="str">
            <v>ORD#1LA02864SE41</v>
          </cell>
          <cell r="HD1366" t="str">
            <v>Repair Shop</v>
          </cell>
          <cell r="HT1366" t="b">
            <v>0</v>
          </cell>
          <cell r="HU1366" t="str">
            <v>VALERO REFINING CO. BENICIA</v>
          </cell>
        </row>
        <row r="1367">
          <cell r="A1367">
            <v>1381</v>
          </cell>
          <cell r="B1367" t="str">
            <v>VEM0345</v>
          </cell>
          <cell r="D1367" t="str">
            <v>VALERO</v>
          </cell>
          <cell r="F1367" t="str">
            <v>GE</v>
          </cell>
          <cell r="G1367" t="str">
            <v>M9446</v>
          </cell>
          <cell r="I1367" t="str">
            <v>286TS</v>
          </cell>
          <cell r="K1367" t="str">
            <v>30</v>
          </cell>
          <cell r="L1367" t="str">
            <v>3600</v>
          </cell>
          <cell r="P1367" t="str">
            <v>TEFC IEEE841</v>
          </cell>
          <cell r="V1367" t="str">
            <v>3</v>
          </cell>
          <cell r="W1367" t="str">
            <v>60</v>
          </cell>
          <cell r="X1367" t="str">
            <v>460</v>
          </cell>
          <cell r="AD1367" t="str">
            <v>0</v>
          </cell>
          <cell r="AG1367" t="str">
            <v>HP</v>
          </cell>
          <cell r="AV1367" t="b">
            <v>0</v>
          </cell>
          <cell r="EW1367" t="str">
            <v>M9446</v>
          </cell>
          <cell r="HD1367" t="str">
            <v>Repair Shop</v>
          </cell>
          <cell r="HT1367" t="b">
            <v>0</v>
          </cell>
          <cell r="HU1367" t="str">
            <v>VALERO REFINING CO. BENICIA</v>
          </cell>
        </row>
        <row r="1368">
          <cell r="A1368">
            <v>1379</v>
          </cell>
          <cell r="B1368" t="str">
            <v>VEM0343</v>
          </cell>
          <cell r="D1368" t="str">
            <v>SUPERSTORES</v>
          </cell>
          <cell r="F1368" t="str">
            <v>Baldor</v>
          </cell>
          <cell r="H1368" t="str">
            <v>09704</v>
          </cell>
          <cell r="I1368" t="str">
            <v>254TC</v>
          </cell>
          <cell r="K1368" t="str">
            <v>15</v>
          </cell>
          <cell r="L1368" t="str">
            <v>1760</v>
          </cell>
          <cell r="O1368" t="str">
            <v>Full no Cord</v>
          </cell>
          <cell r="P1368" t="str">
            <v>TEFC</v>
          </cell>
          <cell r="R1368" t="str">
            <v>Continuous</v>
          </cell>
          <cell r="T1368" t="str">
            <v>NONE NO KEY</v>
          </cell>
          <cell r="U1368" t="str">
            <v>40</v>
          </cell>
          <cell r="V1368" t="str">
            <v>3</v>
          </cell>
          <cell r="W1368" t="str">
            <v>60</v>
          </cell>
          <cell r="X1368" t="str">
            <v>230/460</v>
          </cell>
          <cell r="Y1368" t="str">
            <v>34.6/17.3</v>
          </cell>
          <cell r="AA1368" t="str">
            <v>F1</v>
          </cell>
          <cell r="AD1368" t="str">
            <v>0</v>
          </cell>
          <cell r="AG1368" t="str">
            <v>HP</v>
          </cell>
          <cell r="AO1368" t="str">
            <v>B</v>
          </cell>
          <cell r="AP1368" t="str">
            <v>G</v>
          </cell>
          <cell r="AQ1368" t="str">
            <v>F</v>
          </cell>
          <cell r="AR1368" t="str">
            <v>89</v>
          </cell>
          <cell r="AS1368" t="str">
            <v>1.15</v>
          </cell>
          <cell r="AT1368" t="str">
            <v>91</v>
          </cell>
          <cell r="AU1368" t="str">
            <v>39J54W454</v>
          </cell>
          <cell r="AV1368" t="b">
            <v>0</v>
          </cell>
          <cell r="EW1368" t="str">
            <v>CWDM23933T</v>
          </cell>
          <cell r="HD1368" t="str">
            <v>Repair Shop</v>
          </cell>
          <cell r="HT1368" t="b">
            <v>0</v>
          </cell>
          <cell r="HU1368" t="str">
            <v>Producers Dairy Foods</v>
          </cell>
        </row>
        <row r="1369">
          <cell r="A1369">
            <v>1378</v>
          </cell>
          <cell r="B1369" t="str">
            <v>VEM0342</v>
          </cell>
          <cell r="D1369" t="str">
            <v>SUPERSTORES</v>
          </cell>
          <cell r="F1369" t="str">
            <v>US Motors</v>
          </cell>
          <cell r="K1369" t="str">
            <v>2</v>
          </cell>
          <cell r="L1369" t="str">
            <v>875</v>
          </cell>
          <cell r="O1369" t="str">
            <v>Full no Cord</v>
          </cell>
          <cell r="R1369" t="str">
            <v>aa</v>
          </cell>
          <cell r="T1369" t="str">
            <v>NONE NO KEY</v>
          </cell>
          <cell r="U1369" t="str">
            <v>40</v>
          </cell>
          <cell r="V1369" t="str">
            <v>3</v>
          </cell>
          <cell r="W1369" t="str">
            <v>60</v>
          </cell>
          <cell r="X1369" t="str">
            <v>230/460</v>
          </cell>
          <cell r="Y1369" t="str">
            <v>7.6/3.8</v>
          </cell>
          <cell r="AA1369" t="str">
            <v>F1</v>
          </cell>
          <cell r="AD1369" t="str">
            <v>0</v>
          </cell>
          <cell r="AG1369" t="str">
            <v>HP</v>
          </cell>
          <cell r="AO1369" t="str">
            <v>B</v>
          </cell>
          <cell r="AP1369" t="str">
            <v>G</v>
          </cell>
          <cell r="AQ1369" t="str">
            <v>F</v>
          </cell>
          <cell r="AS1369" t="str">
            <v>1.15</v>
          </cell>
          <cell r="AT1369" t="str">
            <v>82.5</v>
          </cell>
          <cell r="AV1369" t="b">
            <v>0</v>
          </cell>
          <cell r="EW1369" t="str">
            <v>N2E4E</v>
          </cell>
          <cell r="EX1369" t="str">
            <v>F11 02128016100F</v>
          </cell>
          <cell r="HD1369" t="str">
            <v>Repair Shop</v>
          </cell>
          <cell r="HT1369" t="b">
            <v>0</v>
          </cell>
          <cell r="HU1369" t="str">
            <v>Producers Dairy Foods</v>
          </cell>
        </row>
        <row r="1370">
          <cell r="A1370">
            <v>1377</v>
          </cell>
          <cell r="B1370" t="str">
            <v>VEM0341</v>
          </cell>
          <cell r="D1370" t="str">
            <v>ASSOCIATEDFLOW</v>
          </cell>
          <cell r="AG1370" t="str">
            <v>HP</v>
          </cell>
          <cell r="AV1370" t="b">
            <v>0</v>
          </cell>
          <cell r="HD1370" t="str">
            <v>Repair Shop</v>
          </cell>
          <cell r="HT1370" t="b">
            <v>0</v>
          </cell>
          <cell r="HU1370" t="str">
            <v>ASSOCIATED FLOW CONTROL</v>
          </cell>
        </row>
        <row r="1371">
          <cell r="A1371">
            <v>1376</v>
          </cell>
          <cell r="B1371" t="str">
            <v>VEM0340</v>
          </cell>
          <cell r="D1371" t="str">
            <v>UNICO</v>
          </cell>
          <cell r="F1371" t="str">
            <v>ABS</v>
          </cell>
          <cell r="G1371" t="str">
            <v>K252P</v>
          </cell>
          <cell r="K1371" t="str">
            <v>40</v>
          </cell>
          <cell r="L1371" t="str">
            <v>1180</v>
          </cell>
          <cell r="V1371" t="str">
            <v>3</v>
          </cell>
          <cell r="W1371" t="str">
            <v>60</v>
          </cell>
          <cell r="X1371" t="str">
            <v>460</v>
          </cell>
          <cell r="Y1371" t="str">
            <v>52</v>
          </cell>
          <cell r="AG1371" t="str">
            <v>HP</v>
          </cell>
          <cell r="AV1371" t="b">
            <v>0</v>
          </cell>
          <cell r="BC1371" t="str">
            <v>26</v>
          </cell>
          <cell r="BE1371" t="str">
            <v>3000</v>
          </cell>
          <cell r="HD1371" t="str">
            <v>Repair Shop</v>
          </cell>
          <cell r="HT1371" t="b">
            <v>0</v>
          </cell>
          <cell r="HU1371" t="str">
            <v>UNICO MECHANICAL CORP.</v>
          </cell>
        </row>
        <row r="1372">
          <cell r="A1372">
            <v>1375</v>
          </cell>
          <cell r="B1372" t="str">
            <v>VEM0339</v>
          </cell>
          <cell r="D1372" t="str">
            <v>C&amp;H</v>
          </cell>
          <cell r="AD1372" t="str">
            <v>0</v>
          </cell>
          <cell r="AV1372" t="b">
            <v>0</v>
          </cell>
          <cell r="BY1372" t="str">
            <v>31.4</v>
          </cell>
          <cell r="CF1372" t="str">
            <v>2</v>
          </cell>
          <cell r="HD1372" t="str">
            <v>Repair Shop</v>
          </cell>
          <cell r="HT1372" t="b">
            <v>0</v>
          </cell>
          <cell r="HU1372" t="str">
            <v>C &amp; H SUGAR CO.</v>
          </cell>
        </row>
        <row r="1373">
          <cell r="A1373">
            <v>1374</v>
          </cell>
          <cell r="B1373" t="str">
            <v>VEM0338</v>
          </cell>
          <cell r="D1373" t="str">
            <v>C&amp;H</v>
          </cell>
          <cell r="F1373" t="str">
            <v>Reliance</v>
          </cell>
          <cell r="G1373" t="str">
            <v>B7R0071M-XQ</v>
          </cell>
          <cell r="I1373" t="str">
            <v>WX180TZ</v>
          </cell>
          <cell r="K1373" t="str">
            <v>3.5</v>
          </cell>
          <cell r="L1373" t="str">
            <v>1745/1450</v>
          </cell>
          <cell r="M1373" t="str">
            <v>P</v>
          </cell>
          <cell r="O1373" t="str">
            <v>None</v>
          </cell>
          <cell r="P1373" t="str">
            <v>TEFC</v>
          </cell>
          <cell r="R1373" t="str">
            <v>Continuous</v>
          </cell>
          <cell r="S1373" t="str">
            <v>No</v>
          </cell>
          <cell r="T1373" t="str">
            <v>YES</v>
          </cell>
          <cell r="U1373" t="str">
            <v>40</v>
          </cell>
          <cell r="V1373" t="str">
            <v>3</v>
          </cell>
          <cell r="W1373" t="str">
            <v>60/50</v>
          </cell>
          <cell r="X1373" t="str">
            <v>230/460</v>
          </cell>
          <cell r="AA1373" t="str">
            <v>F1</v>
          </cell>
          <cell r="AD1373" t="str">
            <v>0</v>
          </cell>
          <cell r="AG1373" t="str">
            <v>HP</v>
          </cell>
          <cell r="AP1373" t="str">
            <v>J</v>
          </cell>
          <cell r="AQ1373" t="str">
            <v>F</v>
          </cell>
          <cell r="AS1373" t="str">
            <v>1.15</v>
          </cell>
          <cell r="AV1373" t="b">
            <v>0</v>
          </cell>
          <cell r="AW1373" t="str">
            <v>10.6/5.3</v>
          </cell>
          <cell r="HD1373" t="str">
            <v>Repair Shop</v>
          </cell>
          <cell r="HT1373" t="b">
            <v>0</v>
          </cell>
          <cell r="HU1373" t="str">
            <v>C &amp; H SUGAR CO.</v>
          </cell>
        </row>
        <row r="1374">
          <cell r="A1374">
            <v>1373</v>
          </cell>
          <cell r="B1374" t="str">
            <v>VEM0337</v>
          </cell>
          <cell r="D1374" t="str">
            <v>C&amp;H</v>
          </cell>
          <cell r="AG1374" t="str">
            <v>HP</v>
          </cell>
          <cell r="AV1374" t="b">
            <v>0</v>
          </cell>
          <cell r="HD1374" t="str">
            <v>Repair Shop</v>
          </cell>
          <cell r="HT1374" t="b">
            <v>0</v>
          </cell>
          <cell r="HU1374" t="str">
            <v>C &amp; H SUGAR CO.</v>
          </cell>
        </row>
        <row r="1375">
          <cell r="A1375">
            <v>1372</v>
          </cell>
          <cell r="B1375" t="str">
            <v>VEM0336</v>
          </cell>
          <cell r="D1375" t="str">
            <v>CONHAGEN</v>
          </cell>
          <cell r="F1375" t="str">
            <v>Baldor</v>
          </cell>
          <cell r="H1375" t="str">
            <v>Z1507070425</v>
          </cell>
          <cell r="I1375" t="str">
            <v>254HP</v>
          </cell>
          <cell r="K1375" t="str">
            <v>15</v>
          </cell>
          <cell r="L1375" t="str">
            <v>3525</v>
          </cell>
          <cell r="O1375" t="str">
            <v>Full no Cord</v>
          </cell>
          <cell r="P1375" t="str">
            <v>TEFC</v>
          </cell>
          <cell r="R1375" t="str">
            <v>Continuous</v>
          </cell>
          <cell r="S1375" t="str">
            <v>Yes</v>
          </cell>
          <cell r="T1375" t="str">
            <v>NONE NO KEY</v>
          </cell>
          <cell r="U1375" t="str">
            <v>40</v>
          </cell>
          <cell r="V1375" t="str">
            <v>3</v>
          </cell>
          <cell r="W1375" t="str">
            <v>60</v>
          </cell>
          <cell r="X1375" t="str">
            <v>230/460</v>
          </cell>
          <cell r="Y1375" t="str">
            <v>34.4/17.2</v>
          </cell>
          <cell r="AA1375" t="str">
            <v>Vertical</v>
          </cell>
          <cell r="AD1375" t="str">
            <v>0</v>
          </cell>
          <cell r="AG1375" t="str">
            <v>HP</v>
          </cell>
          <cell r="AI1375" t="str">
            <v>6311</v>
          </cell>
          <cell r="AJ1375" t="str">
            <v>6208</v>
          </cell>
          <cell r="AO1375" t="str">
            <v>A</v>
          </cell>
          <cell r="AP1375" t="str">
            <v>H</v>
          </cell>
          <cell r="AQ1375" t="str">
            <v>F</v>
          </cell>
          <cell r="AR1375" t="str">
            <v>88</v>
          </cell>
          <cell r="AT1375" t="str">
            <v>91.7</v>
          </cell>
          <cell r="AU1375" t="str">
            <v>09G604Y599G1</v>
          </cell>
          <cell r="AV1375" t="b">
            <v>0</v>
          </cell>
          <cell r="EW1375" t="str">
            <v>VHECP2394T</v>
          </cell>
          <cell r="HD1375" t="str">
            <v>Repair Shop</v>
          </cell>
          <cell r="HT1375" t="b">
            <v>0</v>
          </cell>
          <cell r="HU1375" t="str">
            <v>ALFRED CONHAGEN CO. OF CA</v>
          </cell>
        </row>
        <row r="1376">
          <cell r="A1376">
            <v>1371</v>
          </cell>
          <cell r="B1376" t="str">
            <v>VEM0335</v>
          </cell>
          <cell r="D1376" t="str">
            <v>CONHAGEN</v>
          </cell>
          <cell r="F1376" t="str">
            <v>GE</v>
          </cell>
          <cell r="G1376" t="str">
            <v>5K6247XJ208A</v>
          </cell>
          <cell r="H1376" t="str">
            <v>FDJ626488</v>
          </cell>
          <cell r="I1376" t="str">
            <v>286TPZ12</v>
          </cell>
          <cell r="K1376" t="str">
            <v>30</v>
          </cell>
          <cell r="L1376" t="str">
            <v>3555</v>
          </cell>
          <cell r="M1376" t="str">
            <v>K</v>
          </cell>
          <cell r="O1376" t="str">
            <v>None</v>
          </cell>
          <cell r="P1376" t="str">
            <v>TEFC</v>
          </cell>
          <cell r="R1376" t="str">
            <v>Continuous</v>
          </cell>
          <cell r="S1376" t="str">
            <v>Yes</v>
          </cell>
          <cell r="T1376" t="str">
            <v>SUNDYNE</v>
          </cell>
          <cell r="U1376" t="str">
            <v>75</v>
          </cell>
          <cell r="V1376" t="str">
            <v>3</v>
          </cell>
          <cell r="W1376" t="str">
            <v>60</v>
          </cell>
          <cell r="X1376" t="str">
            <v>230/460</v>
          </cell>
          <cell r="Y1376" t="str">
            <v>70/35</v>
          </cell>
          <cell r="AA1376" t="str">
            <v>Vertical</v>
          </cell>
          <cell r="AG1376" t="str">
            <v>HP</v>
          </cell>
          <cell r="AI1376" t="str">
            <v>6310</v>
          </cell>
          <cell r="AJ1376" t="str">
            <v>6210</v>
          </cell>
          <cell r="AP1376" t="str">
            <v>G</v>
          </cell>
          <cell r="AQ1376" t="str">
            <v>B</v>
          </cell>
          <cell r="AV1376" t="b">
            <v>0</v>
          </cell>
          <cell r="GK1376" t="str">
            <v>LEADS SEALED</v>
          </cell>
          <cell r="HD1376" t="str">
            <v>Repair Shop</v>
          </cell>
          <cell r="HT1376" t="b">
            <v>0</v>
          </cell>
          <cell r="HU1376" t="str">
            <v>ALFRED CONHAGEN CO. OF CA</v>
          </cell>
        </row>
        <row r="1377">
          <cell r="A1377">
            <v>1370</v>
          </cell>
          <cell r="B1377" t="str">
            <v>VEM0334</v>
          </cell>
          <cell r="D1377" t="str">
            <v>INTEGRATED</v>
          </cell>
          <cell r="F1377" t="str">
            <v>Baldor</v>
          </cell>
          <cell r="H1377" t="str">
            <v>F1303J66502</v>
          </cell>
          <cell r="I1377" t="str">
            <v>215LP</v>
          </cell>
          <cell r="K1377" t="str">
            <v>10</v>
          </cell>
          <cell r="L1377" t="str">
            <v>3500</v>
          </cell>
          <cell r="O1377" t="str">
            <v>Full no Cord</v>
          </cell>
          <cell r="P1377" t="str">
            <v>TEFC</v>
          </cell>
          <cell r="R1377" t="str">
            <v>Continuous</v>
          </cell>
          <cell r="T1377" t="str">
            <v>NONE NO KEY</v>
          </cell>
          <cell r="U1377" t="str">
            <v>40</v>
          </cell>
          <cell r="V1377" t="str">
            <v>3</v>
          </cell>
          <cell r="W1377" t="str">
            <v>60</v>
          </cell>
          <cell r="X1377" t="str">
            <v>208-230/460</v>
          </cell>
          <cell r="Y1377" t="str">
            <v>26-24/12</v>
          </cell>
          <cell r="AA1377" t="str">
            <v>Vertical</v>
          </cell>
          <cell r="AD1377" t="str">
            <v>0</v>
          </cell>
          <cell r="AG1377" t="str">
            <v>HP</v>
          </cell>
          <cell r="AI1377" t="str">
            <v>QJ211</v>
          </cell>
          <cell r="AJ1377" t="str">
            <v>6307</v>
          </cell>
          <cell r="AO1377" t="str">
            <v>B</v>
          </cell>
          <cell r="AP1377" t="str">
            <v>H</v>
          </cell>
          <cell r="AQ1377" t="str">
            <v>F</v>
          </cell>
          <cell r="AS1377" t="str">
            <v>1.15</v>
          </cell>
          <cell r="AT1377" t="str">
            <v>89.5</v>
          </cell>
          <cell r="AU1377" t="str">
            <v>07H347Y013H1</v>
          </cell>
          <cell r="AV1377" t="b">
            <v>0</v>
          </cell>
          <cell r="EW1377" t="str">
            <v>VLCP3771T</v>
          </cell>
          <cell r="HD1377" t="str">
            <v>Repair Shop</v>
          </cell>
          <cell r="HT1377" t="b">
            <v>0</v>
          </cell>
          <cell r="HU1377" t="str">
            <v>INTEGRATED TURBO MACHINERY, INC.</v>
          </cell>
        </row>
        <row r="1378">
          <cell r="A1378">
            <v>1369</v>
          </cell>
          <cell r="B1378" t="str">
            <v>VEM0333</v>
          </cell>
          <cell r="D1378" t="str">
            <v>GRACIE'S</v>
          </cell>
          <cell r="F1378" t="str">
            <v>Baldor</v>
          </cell>
          <cell r="H1378" t="str">
            <v>P11-89</v>
          </cell>
          <cell r="I1378" t="str">
            <v>56C</v>
          </cell>
          <cell r="K1378" t="str">
            <v>.3</v>
          </cell>
          <cell r="L1378" t="str">
            <v>1725</v>
          </cell>
          <cell r="O1378" t="str">
            <v>Full no Cord</v>
          </cell>
          <cell r="R1378" t="str">
            <v>Continuous</v>
          </cell>
          <cell r="T1378" t="str">
            <v>KEY ONLY</v>
          </cell>
          <cell r="U1378" t="str">
            <v>40</v>
          </cell>
          <cell r="V1378" t="str">
            <v>1</v>
          </cell>
          <cell r="W1378" t="str">
            <v>60</v>
          </cell>
          <cell r="X1378" t="str">
            <v>115/208-230</v>
          </cell>
          <cell r="Y1378" t="str">
            <v>6/3.2-3</v>
          </cell>
          <cell r="AA1378" t="str">
            <v>Vertical</v>
          </cell>
          <cell r="AD1378" t="str">
            <v>0</v>
          </cell>
          <cell r="AG1378" t="str">
            <v>HP</v>
          </cell>
          <cell r="AP1378" t="str">
            <v>L</v>
          </cell>
          <cell r="AQ1378" t="str">
            <v>B</v>
          </cell>
          <cell r="AR1378" t="str">
            <v>60%</v>
          </cell>
          <cell r="AS1378" t="str">
            <v>1.35</v>
          </cell>
          <cell r="AU1378" t="str">
            <v>34K27-5507-B</v>
          </cell>
          <cell r="AV1378" t="b">
            <v>0</v>
          </cell>
          <cell r="EW1378" t="str">
            <v>MOO</v>
          </cell>
          <cell r="GK1378" t="str">
            <v>BRAKE ON MOTOR</v>
          </cell>
          <cell r="HD1378" t="str">
            <v>Repair Shop</v>
          </cell>
          <cell r="HT1378" t="b">
            <v>0</v>
          </cell>
          <cell r="HU1378" t="str">
            <v>GRACIE'S</v>
          </cell>
        </row>
        <row r="1379">
          <cell r="A1379">
            <v>1368</v>
          </cell>
          <cell r="B1379" t="str">
            <v>VEM0332</v>
          </cell>
          <cell r="D1379" t="str">
            <v>C&amp;H</v>
          </cell>
          <cell r="AG1379" t="str">
            <v>HP</v>
          </cell>
          <cell r="AV1379" t="b">
            <v>0</v>
          </cell>
          <cell r="HD1379" t="str">
            <v>Repair Shop</v>
          </cell>
          <cell r="HT1379" t="b">
            <v>0</v>
          </cell>
          <cell r="HU1379" t="str">
            <v>C &amp; H SUGAR CO.</v>
          </cell>
        </row>
        <row r="1380">
          <cell r="A1380">
            <v>1367</v>
          </cell>
          <cell r="B1380" t="str">
            <v>VEM0331</v>
          </cell>
          <cell r="D1380" t="str">
            <v>C&amp;H</v>
          </cell>
          <cell r="AG1380" t="str">
            <v>HP</v>
          </cell>
          <cell r="AV1380" t="b">
            <v>0</v>
          </cell>
          <cell r="HD1380" t="str">
            <v>Repair Shop</v>
          </cell>
          <cell r="HT1380" t="b">
            <v>0</v>
          </cell>
          <cell r="HU1380" t="str">
            <v>C &amp; H SUGAR CO.</v>
          </cell>
        </row>
        <row r="1381">
          <cell r="A1381">
            <v>1366</v>
          </cell>
          <cell r="B1381" t="str">
            <v>VEM0330</v>
          </cell>
          <cell r="D1381" t="str">
            <v>MATHESON</v>
          </cell>
          <cell r="F1381" t="str">
            <v>Siemens</v>
          </cell>
          <cell r="I1381" t="str">
            <v>5010S</v>
          </cell>
          <cell r="K1381" t="str">
            <v>1000</v>
          </cell>
          <cell r="L1381" t="str">
            <v>3600</v>
          </cell>
          <cell r="P1381" t="str">
            <v>TEFC</v>
          </cell>
          <cell r="X1381" t="str">
            <v>4160</v>
          </cell>
          <cell r="Y1381" t="str">
            <v>122</v>
          </cell>
          <cell r="AG1381" t="str">
            <v>HP</v>
          </cell>
          <cell r="AV1381" t="b">
            <v>0</v>
          </cell>
          <cell r="AX1381" t="str">
            <v>2</v>
          </cell>
          <cell r="HD1381" t="str">
            <v>Repair Shop</v>
          </cell>
          <cell r="HT1381" t="b">
            <v>0</v>
          </cell>
          <cell r="HU1381" t="str">
            <v>Matheson Tri-Gas Inc.</v>
          </cell>
        </row>
        <row r="1382">
          <cell r="A1382">
            <v>1365</v>
          </cell>
          <cell r="B1382" t="str">
            <v>VEM0329</v>
          </cell>
          <cell r="D1382" t="str">
            <v>EURO</v>
          </cell>
          <cell r="AG1382" t="str">
            <v>HP</v>
          </cell>
          <cell r="AV1382" t="b">
            <v>0</v>
          </cell>
          <cell r="HD1382" t="str">
            <v>Repair Shop</v>
          </cell>
          <cell r="HT1382" t="b">
            <v>0</v>
          </cell>
          <cell r="HU1382" t="str">
            <v>EURO-MACHINES, INC.</v>
          </cell>
        </row>
        <row r="1383">
          <cell r="A1383">
            <v>1364</v>
          </cell>
          <cell r="B1383" t="str">
            <v>FE1008</v>
          </cell>
          <cell r="D1383" t="str">
            <v>MATHESON</v>
          </cell>
          <cell r="AD1383" t="str">
            <v>-1</v>
          </cell>
          <cell r="AG1383" t="str">
            <v>HP</v>
          </cell>
          <cell r="AV1383" t="b">
            <v>0</v>
          </cell>
          <cell r="HD1383" t="str">
            <v>Field Service</v>
          </cell>
          <cell r="HT1383" t="b">
            <v>0</v>
          </cell>
          <cell r="HU1383" t="str">
            <v>Matheson Tri-Gas Inc.</v>
          </cell>
        </row>
        <row r="1384">
          <cell r="A1384">
            <v>1363</v>
          </cell>
          <cell r="B1384" t="str">
            <v>VEM0328</v>
          </cell>
          <cell r="D1384" t="str">
            <v>SUPERSTORES</v>
          </cell>
          <cell r="F1384" t="str">
            <v>US Motors</v>
          </cell>
          <cell r="I1384" t="str">
            <v>256JP</v>
          </cell>
          <cell r="K1384" t="str">
            <v>25</v>
          </cell>
          <cell r="L1384" t="str">
            <v>3520</v>
          </cell>
          <cell r="M1384" t="str">
            <v>UT-1 TE</v>
          </cell>
          <cell r="O1384" t="str">
            <v>Full no Cord</v>
          </cell>
          <cell r="P1384" t="str">
            <v>TEFC</v>
          </cell>
          <cell r="R1384" t="str">
            <v>Continuous</v>
          </cell>
          <cell r="T1384" t="str">
            <v>NONE</v>
          </cell>
          <cell r="U1384" t="str">
            <v>40</v>
          </cell>
          <cell r="V1384" t="str">
            <v>3</v>
          </cell>
          <cell r="W1384" t="str">
            <v>60</v>
          </cell>
          <cell r="X1384" t="str">
            <v>230/460</v>
          </cell>
          <cell r="Y1384" t="str">
            <v>30.4/60.8</v>
          </cell>
          <cell r="AD1384" t="str">
            <v>0</v>
          </cell>
          <cell r="AG1384" t="str">
            <v>HP</v>
          </cell>
          <cell r="AI1384" t="str">
            <v>6310</v>
          </cell>
          <cell r="AJ1384" t="str">
            <v>6207</v>
          </cell>
          <cell r="AS1384" t="str">
            <v>1.25</v>
          </cell>
          <cell r="AV1384" t="b">
            <v>0</v>
          </cell>
          <cell r="EX1384" t="str">
            <v>B052/N09N202R080F</v>
          </cell>
          <cell r="HD1384" t="str">
            <v>Sales</v>
          </cell>
          <cell r="HT1384" t="b">
            <v>0</v>
          </cell>
          <cell r="HU1384" t="str">
            <v>Producers Dairy Foods</v>
          </cell>
        </row>
        <row r="1385">
          <cell r="A1385">
            <v>1362</v>
          </cell>
          <cell r="B1385" t="str">
            <v>VEM0327</v>
          </cell>
          <cell r="D1385" t="str">
            <v>VALERO</v>
          </cell>
          <cell r="F1385" t="str">
            <v>Westinghouse</v>
          </cell>
          <cell r="I1385" t="str">
            <v>326UP</v>
          </cell>
          <cell r="K1385" t="str">
            <v>40</v>
          </cell>
          <cell r="L1385" t="str">
            <v>3530</v>
          </cell>
          <cell r="O1385" t="str">
            <v>Full no Cord</v>
          </cell>
          <cell r="P1385" t="str">
            <v>TEFC</v>
          </cell>
          <cell r="R1385" t="str">
            <v>Continuous</v>
          </cell>
          <cell r="T1385" t="str">
            <v>YES</v>
          </cell>
          <cell r="V1385" t="str">
            <v>3</v>
          </cell>
          <cell r="W1385" t="str">
            <v>60</v>
          </cell>
          <cell r="AA1385" t="str">
            <v>Vertical</v>
          </cell>
          <cell r="AD1385" t="str">
            <v>0</v>
          </cell>
          <cell r="AG1385" t="str">
            <v>HP</v>
          </cell>
          <cell r="AV1385" t="b">
            <v>0</v>
          </cell>
          <cell r="HD1385" t="str">
            <v>Repair Shop</v>
          </cell>
          <cell r="HT1385" t="b">
            <v>0</v>
          </cell>
          <cell r="HU1385" t="str">
            <v>VALERO REFINING CO. BENICIA</v>
          </cell>
        </row>
        <row r="1386">
          <cell r="A1386">
            <v>1361</v>
          </cell>
          <cell r="B1386" t="str">
            <v>VEM0326</v>
          </cell>
          <cell r="D1386" t="str">
            <v>MONARCHMECH</v>
          </cell>
          <cell r="AD1386" t="str">
            <v>0</v>
          </cell>
          <cell r="AG1386" t="str">
            <v>HP</v>
          </cell>
          <cell r="AV1386" t="b">
            <v>0</v>
          </cell>
          <cell r="HD1386" t="str">
            <v>Repair Shop</v>
          </cell>
          <cell r="HT1386" t="b">
            <v>0</v>
          </cell>
          <cell r="HU1386" t="str">
            <v>MONARCH MECHANICAL</v>
          </cell>
        </row>
        <row r="1387">
          <cell r="A1387">
            <v>1360</v>
          </cell>
          <cell r="B1387" t="str">
            <v>VEM0325</v>
          </cell>
          <cell r="D1387" t="str">
            <v>P66</v>
          </cell>
          <cell r="F1387" t="str">
            <v>Baldor</v>
          </cell>
          <cell r="H1387" t="str">
            <v>8/84G</v>
          </cell>
          <cell r="I1387" t="str">
            <v>254T</v>
          </cell>
          <cell r="K1387" t="str">
            <v>15</v>
          </cell>
          <cell r="L1387" t="str">
            <v>1760</v>
          </cell>
          <cell r="O1387" t="str">
            <v>None</v>
          </cell>
          <cell r="P1387" t="str">
            <v>TEFC</v>
          </cell>
          <cell r="R1387" t="str">
            <v>Continuous</v>
          </cell>
          <cell r="T1387" t="str">
            <v>KEY ONLY</v>
          </cell>
          <cell r="U1387" t="str">
            <v>40</v>
          </cell>
          <cell r="V1387" t="str">
            <v>3</v>
          </cell>
          <cell r="W1387" t="str">
            <v>60</v>
          </cell>
          <cell r="X1387" t="str">
            <v>230/460</v>
          </cell>
          <cell r="Y1387" t="str">
            <v>33/19</v>
          </cell>
          <cell r="AA1387" t="str">
            <v>F1</v>
          </cell>
          <cell r="AD1387" t="str">
            <v>-1</v>
          </cell>
          <cell r="AG1387" t="str">
            <v>HP</v>
          </cell>
          <cell r="AP1387" t="str">
            <v>H</v>
          </cell>
          <cell r="AQ1387" t="str">
            <v>F</v>
          </cell>
          <cell r="AS1387" t="str">
            <v>1.15</v>
          </cell>
          <cell r="AU1387" t="str">
            <v>09M11Z36</v>
          </cell>
          <cell r="AV1387" t="b">
            <v>0</v>
          </cell>
          <cell r="EW1387" t="str">
            <v>CP2333T</v>
          </cell>
          <cell r="HD1387" t="str">
            <v>Repair Shop</v>
          </cell>
          <cell r="HT1387" t="b">
            <v>0</v>
          </cell>
          <cell r="HU1387" t="str">
            <v>PHILLIPS 66</v>
          </cell>
        </row>
        <row r="1388">
          <cell r="A1388">
            <v>1359</v>
          </cell>
          <cell r="B1388" t="str">
            <v>VEM0324</v>
          </cell>
          <cell r="D1388" t="str">
            <v>P66</v>
          </cell>
          <cell r="F1388" t="str">
            <v>Emerson</v>
          </cell>
          <cell r="G1388" t="str">
            <v>BJ35</v>
          </cell>
          <cell r="I1388" t="str">
            <v>286T</v>
          </cell>
          <cell r="K1388" t="str">
            <v>30</v>
          </cell>
          <cell r="L1388" t="str">
            <v>1775</v>
          </cell>
          <cell r="M1388" t="str">
            <v>CE</v>
          </cell>
          <cell r="N1388" t="str">
            <v>410</v>
          </cell>
          <cell r="O1388" t="str">
            <v>Full no Cord</v>
          </cell>
          <cell r="P1388" t="str">
            <v>TEFC</v>
          </cell>
          <cell r="R1388" t="str">
            <v>Continuous</v>
          </cell>
          <cell r="T1388" t="str">
            <v>NONE</v>
          </cell>
          <cell r="U1388" t="str">
            <v>40</v>
          </cell>
          <cell r="V1388" t="str">
            <v>3</v>
          </cell>
          <cell r="W1388" t="str">
            <v>60</v>
          </cell>
          <cell r="X1388" t="str">
            <v>460</v>
          </cell>
          <cell r="Y1388" t="str">
            <v>35.0</v>
          </cell>
          <cell r="AA1388" t="str">
            <v>F1</v>
          </cell>
          <cell r="AD1388" t="str">
            <v>0</v>
          </cell>
          <cell r="AO1388" t="str">
            <v>B</v>
          </cell>
          <cell r="AR1388" t="str">
            <v>85.3</v>
          </cell>
          <cell r="AS1388" t="str">
            <v>1.15</v>
          </cell>
          <cell r="AT1388" t="str">
            <v>94.1</v>
          </cell>
          <cell r="AV1388" t="b">
            <v>0</v>
          </cell>
          <cell r="EW1388" t="str">
            <v>8P30P2C</v>
          </cell>
          <cell r="EX1388" t="str">
            <v>P 02 7340911-0008 M 0004</v>
          </cell>
          <cell r="HD1388" t="str">
            <v>Repair Shop</v>
          </cell>
          <cell r="HT1388" t="b">
            <v>0</v>
          </cell>
          <cell r="HU1388" t="str">
            <v>PHILLIPS 66</v>
          </cell>
        </row>
        <row r="1389">
          <cell r="A1389">
            <v>1358</v>
          </cell>
          <cell r="B1389" t="str">
            <v>VEM0323</v>
          </cell>
          <cell r="D1389" t="str">
            <v>P66</v>
          </cell>
          <cell r="F1389" t="str">
            <v>Reliance</v>
          </cell>
          <cell r="I1389" t="str">
            <v>364TS</v>
          </cell>
          <cell r="K1389" t="str">
            <v>60</v>
          </cell>
          <cell r="L1389" t="str">
            <v>3560</v>
          </cell>
          <cell r="M1389" t="str">
            <v>P</v>
          </cell>
          <cell r="N1389" t="str">
            <v>851</v>
          </cell>
          <cell r="O1389" t="str">
            <v>None</v>
          </cell>
          <cell r="P1389" t="str">
            <v>TEFC</v>
          </cell>
          <cell r="R1389" t="str">
            <v>Continuous</v>
          </cell>
          <cell r="S1389" t="str">
            <v>Yes</v>
          </cell>
          <cell r="T1389" t="str">
            <v>FLUSH</v>
          </cell>
          <cell r="U1389" t="str">
            <v>40</v>
          </cell>
          <cell r="V1389" t="str">
            <v>3</v>
          </cell>
          <cell r="W1389" t="str">
            <v>60</v>
          </cell>
          <cell r="X1389" t="str">
            <v>460</v>
          </cell>
          <cell r="Y1389" t="str">
            <v>65.1</v>
          </cell>
          <cell r="AA1389" t="str">
            <v>F1</v>
          </cell>
          <cell r="AD1389" t="str">
            <v>0</v>
          </cell>
          <cell r="AG1389" t="str">
            <v>HP</v>
          </cell>
          <cell r="AO1389" t="str">
            <v>B</v>
          </cell>
          <cell r="AP1389" t="str">
            <v>F</v>
          </cell>
          <cell r="AQ1389" t="str">
            <v>F</v>
          </cell>
          <cell r="AS1389" t="str">
            <v>1.15</v>
          </cell>
          <cell r="AT1389" t="str">
            <v>94.0</v>
          </cell>
          <cell r="AV1389" t="b">
            <v>0</v>
          </cell>
          <cell r="EX1389" t="str">
            <v>7345154-001  L001EK</v>
          </cell>
          <cell r="HD1389" t="str">
            <v>Repair Shop</v>
          </cell>
          <cell r="HT1389" t="b">
            <v>0</v>
          </cell>
          <cell r="HU1389" t="str">
            <v>PHILLIPS 66</v>
          </cell>
        </row>
        <row r="1390">
          <cell r="A1390">
            <v>1357</v>
          </cell>
          <cell r="B1390" t="str">
            <v>VEM0322</v>
          </cell>
          <cell r="D1390" t="str">
            <v>P66</v>
          </cell>
          <cell r="F1390" t="str">
            <v>Emerson</v>
          </cell>
          <cell r="G1390" t="str">
            <v>BJ35</v>
          </cell>
          <cell r="I1390" t="str">
            <v>286T</v>
          </cell>
          <cell r="K1390" t="str">
            <v>30</v>
          </cell>
          <cell r="L1390" t="str">
            <v>1775</v>
          </cell>
          <cell r="M1390" t="str">
            <v>CE</v>
          </cell>
          <cell r="N1390" t="str">
            <v>410</v>
          </cell>
          <cell r="O1390" t="str">
            <v>None</v>
          </cell>
          <cell r="P1390" t="str">
            <v>TEFC</v>
          </cell>
          <cell r="R1390" t="str">
            <v>Continuous</v>
          </cell>
          <cell r="S1390" t="str">
            <v>NONE</v>
          </cell>
          <cell r="T1390" t="str">
            <v>KEY ONLY</v>
          </cell>
          <cell r="U1390" t="str">
            <v>40</v>
          </cell>
          <cell r="V1390" t="str">
            <v>3</v>
          </cell>
          <cell r="W1390" t="str">
            <v>60</v>
          </cell>
          <cell r="X1390" t="str">
            <v>460</v>
          </cell>
          <cell r="Y1390" t="str">
            <v>35</v>
          </cell>
          <cell r="AA1390" t="str">
            <v>F1</v>
          </cell>
          <cell r="AD1390" t="str">
            <v>0</v>
          </cell>
          <cell r="AG1390" t="str">
            <v>HP</v>
          </cell>
          <cell r="AO1390" t="str">
            <v>B</v>
          </cell>
          <cell r="AP1390" t="str">
            <v>G</v>
          </cell>
          <cell r="AQ1390" t="str">
            <v>F</v>
          </cell>
          <cell r="AR1390" t="str">
            <v>85.3</v>
          </cell>
          <cell r="AS1390" t="str">
            <v>1.15</v>
          </cell>
          <cell r="AV1390" t="b">
            <v>0</v>
          </cell>
          <cell r="EW1390" t="str">
            <v>8P30P2C</v>
          </cell>
          <cell r="HD1390" t="str">
            <v>Repair Shop</v>
          </cell>
          <cell r="HT1390" t="b">
            <v>0</v>
          </cell>
          <cell r="HU1390" t="str">
            <v>PHILLIPS 66</v>
          </cell>
        </row>
        <row r="1391">
          <cell r="A1391">
            <v>1356</v>
          </cell>
          <cell r="B1391" t="str">
            <v>VEM0321</v>
          </cell>
          <cell r="D1391" t="str">
            <v>VALLEJOSAN</v>
          </cell>
          <cell r="F1391" t="str">
            <v>Baldor</v>
          </cell>
          <cell r="H1391" t="str">
            <v>F300</v>
          </cell>
          <cell r="I1391" t="str">
            <v>254U</v>
          </cell>
          <cell r="K1391" t="str">
            <v>7.5</v>
          </cell>
          <cell r="L1391" t="str">
            <v>1750</v>
          </cell>
          <cell r="O1391" t="str">
            <v>Half no Cord</v>
          </cell>
          <cell r="P1391" t="str">
            <v>TEFC</v>
          </cell>
          <cell r="R1391" t="str">
            <v>Continuous</v>
          </cell>
          <cell r="S1391" t="str">
            <v>Yes</v>
          </cell>
          <cell r="T1391" t="str">
            <v>NONE</v>
          </cell>
          <cell r="U1391" t="str">
            <v>40</v>
          </cell>
          <cell r="V1391" t="str">
            <v>3</v>
          </cell>
          <cell r="W1391" t="str">
            <v>60</v>
          </cell>
          <cell r="X1391" t="str">
            <v>230/460</v>
          </cell>
          <cell r="Y1391" t="str">
            <v>20/10</v>
          </cell>
          <cell r="AA1391" t="str">
            <v>F1</v>
          </cell>
          <cell r="AD1391" t="str">
            <v>0</v>
          </cell>
          <cell r="AG1391" t="str">
            <v>HP</v>
          </cell>
          <cell r="AI1391" t="str">
            <v>6309</v>
          </cell>
          <cell r="AJ1391" t="str">
            <v>6307</v>
          </cell>
          <cell r="AO1391" t="str">
            <v>B</v>
          </cell>
          <cell r="AP1391" t="str">
            <v>J</v>
          </cell>
          <cell r="AQ1391" t="str">
            <v>F</v>
          </cell>
          <cell r="AR1391" t="str">
            <v>82</v>
          </cell>
          <cell r="AS1391" t="str">
            <v>1.15</v>
          </cell>
          <cell r="AT1391" t="str">
            <v>87.5</v>
          </cell>
          <cell r="AU1391" t="str">
            <v>07H287W02</v>
          </cell>
          <cell r="AV1391" t="b">
            <v>0</v>
          </cell>
          <cell r="EW1391" t="str">
            <v>M2237</v>
          </cell>
          <cell r="HD1391" t="str">
            <v>Repair Shop</v>
          </cell>
          <cell r="HT1391" t="b">
            <v>0</v>
          </cell>
          <cell r="HU1391" t="str">
            <v>VALLEJO FLOOD &amp; WASTEWATER DISTRICT</v>
          </cell>
        </row>
        <row r="1392">
          <cell r="A1392">
            <v>1355</v>
          </cell>
          <cell r="B1392" t="str">
            <v>VEM0320</v>
          </cell>
          <cell r="D1392" t="str">
            <v>P66CARBON</v>
          </cell>
          <cell r="F1392" t="str">
            <v>Toshiba</v>
          </cell>
          <cell r="G1392" t="str">
            <v>B0204FLF2UM</v>
          </cell>
          <cell r="H1392" t="str">
            <v>92206353</v>
          </cell>
          <cell r="I1392" t="str">
            <v>256T</v>
          </cell>
          <cell r="K1392" t="str">
            <v>20</v>
          </cell>
          <cell r="L1392" t="str">
            <v>1755</v>
          </cell>
          <cell r="M1392" t="str">
            <v>TIKK</v>
          </cell>
          <cell r="O1392" t="str">
            <v>Full no Cord</v>
          </cell>
          <cell r="R1392" t="str">
            <v>Continuous</v>
          </cell>
          <cell r="S1392" t="str">
            <v>Yes</v>
          </cell>
          <cell r="T1392" t="str">
            <v>KEY ONLY</v>
          </cell>
          <cell r="U1392" t="str">
            <v>40</v>
          </cell>
          <cell r="V1392" t="str">
            <v>3</v>
          </cell>
          <cell r="W1392" t="str">
            <v>60</v>
          </cell>
          <cell r="X1392" t="str">
            <v>230/460</v>
          </cell>
          <cell r="Y1392" t="str">
            <v>50/25</v>
          </cell>
          <cell r="AA1392" t="str">
            <v>F1</v>
          </cell>
          <cell r="AD1392" t="str">
            <v>-1</v>
          </cell>
          <cell r="AG1392" t="str">
            <v>HP</v>
          </cell>
          <cell r="AI1392" t="str">
            <v>6309</v>
          </cell>
          <cell r="AJ1392" t="str">
            <v>6208</v>
          </cell>
          <cell r="AO1392" t="str">
            <v>B</v>
          </cell>
          <cell r="AP1392" t="str">
            <v>G</v>
          </cell>
          <cell r="AS1392" t="str">
            <v>1.15</v>
          </cell>
          <cell r="AT1392" t="str">
            <v>90.2</v>
          </cell>
          <cell r="AV1392" t="b">
            <v>0</v>
          </cell>
          <cell r="HD1392" t="str">
            <v>Repair Shop</v>
          </cell>
          <cell r="HT1392" t="b">
            <v>0</v>
          </cell>
          <cell r="HU1392" t="str">
            <v>PHILLIPS 66 CARBON PLANT</v>
          </cell>
        </row>
        <row r="1393">
          <cell r="A1393">
            <v>1354</v>
          </cell>
          <cell r="B1393" t="str">
            <v>VEM0319</v>
          </cell>
          <cell r="D1393" t="str">
            <v>STOCKTONMUNI</v>
          </cell>
          <cell r="F1393" t="str">
            <v>FLYGT</v>
          </cell>
          <cell r="H1393" t="str">
            <v>0715000-S052</v>
          </cell>
          <cell r="K1393" t="str">
            <v>185</v>
          </cell>
          <cell r="L1393" t="str">
            <v>1180</v>
          </cell>
          <cell r="O1393" t="str">
            <v>Full w/ Cord</v>
          </cell>
          <cell r="R1393" t="str">
            <v>Continuous</v>
          </cell>
          <cell r="U1393" t="str">
            <v>40</v>
          </cell>
          <cell r="V1393" t="str">
            <v>3</v>
          </cell>
          <cell r="W1393" t="str">
            <v>60</v>
          </cell>
          <cell r="X1393" t="str">
            <v>460</v>
          </cell>
          <cell r="AA1393" t="str">
            <v>Vertical</v>
          </cell>
          <cell r="AD1393" t="str">
            <v>0</v>
          </cell>
          <cell r="AG1393" t="str">
            <v>HP</v>
          </cell>
          <cell r="AV1393" t="b">
            <v>0</v>
          </cell>
          <cell r="GK1393" t="str">
            <v>NO LOAD AMPS 80</v>
          </cell>
          <cell r="GL1393" t="str">
            <v>OIL CAPACITY 10  QUARTS</v>
          </cell>
          <cell r="HD1393" t="str">
            <v>Repair Shop</v>
          </cell>
          <cell r="HT1393" t="b">
            <v>0</v>
          </cell>
          <cell r="HU1393" t="str">
            <v>CITY OF STOCKTON MUNICIPAL UTILITIES</v>
          </cell>
        </row>
        <row r="1394">
          <cell r="A1394">
            <v>1353</v>
          </cell>
          <cell r="B1394" t="str">
            <v>VEM0318</v>
          </cell>
          <cell r="D1394" t="str">
            <v>ANTHONY</v>
          </cell>
          <cell r="AG1394" t="str">
            <v>HP</v>
          </cell>
          <cell r="AV1394" t="b">
            <v>0</v>
          </cell>
          <cell r="HD1394" t="str">
            <v>Repair Shop</v>
          </cell>
          <cell r="HT1394" t="b">
            <v>0</v>
          </cell>
          <cell r="HU1394" t="str">
            <v>ANTHONY 7 FLAGS CAR WASH</v>
          </cell>
        </row>
        <row r="1395">
          <cell r="A1395">
            <v>1352</v>
          </cell>
          <cell r="B1395" t="str">
            <v>VEM0317</v>
          </cell>
          <cell r="D1395" t="str">
            <v>DURAVENT</v>
          </cell>
          <cell r="F1395" t="str">
            <v>Baldor</v>
          </cell>
          <cell r="H1395" t="str">
            <v>W0602118028</v>
          </cell>
          <cell r="I1395" t="str">
            <v>1810ATC</v>
          </cell>
          <cell r="K1395" t="str">
            <v>5</v>
          </cell>
          <cell r="L1395" t="str">
            <v>1750</v>
          </cell>
          <cell r="O1395" t="str">
            <v>Half no Cord</v>
          </cell>
          <cell r="P1395" t="str">
            <v>TEFC</v>
          </cell>
          <cell r="R1395" t="str">
            <v>Continuous</v>
          </cell>
          <cell r="T1395" t="str">
            <v>KEY ONLY</v>
          </cell>
          <cell r="X1395" t="str">
            <v>180</v>
          </cell>
          <cell r="Y1395" t="str">
            <v>22.4</v>
          </cell>
          <cell r="AA1395" t="str">
            <v>Top</v>
          </cell>
          <cell r="AD1395" t="str">
            <v>0</v>
          </cell>
          <cell r="AG1395" t="str">
            <v>HP</v>
          </cell>
          <cell r="AU1395" t="str">
            <v>36P179Z543</v>
          </cell>
          <cell r="AV1395" t="b">
            <v>0</v>
          </cell>
          <cell r="EW1395" t="str">
            <v>CDP3605</v>
          </cell>
          <cell r="HD1395" t="str">
            <v>Repair Shop</v>
          </cell>
          <cell r="HT1395" t="b">
            <v>0</v>
          </cell>
          <cell r="HU1395" t="str">
            <v>M&amp;G DURAVENT, INC.</v>
          </cell>
        </row>
        <row r="1396">
          <cell r="A1396">
            <v>1351</v>
          </cell>
          <cell r="B1396" t="str">
            <v>VEM0316</v>
          </cell>
          <cell r="D1396" t="str">
            <v>DURAVENT</v>
          </cell>
          <cell r="F1396" t="str">
            <v>Baldor</v>
          </cell>
          <cell r="H1396" t="str">
            <v>S04/00</v>
          </cell>
          <cell r="I1396" t="str">
            <v>1810ATC</v>
          </cell>
          <cell r="K1396" t="str">
            <v>5</v>
          </cell>
          <cell r="L1396" t="str">
            <v>1750</v>
          </cell>
          <cell r="M1396" t="str">
            <v>PM3681P</v>
          </cell>
          <cell r="O1396" t="str">
            <v>Full no Cord</v>
          </cell>
          <cell r="P1396" t="str">
            <v>TEFC</v>
          </cell>
          <cell r="R1396" t="str">
            <v>Continuous</v>
          </cell>
          <cell r="T1396" t="str">
            <v>KEY ONLY</v>
          </cell>
          <cell r="X1396" t="str">
            <v>180</v>
          </cell>
          <cell r="Y1396" t="str">
            <v>24.5</v>
          </cell>
          <cell r="AA1396" t="str">
            <v>Top</v>
          </cell>
          <cell r="AD1396" t="str">
            <v>0</v>
          </cell>
          <cell r="AG1396" t="str">
            <v>HP</v>
          </cell>
          <cell r="AU1396" t="str">
            <v>36P102Z509</v>
          </cell>
          <cell r="AV1396" t="b">
            <v>0</v>
          </cell>
          <cell r="EW1396" t="str">
            <v>CDP3605</v>
          </cell>
          <cell r="HD1396" t="str">
            <v>Repair Shop</v>
          </cell>
          <cell r="HT1396" t="b">
            <v>0</v>
          </cell>
          <cell r="HU1396" t="str">
            <v>M&amp;G DURAVENT, INC.</v>
          </cell>
        </row>
        <row r="1397">
          <cell r="A1397">
            <v>1350</v>
          </cell>
          <cell r="B1397" t="str">
            <v>VEM0315</v>
          </cell>
          <cell r="D1397" t="str">
            <v>C&amp;H</v>
          </cell>
          <cell r="F1397" t="str">
            <v>Westinghouse</v>
          </cell>
          <cell r="H1397" t="str">
            <v>1S-60</v>
          </cell>
          <cell r="I1397" t="str">
            <v>6833</v>
          </cell>
          <cell r="K1397" t="str">
            <v>50</v>
          </cell>
          <cell r="L1397" t="str">
            <v>600-1200</v>
          </cell>
          <cell r="O1397" t="str">
            <v>None</v>
          </cell>
          <cell r="P1397" t="str">
            <v>ODP</v>
          </cell>
          <cell r="T1397" t="str">
            <v>NONE</v>
          </cell>
          <cell r="V1397" t="str">
            <v>3</v>
          </cell>
          <cell r="W1397" t="str">
            <v>60</v>
          </cell>
          <cell r="X1397" t="str">
            <v>440</v>
          </cell>
          <cell r="Y1397" t="str">
            <v>LRA-220/350</v>
          </cell>
          <cell r="AA1397" t="str">
            <v>Vertical</v>
          </cell>
          <cell r="AD1397" t="str">
            <v>0</v>
          </cell>
          <cell r="AG1397" t="str">
            <v>HP</v>
          </cell>
          <cell r="AI1397" t="str">
            <v>6318</v>
          </cell>
          <cell r="AJ1397" t="str">
            <v>7318</v>
          </cell>
          <cell r="AV1397" t="b">
            <v>0</v>
          </cell>
          <cell r="GK1397" t="str">
            <v>6 MOTOR LEADS</v>
          </cell>
          <cell r="GL1397" t="str">
            <v>4 OL LEADS</v>
          </cell>
          <cell r="HD1397" t="str">
            <v>Repair Shop</v>
          </cell>
          <cell r="HT1397" t="b">
            <v>0</v>
          </cell>
          <cell r="HU1397" t="str">
            <v>C &amp; H SUGAR CO.</v>
          </cell>
        </row>
        <row r="1398">
          <cell r="A1398">
            <v>1348</v>
          </cell>
          <cell r="B1398" t="str">
            <v>VEM0313</v>
          </cell>
          <cell r="D1398" t="str">
            <v>CLEANHARBORS</v>
          </cell>
          <cell r="F1398" t="str">
            <v>Baldor</v>
          </cell>
          <cell r="H1398" t="str">
            <v>Z1511120205</v>
          </cell>
          <cell r="I1398" t="str">
            <v>256T</v>
          </cell>
          <cell r="K1398" t="str">
            <v>20</v>
          </cell>
          <cell r="L1398" t="str">
            <v>3520</v>
          </cell>
          <cell r="O1398" t="str">
            <v>Full no Cord</v>
          </cell>
          <cell r="P1398" t="str">
            <v>EXP</v>
          </cell>
          <cell r="R1398" t="str">
            <v>Continuous</v>
          </cell>
          <cell r="S1398" t="str">
            <v>Yes</v>
          </cell>
          <cell r="T1398" t="str">
            <v>YES</v>
          </cell>
          <cell r="U1398" t="str">
            <v>40</v>
          </cell>
          <cell r="V1398" t="str">
            <v>3</v>
          </cell>
          <cell r="W1398" t="str">
            <v>60</v>
          </cell>
          <cell r="X1398" t="str">
            <v>230/460</v>
          </cell>
          <cell r="Y1398" t="str">
            <v>46/23</v>
          </cell>
          <cell r="AA1398" t="str">
            <v>F1</v>
          </cell>
          <cell r="AD1398" t="str">
            <v>-1</v>
          </cell>
          <cell r="AG1398" t="str">
            <v>HP</v>
          </cell>
          <cell r="AP1398" t="str">
            <v>H</v>
          </cell>
          <cell r="AQ1398" t="str">
            <v>F</v>
          </cell>
          <cell r="AR1398" t="str">
            <v>89</v>
          </cell>
          <cell r="AS1398" t="str">
            <v>1.0</v>
          </cell>
          <cell r="AT1398" t="str">
            <v>91</v>
          </cell>
          <cell r="AU1398" t="str">
            <v>09E270Z601G1</v>
          </cell>
          <cell r="AV1398" t="b">
            <v>0</v>
          </cell>
          <cell r="EW1398" t="str">
            <v>EM7059T</v>
          </cell>
          <cell r="HD1398" t="str">
            <v>Repair Shop</v>
          </cell>
          <cell r="HT1398" t="b">
            <v>0</v>
          </cell>
          <cell r="HU1398" t="str">
            <v>CLEAN HARBORS</v>
          </cell>
        </row>
        <row r="1399">
          <cell r="A1399">
            <v>1347</v>
          </cell>
          <cell r="B1399" t="str">
            <v>VEM0040</v>
          </cell>
          <cell r="D1399" t="str">
            <v>VALLEJOWATER</v>
          </cell>
          <cell r="F1399" t="str">
            <v>GE</v>
          </cell>
          <cell r="G1399" t="str">
            <v>5KS449DT7430M</v>
          </cell>
          <cell r="H1399" t="str">
            <v>FAG43459A</v>
          </cell>
          <cell r="I1399" t="str">
            <v>L449VP20</v>
          </cell>
          <cell r="K1399" t="str">
            <v>250</v>
          </cell>
          <cell r="L1399" t="str">
            <v>1190</v>
          </cell>
          <cell r="M1399" t="str">
            <v>KS</v>
          </cell>
          <cell r="N1399" t="str">
            <v>2970</v>
          </cell>
          <cell r="O1399" t="str">
            <v>None</v>
          </cell>
          <cell r="R1399" t="str">
            <v>Continuous</v>
          </cell>
          <cell r="T1399" t="str">
            <v>YES</v>
          </cell>
          <cell r="U1399" t="str">
            <v>40</v>
          </cell>
          <cell r="V1399" t="str">
            <v>3</v>
          </cell>
          <cell r="W1399" t="str">
            <v>60</v>
          </cell>
          <cell r="X1399" t="str">
            <v>460</v>
          </cell>
          <cell r="Y1399" t="str">
            <v>288</v>
          </cell>
          <cell r="AA1399" t="str">
            <v>Vertical</v>
          </cell>
          <cell r="AD1399" t="str">
            <v>0</v>
          </cell>
          <cell r="AG1399" t="str">
            <v>HP</v>
          </cell>
          <cell r="AI1399" t="str">
            <v>6217</v>
          </cell>
          <cell r="AJ1399" t="str">
            <v>7228</v>
          </cell>
          <cell r="AO1399" t="str">
            <v>B WPI</v>
          </cell>
          <cell r="AR1399" t="str">
            <v>85.5</v>
          </cell>
          <cell r="AS1399" t="str">
            <v>1.15</v>
          </cell>
          <cell r="AV1399" t="b">
            <v>0</v>
          </cell>
          <cell r="GK1399" t="str">
            <v>ROYAL PURPLE GREASE AND OIL</v>
          </cell>
          <cell r="GM1399" t="str">
            <v>NO LOAD AMPS 82</v>
          </cell>
          <cell r="HD1399" t="str">
            <v>Repair Shop</v>
          </cell>
          <cell r="HT1399" t="b">
            <v>0</v>
          </cell>
          <cell r="HU1399" t="str">
            <v>CITY OF VALLEJO WATER TREATMENT</v>
          </cell>
        </row>
        <row r="1400">
          <cell r="A1400">
            <v>1346</v>
          </cell>
          <cell r="B1400" t="str">
            <v>VEM0312</v>
          </cell>
          <cell r="D1400" t="str">
            <v>CITYOFBENICIA</v>
          </cell>
          <cell r="H1400" t="str">
            <v>17 18 067 A 17</v>
          </cell>
          <cell r="K1400" t="str">
            <v>1/8</v>
          </cell>
          <cell r="L1400" t="str">
            <v>725?</v>
          </cell>
          <cell r="O1400" t="str">
            <v>Half no Cord</v>
          </cell>
          <cell r="R1400" t="str">
            <v>Continuous</v>
          </cell>
          <cell r="T1400" t="str">
            <v>FAN BLADE</v>
          </cell>
          <cell r="V1400" t="str">
            <v>1</v>
          </cell>
          <cell r="W1400" t="str">
            <v>60</v>
          </cell>
          <cell r="X1400" t="str">
            <v>115/230</v>
          </cell>
          <cell r="Y1400" t="str">
            <v>1.8/.9</v>
          </cell>
          <cell r="AD1400" t="str">
            <v>0</v>
          </cell>
          <cell r="AG1400" t="str">
            <v>HP</v>
          </cell>
          <cell r="AV1400" t="b">
            <v>0</v>
          </cell>
          <cell r="HD1400" t="str">
            <v>Repair Shop</v>
          </cell>
          <cell r="HT1400" t="b">
            <v>0</v>
          </cell>
          <cell r="HU1400" t="str">
            <v>CITY OF BENICIA, WATER TREATMENT PLANT</v>
          </cell>
        </row>
        <row r="1401">
          <cell r="A1401">
            <v>1345</v>
          </cell>
          <cell r="B1401" t="str">
            <v>VEM0311</v>
          </cell>
          <cell r="D1401" t="str">
            <v>P66</v>
          </cell>
          <cell r="F1401" t="str">
            <v>GE</v>
          </cell>
          <cell r="G1401" t="str">
            <v>5K6237XJ338A</v>
          </cell>
          <cell r="H1401" t="str">
            <v>EFJ506384</v>
          </cell>
          <cell r="I1401" t="str">
            <v>256TP10</v>
          </cell>
          <cell r="K1401" t="str">
            <v>20</v>
          </cell>
          <cell r="L1401" t="str">
            <v>3530</v>
          </cell>
          <cell r="M1401" t="str">
            <v>K</v>
          </cell>
          <cell r="O1401" t="str">
            <v>Full no Cord</v>
          </cell>
          <cell r="P1401" t="str">
            <v>TEFC</v>
          </cell>
          <cell r="R1401" t="str">
            <v>Continuous</v>
          </cell>
          <cell r="S1401" t="str">
            <v>Yes</v>
          </cell>
          <cell r="T1401" t="str">
            <v>NONE</v>
          </cell>
          <cell r="U1401" t="str">
            <v>75</v>
          </cell>
          <cell r="V1401" t="str">
            <v>3</v>
          </cell>
          <cell r="W1401" t="str">
            <v>60</v>
          </cell>
          <cell r="X1401" t="str">
            <v>230/460</v>
          </cell>
          <cell r="Y1401" t="str">
            <v>48.4/24.2</v>
          </cell>
          <cell r="AA1401" t="str">
            <v>Vertical</v>
          </cell>
          <cell r="AD1401" t="str">
            <v>0</v>
          </cell>
          <cell r="AG1401" t="str">
            <v>HP</v>
          </cell>
          <cell r="AO1401" t="str">
            <v>B</v>
          </cell>
          <cell r="AP1401" t="str">
            <v>G</v>
          </cell>
          <cell r="AS1401" t="str">
            <v>1.0</v>
          </cell>
          <cell r="AV1401" t="b">
            <v>0</v>
          </cell>
          <cell r="HD1401" t="str">
            <v>Repair Shop</v>
          </cell>
          <cell r="HT1401" t="b">
            <v>0</v>
          </cell>
          <cell r="HU1401" t="str">
            <v>PHILLIPS 66</v>
          </cell>
        </row>
        <row r="1402">
          <cell r="A1402">
            <v>1344</v>
          </cell>
          <cell r="B1402" t="str">
            <v>VEM0310</v>
          </cell>
          <cell r="D1402" t="str">
            <v>VALERO</v>
          </cell>
          <cell r="F1402" t="str">
            <v>Siemens</v>
          </cell>
          <cell r="H1402" t="str">
            <v>D03T0511JJ20</v>
          </cell>
          <cell r="I1402" t="str">
            <v>286T</v>
          </cell>
          <cell r="K1402" t="str">
            <v>30</v>
          </cell>
          <cell r="L1402" t="str">
            <v>1765</v>
          </cell>
          <cell r="M1402" t="str">
            <v>RGZESDX</v>
          </cell>
          <cell r="N1402" t="str">
            <v>420</v>
          </cell>
          <cell r="O1402" t="str">
            <v>Full no Cord</v>
          </cell>
          <cell r="P1402" t="str">
            <v>TEFC</v>
          </cell>
          <cell r="R1402" t="str">
            <v>Continuous</v>
          </cell>
          <cell r="S1402" t="str">
            <v>Yes</v>
          </cell>
          <cell r="T1402" t="str">
            <v>KEY ONLY</v>
          </cell>
          <cell r="U1402" t="str">
            <v>40</v>
          </cell>
          <cell r="V1402" t="str">
            <v>3</v>
          </cell>
          <cell r="W1402" t="str">
            <v>60</v>
          </cell>
          <cell r="X1402" t="str">
            <v>460</v>
          </cell>
          <cell r="Y1402" t="str">
            <v>35.0</v>
          </cell>
          <cell r="AA1402" t="str">
            <v>F1</v>
          </cell>
          <cell r="AD1402" t="str">
            <v>0</v>
          </cell>
          <cell r="AG1402" t="str">
            <v>HP</v>
          </cell>
          <cell r="AP1402" t="str">
            <v>G</v>
          </cell>
          <cell r="AQ1402" t="str">
            <v>B</v>
          </cell>
          <cell r="AS1402" t="str">
            <v>1.15</v>
          </cell>
          <cell r="AT1402" t="str">
            <v>93.0</v>
          </cell>
          <cell r="AV1402" t="b">
            <v>0</v>
          </cell>
          <cell r="HD1402" t="str">
            <v>Repair Shop</v>
          </cell>
          <cell r="HT1402" t="b">
            <v>0</v>
          </cell>
          <cell r="HU1402" t="str">
            <v>VALERO REFINING CO. BENICIA</v>
          </cell>
        </row>
        <row r="1403">
          <cell r="A1403">
            <v>1343</v>
          </cell>
          <cell r="B1403" t="str">
            <v>VEM0309</v>
          </cell>
          <cell r="D1403" t="str">
            <v>VALERO</v>
          </cell>
          <cell r="F1403" t="str">
            <v>Reliance</v>
          </cell>
          <cell r="G1403" t="str">
            <v>B517680</v>
          </cell>
          <cell r="H1403" t="str">
            <v>B517680-010   L002JM</v>
          </cell>
          <cell r="I1403" t="str">
            <v>324T</v>
          </cell>
          <cell r="K1403" t="str">
            <v>40</v>
          </cell>
          <cell r="L1403" t="str">
            <v>1775</v>
          </cell>
          <cell r="M1403" t="str">
            <v>P</v>
          </cell>
          <cell r="O1403" t="str">
            <v>None</v>
          </cell>
          <cell r="P1403" t="str">
            <v>TEFC</v>
          </cell>
          <cell r="R1403" t="str">
            <v>Continuous</v>
          </cell>
          <cell r="S1403" t="str">
            <v>Yes</v>
          </cell>
          <cell r="T1403" t="str">
            <v>NONE</v>
          </cell>
          <cell r="U1403" t="str">
            <v>40</v>
          </cell>
          <cell r="V1403" t="str">
            <v>3</v>
          </cell>
          <cell r="W1403" t="str">
            <v>60</v>
          </cell>
          <cell r="X1403" t="str">
            <v>460</v>
          </cell>
          <cell r="Y1403" t="str">
            <v>47.7</v>
          </cell>
          <cell r="AA1403" t="str">
            <v>F1</v>
          </cell>
          <cell r="AD1403" t="str">
            <v>0</v>
          </cell>
          <cell r="AG1403" t="str">
            <v>HP</v>
          </cell>
          <cell r="AI1403" t="str">
            <v>NU311</v>
          </cell>
          <cell r="AJ1403" t="str">
            <v>6311</v>
          </cell>
          <cell r="AP1403" t="str">
            <v>G</v>
          </cell>
          <cell r="AS1403" t="str">
            <v>1.00</v>
          </cell>
          <cell r="AV1403" t="b">
            <v>0</v>
          </cell>
          <cell r="GK1403" t="str">
            <v>GREASE-BLACK PEARL</v>
          </cell>
          <cell r="HD1403" t="str">
            <v>Repair Shop</v>
          </cell>
          <cell r="HT1403" t="b">
            <v>0</v>
          </cell>
          <cell r="HU1403" t="str">
            <v>VALERO REFINING CO. BENICIA</v>
          </cell>
        </row>
        <row r="1404">
          <cell r="A1404">
            <v>1340</v>
          </cell>
          <cell r="B1404" t="str">
            <v>VEM0306</v>
          </cell>
          <cell r="D1404" t="str">
            <v>MONARCHMECH</v>
          </cell>
          <cell r="AD1404" t="str">
            <v>0</v>
          </cell>
          <cell r="AG1404" t="str">
            <v>HP</v>
          </cell>
          <cell r="AV1404" t="b">
            <v>0</v>
          </cell>
          <cell r="BY1404" t="str">
            <v>42.87</v>
          </cell>
          <cell r="BZ1404" t="str">
            <v>1740</v>
          </cell>
          <cell r="CB1404" t="str">
            <v>2301IN. LBS.</v>
          </cell>
          <cell r="CD1404" t="str">
            <v>RF47DRE90M-4BE2/Z</v>
          </cell>
          <cell r="CE1404" t="str">
            <v>1.50</v>
          </cell>
          <cell r="CF1404" t="str">
            <v>1.15</v>
          </cell>
          <cell r="HD1404" t="str">
            <v>Repair Shop</v>
          </cell>
          <cell r="HT1404" t="b">
            <v>0</v>
          </cell>
          <cell r="HU1404" t="str">
            <v>MONARCH MECHANICAL</v>
          </cell>
        </row>
        <row r="1405">
          <cell r="A1405">
            <v>1339</v>
          </cell>
          <cell r="B1405" t="str">
            <v>FE1007</v>
          </cell>
          <cell r="D1405" t="str">
            <v>C&amp;H</v>
          </cell>
          <cell r="AG1405" t="str">
            <v>HP</v>
          </cell>
          <cell r="AV1405" t="b">
            <v>0</v>
          </cell>
          <cell r="HD1405" t="str">
            <v>Field Service</v>
          </cell>
          <cell r="HT1405" t="b">
            <v>0</v>
          </cell>
          <cell r="HU1405" t="str">
            <v>C &amp; H SUGAR CO.</v>
          </cell>
        </row>
        <row r="1406">
          <cell r="A1406">
            <v>1338</v>
          </cell>
          <cell r="B1406" t="str">
            <v>FE1006</v>
          </cell>
          <cell r="D1406" t="str">
            <v>C&amp;H</v>
          </cell>
          <cell r="AG1406" t="str">
            <v>HP</v>
          </cell>
          <cell r="AV1406" t="b">
            <v>0</v>
          </cell>
          <cell r="HD1406" t="str">
            <v>Field Service</v>
          </cell>
          <cell r="HT1406" t="b">
            <v>0</v>
          </cell>
          <cell r="HU1406" t="str">
            <v>C &amp; H SUGAR CO.</v>
          </cell>
        </row>
        <row r="1407">
          <cell r="A1407">
            <v>1337</v>
          </cell>
          <cell r="B1407" t="str">
            <v>FE1005</v>
          </cell>
          <cell r="D1407" t="str">
            <v>C&amp;H</v>
          </cell>
          <cell r="AG1407" t="str">
            <v>HP</v>
          </cell>
          <cell r="AV1407" t="b">
            <v>0</v>
          </cell>
          <cell r="HD1407" t="str">
            <v>Field Service</v>
          </cell>
          <cell r="HT1407" t="b">
            <v>0</v>
          </cell>
          <cell r="HU1407" t="str">
            <v>C &amp; H SUGAR CO.</v>
          </cell>
        </row>
        <row r="1408">
          <cell r="A1408">
            <v>1336</v>
          </cell>
          <cell r="B1408" t="str">
            <v>FE1004</v>
          </cell>
          <cell r="D1408" t="str">
            <v>C&amp;H</v>
          </cell>
          <cell r="AG1408" t="str">
            <v>HP</v>
          </cell>
          <cell r="AV1408" t="b">
            <v>0</v>
          </cell>
          <cell r="HD1408" t="str">
            <v>Field Service</v>
          </cell>
          <cell r="HT1408" t="b">
            <v>0</v>
          </cell>
          <cell r="HU1408" t="str">
            <v>C &amp; H SUGAR CO.</v>
          </cell>
        </row>
        <row r="1409">
          <cell r="A1409">
            <v>1335</v>
          </cell>
          <cell r="B1409" t="str">
            <v>VEM0305</v>
          </cell>
          <cell r="D1409" t="str">
            <v>C&amp;H</v>
          </cell>
          <cell r="F1409" t="str">
            <v>Westinghouse</v>
          </cell>
          <cell r="H1409" t="str">
            <v>7936257</v>
          </cell>
          <cell r="I1409" t="str">
            <v>W-225</v>
          </cell>
          <cell r="K1409" t="str">
            <v>2</v>
          </cell>
          <cell r="L1409" t="str">
            <v>1160</v>
          </cell>
          <cell r="M1409" t="str">
            <v>CS</v>
          </cell>
          <cell r="O1409" t="str">
            <v>None</v>
          </cell>
          <cell r="P1409" t="str">
            <v>ODP</v>
          </cell>
          <cell r="R1409" t="str">
            <v>Continuous</v>
          </cell>
          <cell r="T1409" t="str">
            <v>SEE COMMENTS</v>
          </cell>
          <cell r="V1409" t="str">
            <v>3</v>
          </cell>
          <cell r="W1409" t="str">
            <v>60</v>
          </cell>
          <cell r="X1409" t="str">
            <v>440</v>
          </cell>
          <cell r="Y1409" t="str">
            <v>3.1</v>
          </cell>
          <cell r="AD1409" t="str">
            <v>0</v>
          </cell>
          <cell r="AG1409" t="str">
            <v>HP</v>
          </cell>
          <cell r="AV1409" t="b">
            <v>0</v>
          </cell>
          <cell r="HD1409" t="str">
            <v>Repair Shop</v>
          </cell>
          <cell r="HT1409" t="b">
            <v>0</v>
          </cell>
          <cell r="HU1409" t="str">
            <v>C &amp; H SUGAR CO.</v>
          </cell>
        </row>
        <row r="1410">
          <cell r="A1410">
            <v>1334</v>
          </cell>
          <cell r="B1410" t="str">
            <v>VEM0304</v>
          </cell>
          <cell r="D1410" t="str">
            <v>CITYOFCONCORD</v>
          </cell>
          <cell r="F1410" t="str">
            <v>Century</v>
          </cell>
          <cell r="I1410" t="str">
            <v>D213TCZ</v>
          </cell>
          <cell r="K1410" t="str">
            <v>10</v>
          </cell>
          <cell r="L1410" t="str">
            <v>3500</v>
          </cell>
          <cell r="M1410" t="str">
            <v>SCE</v>
          </cell>
          <cell r="O1410" t="str">
            <v>Full no Cord</v>
          </cell>
          <cell r="R1410" t="str">
            <v>Continuous</v>
          </cell>
          <cell r="V1410" t="str">
            <v>3</v>
          </cell>
          <cell r="W1410" t="str">
            <v>60</v>
          </cell>
          <cell r="Y1410" t="str">
            <v>27/13.5</v>
          </cell>
          <cell r="AD1410" t="str">
            <v>0</v>
          </cell>
          <cell r="AG1410" t="str">
            <v>HP</v>
          </cell>
          <cell r="AP1410" t="str">
            <v>J</v>
          </cell>
          <cell r="AQ1410" t="str">
            <v>F</v>
          </cell>
          <cell r="AV1410" t="b">
            <v>0</v>
          </cell>
          <cell r="GK1410" t="str">
            <v>PART#6-360388-02</v>
          </cell>
          <cell r="HD1410" t="str">
            <v>Repair Shop</v>
          </cell>
          <cell r="HT1410" t="b">
            <v>0</v>
          </cell>
          <cell r="HU1410" t="str">
            <v>CITY OF CONCORD</v>
          </cell>
        </row>
        <row r="1411">
          <cell r="A1411">
            <v>1333</v>
          </cell>
          <cell r="B1411" t="str">
            <v>VEM0303</v>
          </cell>
          <cell r="D1411" t="str">
            <v>KAISER</v>
          </cell>
          <cell r="AG1411" t="str">
            <v>HP</v>
          </cell>
          <cell r="AV1411" t="b">
            <v>0</v>
          </cell>
          <cell r="HD1411" t="str">
            <v>Repair Shop</v>
          </cell>
          <cell r="HT1411" t="b">
            <v>0</v>
          </cell>
          <cell r="HU1411" t="str">
            <v>KAISER HEALTH PLAN</v>
          </cell>
        </row>
        <row r="1412">
          <cell r="A1412">
            <v>1332</v>
          </cell>
          <cell r="B1412" t="str">
            <v>VEM0302</v>
          </cell>
          <cell r="D1412" t="str">
            <v>CONHAGEN</v>
          </cell>
          <cell r="F1412" t="str">
            <v>Reliance</v>
          </cell>
          <cell r="I1412" t="str">
            <v>182HPZ</v>
          </cell>
          <cell r="K1412" t="str">
            <v>3</v>
          </cell>
          <cell r="L1412" t="str">
            <v>3520</v>
          </cell>
          <cell r="M1412" t="str">
            <v>P</v>
          </cell>
          <cell r="O1412" t="str">
            <v>None</v>
          </cell>
          <cell r="P1412" t="str">
            <v>TEFC</v>
          </cell>
          <cell r="R1412" t="str">
            <v>Continuous</v>
          </cell>
          <cell r="T1412" t="str">
            <v>NONE</v>
          </cell>
          <cell r="U1412" t="str">
            <v>40</v>
          </cell>
          <cell r="V1412" t="str">
            <v>3</v>
          </cell>
          <cell r="W1412" t="str">
            <v>60</v>
          </cell>
          <cell r="X1412" t="str">
            <v>460</v>
          </cell>
          <cell r="Y1412" t="str">
            <v>3.6</v>
          </cell>
          <cell r="AA1412" t="str">
            <v>Vertical</v>
          </cell>
          <cell r="AD1412" t="str">
            <v>0</v>
          </cell>
          <cell r="AG1412" t="str">
            <v>HP</v>
          </cell>
          <cell r="AO1412" t="str">
            <v>B</v>
          </cell>
          <cell r="AP1412" t="str">
            <v>K</v>
          </cell>
          <cell r="AS1412" t="str">
            <v>1.15</v>
          </cell>
          <cell r="AT1412" t="str">
            <v>88.5</v>
          </cell>
          <cell r="AV1412" t="b">
            <v>0</v>
          </cell>
          <cell r="EX1412" t="str">
            <v>6330000C002DF</v>
          </cell>
          <cell r="HD1412" t="str">
            <v>Repair Shop</v>
          </cell>
          <cell r="HT1412" t="b">
            <v>0</v>
          </cell>
          <cell r="HU1412" t="str">
            <v>ALFRED CONHAGEN CO. OF CA</v>
          </cell>
        </row>
        <row r="1413">
          <cell r="A1413">
            <v>1331</v>
          </cell>
          <cell r="B1413" t="str">
            <v>FE1003</v>
          </cell>
          <cell r="D1413" t="str">
            <v>GIBSON</v>
          </cell>
          <cell r="AD1413" t="str">
            <v>0</v>
          </cell>
          <cell r="AG1413" t="str">
            <v>HP</v>
          </cell>
          <cell r="AV1413" t="b">
            <v>0</v>
          </cell>
          <cell r="HD1413" t="str">
            <v>Field Service</v>
          </cell>
          <cell r="HT1413" t="b">
            <v>0</v>
          </cell>
          <cell r="HU1413" t="str">
            <v>Gibson Printing &amp; Publishing</v>
          </cell>
        </row>
        <row r="1414">
          <cell r="A1414">
            <v>1330</v>
          </cell>
          <cell r="B1414" t="str">
            <v>VEM0301</v>
          </cell>
          <cell r="D1414" t="str">
            <v>VALERO</v>
          </cell>
          <cell r="F1414" t="str">
            <v>Baldor</v>
          </cell>
          <cell r="H1414" t="str">
            <v>C1402100052</v>
          </cell>
          <cell r="I1414" t="str">
            <v>284T</v>
          </cell>
          <cell r="K1414" t="str">
            <v>25</v>
          </cell>
          <cell r="L1414" t="str">
            <v>1770</v>
          </cell>
          <cell r="O1414" t="str">
            <v>Full no Cord</v>
          </cell>
          <cell r="P1414" t="str">
            <v>TEFC</v>
          </cell>
          <cell r="Q1414" t="str">
            <v>Yes</v>
          </cell>
          <cell r="R1414" t="str">
            <v>Continuous</v>
          </cell>
          <cell r="U1414" t="str">
            <v>40</v>
          </cell>
          <cell r="V1414" t="str">
            <v>3</v>
          </cell>
          <cell r="W1414" t="str">
            <v>60</v>
          </cell>
          <cell r="X1414" t="str">
            <v>230/460</v>
          </cell>
          <cell r="Y1414" t="str">
            <v>60/30</v>
          </cell>
          <cell r="AA1414" t="str">
            <v>F1</v>
          </cell>
          <cell r="AD1414" t="str">
            <v>0</v>
          </cell>
          <cell r="AG1414" t="str">
            <v>HP</v>
          </cell>
          <cell r="AP1414" t="str">
            <v>G</v>
          </cell>
          <cell r="AQ1414" t="str">
            <v>F</v>
          </cell>
          <cell r="AR1414" t="str">
            <v>84</v>
          </cell>
          <cell r="AT1414" t="str">
            <v>93.6</v>
          </cell>
          <cell r="AU1414" t="str">
            <v>10H292X209</v>
          </cell>
          <cell r="AV1414" t="b">
            <v>0</v>
          </cell>
          <cell r="EW1414" t="str">
            <v>ECP4103T</v>
          </cell>
          <cell r="GK1414" t="str">
            <v>TAGGED LITHIUM</v>
          </cell>
          <cell r="HD1414" t="str">
            <v>Repair Shop</v>
          </cell>
          <cell r="HT1414" t="b">
            <v>0</v>
          </cell>
          <cell r="HU1414" t="str">
            <v>VALERO REFINING CO. BENICIA</v>
          </cell>
        </row>
        <row r="1415">
          <cell r="A1415">
            <v>1329</v>
          </cell>
          <cell r="B1415" t="str">
            <v>VEM0300</v>
          </cell>
          <cell r="D1415" t="str">
            <v>VALERO</v>
          </cell>
          <cell r="F1415" t="str">
            <v>Reliance</v>
          </cell>
          <cell r="I1415" t="str">
            <v>286T</v>
          </cell>
          <cell r="K1415" t="str">
            <v>30</v>
          </cell>
          <cell r="L1415" t="str">
            <v>1770</v>
          </cell>
          <cell r="M1415" t="str">
            <v>P</v>
          </cell>
          <cell r="O1415" t="str">
            <v>None</v>
          </cell>
          <cell r="P1415" t="str">
            <v>TEFC</v>
          </cell>
          <cell r="Q1415" t="str">
            <v>Yes</v>
          </cell>
          <cell r="R1415" t="str">
            <v>Continuous</v>
          </cell>
          <cell r="U1415" t="str">
            <v>40</v>
          </cell>
          <cell r="V1415" t="str">
            <v>3</v>
          </cell>
          <cell r="W1415" t="str">
            <v>60</v>
          </cell>
          <cell r="X1415" t="str">
            <v>460</v>
          </cell>
          <cell r="Y1415" t="str">
            <v>35.6</v>
          </cell>
          <cell r="AA1415" t="str">
            <v>F1</v>
          </cell>
          <cell r="AD1415" t="str">
            <v>0</v>
          </cell>
          <cell r="AG1415" t="str">
            <v>HP</v>
          </cell>
          <cell r="AI1415" t="str">
            <v>6310</v>
          </cell>
          <cell r="AJ1415" t="str">
            <v>6310</v>
          </cell>
          <cell r="AR1415" t="str">
            <v>84.5</v>
          </cell>
          <cell r="AS1415" t="str">
            <v>1.15</v>
          </cell>
          <cell r="AT1415" t="str">
            <v>93.0</v>
          </cell>
          <cell r="AV1415" t="b">
            <v>0</v>
          </cell>
          <cell r="EX1415" t="str">
            <v>P28G3314F-G09-WK</v>
          </cell>
          <cell r="GK1415" t="str">
            <v>3  LEADS ONLY</v>
          </cell>
          <cell r="HD1415" t="str">
            <v>Repair Shop</v>
          </cell>
          <cell r="HT1415" t="b">
            <v>0</v>
          </cell>
          <cell r="HU1415" t="str">
            <v>VALERO REFINING CO. BENICIA</v>
          </cell>
        </row>
        <row r="1416">
          <cell r="A1416">
            <v>1328</v>
          </cell>
          <cell r="B1416" t="str">
            <v>VEM0299</v>
          </cell>
          <cell r="D1416" t="str">
            <v>VALERO</v>
          </cell>
          <cell r="F1416" t="str">
            <v>Baldor</v>
          </cell>
          <cell r="H1416" t="str">
            <v>C1509141072</v>
          </cell>
          <cell r="I1416" t="str">
            <v>286T</v>
          </cell>
          <cell r="K1416" t="str">
            <v>30</v>
          </cell>
          <cell r="O1416" t="str">
            <v>Full no Cord</v>
          </cell>
          <cell r="P1416" t="str">
            <v>TEFC</v>
          </cell>
          <cell r="R1416" t="str">
            <v>Continuous</v>
          </cell>
          <cell r="S1416" t="str">
            <v>Yes</v>
          </cell>
          <cell r="T1416" t="str">
            <v>NONE</v>
          </cell>
          <cell r="U1416" t="str">
            <v>40</v>
          </cell>
          <cell r="V1416" t="str">
            <v>3</v>
          </cell>
          <cell r="W1416" t="str">
            <v>60</v>
          </cell>
          <cell r="X1416" t="str">
            <v>230/460</v>
          </cell>
          <cell r="Y1416" t="str">
            <v>72/36</v>
          </cell>
          <cell r="AA1416" t="str">
            <v>F1</v>
          </cell>
          <cell r="AD1416" t="str">
            <v>0</v>
          </cell>
          <cell r="AG1416" t="str">
            <v>HP</v>
          </cell>
          <cell r="AI1416" t="str">
            <v>6311</v>
          </cell>
          <cell r="AJ1416" t="str">
            <v>6311</v>
          </cell>
          <cell r="AO1416" t="str">
            <v>B</v>
          </cell>
          <cell r="AP1416" t="str">
            <v>H</v>
          </cell>
          <cell r="AR1416" t="str">
            <v>83</v>
          </cell>
          <cell r="AT1416" t="str">
            <v>94.1</v>
          </cell>
          <cell r="AU1416" t="str">
            <v>10H292X207</v>
          </cell>
          <cell r="AV1416" t="b">
            <v>0</v>
          </cell>
          <cell r="EW1416" t="str">
            <v>ECP4104T</v>
          </cell>
          <cell r="HD1416" t="str">
            <v>Repair Shop</v>
          </cell>
          <cell r="HT1416" t="b">
            <v>0</v>
          </cell>
          <cell r="HU1416" t="str">
            <v>VALERO REFINING CO. BENICIA</v>
          </cell>
        </row>
        <row r="1417">
          <cell r="A1417">
            <v>1327</v>
          </cell>
          <cell r="B1417" t="str">
            <v>VEM0298</v>
          </cell>
          <cell r="D1417" t="str">
            <v>VALERO</v>
          </cell>
          <cell r="F1417" t="str">
            <v>CLEAVER BROOKS</v>
          </cell>
          <cell r="I1417" t="str">
            <v>286TDZ</v>
          </cell>
          <cell r="K1417" t="str">
            <v>30</v>
          </cell>
          <cell r="L1417" t="str">
            <v>3535</v>
          </cell>
          <cell r="O1417" t="str">
            <v>Full no Cord</v>
          </cell>
          <cell r="P1417" t="str">
            <v>TEFC</v>
          </cell>
          <cell r="R1417" t="str">
            <v>Continuous</v>
          </cell>
          <cell r="T1417" t="str">
            <v>NO</v>
          </cell>
          <cell r="V1417" t="str">
            <v>3</v>
          </cell>
          <cell r="W1417" t="str">
            <v>60</v>
          </cell>
          <cell r="X1417" t="str">
            <v>200-230/460</v>
          </cell>
          <cell r="Y1417" t="str">
            <v>70/35</v>
          </cell>
          <cell r="AG1417" t="str">
            <v>HP</v>
          </cell>
          <cell r="AP1417" t="str">
            <v>H</v>
          </cell>
          <cell r="AT1417" t="str">
            <v>88.0</v>
          </cell>
          <cell r="AV1417" t="b">
            <v>0</v>
          </cell>
          <cell r="HD1417" t="str">
            <v>Repair Shop</v>
          </cell>
          <cell r="HT1417" t="b">
            <v>0</v>
          </cell>
          <cell r="HU1417" t="str">
            <v>VALERO REFINING CO. BENICIA</v>
          </cell>
        </row>
        <row r="1418">
          <cell r="A1418">
            <v>1326</v>
          </cell>
          <cell r="B1418" t="str">
            <v>VEM0297</v>
          </cell>
          <cell r="D1418" t="str">
            <v>VALERO</v>
          </cell>
          <cell r="F1418" t="str">
            <v>Reliance</v>
          </cell>
          <cell r="I1418" t="str">
            <v>284T</v>
          </cell>
          <cell r="K1418" t="str">
            <v>25</v>
          </cell>
          <cell r="L1418" t="str">
            <v>1770</v>
          </cell>
          <cell r="M1418" t="str">
            <v>P</v>
          </cell>
          <cell r="O1418" t="str">
            <v>Full no Cord</v>
          </cell>
          <cell r="P1418" t="str">
            <v>TEFC</v>
          </cell>
          <cell r="Q1418" t="str">
            <v>No</v>
          </cell>
          <cell r="R1418" t="str">
            <v>Continuous</v>
          </cell>
          <cell r="S1418" t="str">
            <v>Yes</v>
          </cell>
          <cell r="T1418" t="str">
            <v>YES</v>
          </cell>
          <cell r="U1418" t="str">
            <v>40</v>
          </cell>
          <cell r="V1418" t="str">
            <v>3</v>
          </cell>
          <cell r="W1418" t="str">
            <v>60</v>
          </cell>
          <cell r="X1418" t="str">
            <v>460</v>
          </cell>
          <cell r="AA1418" t="str">
            <v>F1</v>
          </cell>
          <cell r="AD1418" t="str">
            <v>0</v>
          </cell>
          <cell r="AG1418" t="str">
            <v>HP</v>
          </cell>
          <cell r="AO1418" t="str">
            <v>B</v>
          </cell>
          <cell r="AP1418" t="str">
            <v>G</v>
          </cell>
          <cell r="AQ1418" t="str">
            <v>F</v>
          </cell>
          <cell r="AR1418" t="str">
            <v>82.7</v>
          </cell>
          <cell r="AS1418" t="str">
            <v>1.15</v>
          </cell>
          <cell r="AT1418" t="str">
            <v>93.0</v>
          </cell>
          <cell r="AV1418" t="b">
            <v>0</v>
          </cell>
          <cell r="AW1418" t="str">
            <v>30.5</v>
          </cell>
          <cell r="AX1418" t="str">
            <v>4</v>
          </cell>
          <cell r="EX1418" t="str">
            <v>P28G3313G G11-W</v>
          </cell>
          <cell r="HD1418" t="str">
            <v>Repair Shop</v>
          </cell>
          <cell r="HT1418" t="b">
            <v>0</v>
          </cell>
          <cell r="HU1418" t="str">
            <v>VALERO REFINING CO. BENICIA</v>
          </cell>
        </row>
        <row r="1419">
          <cell r="A1419">
            <v>1325</v>
          </cell>
          <cell r="B1419" t="str">
            <v>VEM0296</v>
          </cell>
          <cell r="D1419" t="str">
            <v>TEKNIKOLOR</v>
          </cell>
          <cell r="F1419" t="str">
            <v>Dayton</v>
          </cell>
          <cell r="G1419" t="str">
            <v>5K967BB</v>
          </cell>
          <cell r="I1419" t="str">
            <v>184T</v>
          </cell>
          <cell r="K1419" t="str">
            <v>3</v>
          </cell>
          <cell r="L1419" t="str">
            <v>1740</v>
          </cell>
          <cell r="O1419" t="str">
            <v>Half no Cord</v>
          </cell>
          <cell r="P1419" t="str">
            <v>TEFC</v>
          </cell>
          <cell r="R1419" t="str">
            <v>Continuous</v>
          </cell>
          <cell r="T1419" t="str">
            <v>yes</v>
          </cell>
          <cell r="V1419" t="str">
            <v>1</v>
          </cell>
          <cell r="W1419" t="str">
            <v>60</v>
          </cell>
          <cell r="X1419" t="str">
            <v>115/230</v>
          </cell>
          <cell r="Y1419" t="str">
            <v>30/15</v>
          </cell>
          <cell r="AA1419" t="str">
            <v>F1</v>
          </cell>
          <cell r="AD1419" t="str">
            <v>0</v>
          </cell>
          <cell r="AG1419" t="str">
            <v>HP</v>
          </cell>
          <cell r="AO1419" t="str">
            <v>L</v>
          </cell>
          <cell r="AP1419" t="str">
            <v>H</v>
          </cell>
          <cell r="AQ1419" t="str">
            <v>F</v>
          </cell>
          <cell r="AS1419" t="str">
            <v>1.0</v>
          </cell>
          <cell r="AV1419" t="b">
            <v>0</v>
          </cell>
          <cell r="GK1419" t="str">
            <v>motor on base</v>
          </cell>
          <cell r="GL1419" t="str">
            <v>CONNECT 230 VOLTS</v>
          </cell>
          <cell r="HD1419" t="str">
            <v>Repair Shop</v>
          </cell>
          <cell r="HT1419" t="b">
            <v>0</v>
          </cell>
          <cell r="HU1419" t="str">
            <v>TEKNIKOLOR</v>
          </cell>
        </row>
        <row r="1420">
          <cell r="A1420">
            <v>1324</v>
          </cell>
          <cell r="B1420" t="str">
            <v>VEM0295</v>
          </cell>
          <cell r="D1420" t="str">
            <v>C&amp;H</v>
          </cell>
          <cell r="AD1420" t="str">
            <v>0</v>
          </cell>
          <cell r="AG1420" t="str">
            <v>HP</v>
          </cell>
          <cell r="AV1420" t="b">
            <v>0</v>
          </cell>
          <cell r="BY1420" t="str">
            <v>11.39</v>
          </cell>
          <cell r="BZ1420" t="str">
            <v>1800</v>
          </cell>
          <cell r="CE1420" t="str">
            <v>15</v>
          </cell>
          <cell r="CH1420" t="str">
            <v>NO</v>
          </cell>
          <cell r="CI1420" t="str">
            <v>YES</v>
          </cell>
          <cell r="HD1420" t="str">
            <v>Repair Shop</v>
          </cell>
          <cell r="HT1420" t="b">
            <v>0</v>
          </cell>
          <cell r="HU1420" t="str">
            <v>C &amp; H SUGAR CO.</v>
          </cell>
        </row>
        <row r="1421">
          <cell r="A1421">
            <v>1323</v>
          </cell>
          <cell r="B1421" t="str">
            <v>VEM0294</v>
          </cell>
          <cell r="D1421" t="str">
            <v>P66CARBON</v>
          </cell>
          <cell r="F1421" t="str">
            <v>Baldor</v>
          </cell>
          <cell r="I1421" t="str">
            <v>324T</v>
          </cell>
          <cell r="K1421" t="str">
            <v>40</v>
          </cell>
          <cell r="L1421" t="str">
            <v>1760</v>
          </cell>
          <cell r="O1421" t="str">
            <v>Full no Cord</v>
          </cell>
          <cell r="P1421" t="str">
            <v>TEFC</v>
          </cell>
          <cell r="R1421" t="str">
            <v>Continuous</v>
          </cell>
          <cell r="T1421" t="str">
            <v>NO KEY</v>
          </cell>
          <cell r="U1421" t="str">
            <v>40</v>
          </cell>
          <cell r="V1421" t="str">
            <v>3</v>
          </cell>
          <cell r="W1421" t="str">
            <v>60</v>
          </cell>
          <cell r="X1421" t="str">
            <v>230/460</v>
          </cell>
          <cell r="Y1421" t="str">
            <v>96/48</v>
          </cell>
          <cell r="AA1421" t="str">
            <v>F1</v>
          </cell>
          <cell r="AD1421" t="str">
            <v>0</v>
          </cell>
          <cell r="AG1421" t="str">
            <v>HP</v>
          </cell>
          <cell r="AI1421" t="str">
            <v>6312</v>
          </cell>
          <cell r="AJ1421" t="str">
            <v>6311</v>
          </cell>
          <cell r="AO1421" t="str">
            <v>B</v>
          </cell>
          <cell r="AP1421" t="str">
            <v>G</v>
          </cell>
          <cell r="AQ1421" t="str">
            <v>F</v>
          </cell>
          <cell r="AS1421" t="str">
            <v>1.15</v>
          </cell>
          <cell r="AT1421" t="str">
            <v>94.5</v>
          </cell>
          <cell r="AU1421" t="str">
            <v>12H013W583G1</v>
          </cell>
          <cell r="AV1421" t="b">
            <v>0</v>
          </cell>
          <cell r="EW1421" t="str">
            <v>EM4110T</v>
          </cell>
          <cell r="HD1421" t="str">
            <v>Repair Shop</v>
          </cell>
          <cell r="HT1421" t="b">
            <v>0</v>
          </cell>
          <cell r="HU1421" t="str">
            <v>PHILLIPS 66 CARBON PLANT</v>
          </cell>
        </row>
        <row r="1422">
          <cell r="A1422">
            <v>1322</v>
          </cell>
          <cell r="B1422" t="str">
            <v>VEM0293</v>
          </cell>
          <cell r="D1422" t="str">
            <v>UNICO</v>
          </cell>
          <cell r="F1422" t="str">
            <v>Westinghouse</v>
          </cell>
          <cell r="G1422" t="str">
            <v>TBFC</v>
          </cell>
          <cell r="H1422" t="str">
            <v>7005</v>
          </cell>
          <cell r="I1422" t="str">
            <v>215TP</v>
          </cell>
          <cell r="K1422" t="str">
            <v>10</v>
          </cell>
          <cell r="L1422" t="str">
            <v>3500</v>
          </cell>
          <cell r="O1422" t="str">
            <v>None</v>
          </cell>
          <cell r="P1422" t="str">
            <v>TEFC</v>
          </cell>
          <cell r="R1422" t="str">
            <v>Continuous</v>
          </cell>
          <cell r="S1422" t="str">
            <v>Yes</v>
          </cell>
          <cell r="T1422" t="str">
            <v>NONE</v>
          </cell>
          <cell r="V1422" t="str">
            <v>3</v>
          </cell>
          <cell r="W1422" t="str">
            <v>60</v>
          </cell>
          <cell r="X1422" t="str">
            <v>230/460</v>
          </cell>
          <cell r="Y1422" t="str">
            <v>24.4/12.2</v>
          </cell>
          <cell r="AA1422" t="str">
            <v>Vertical</v>
          </cell>
          <cell r="AD1422" t="str">
            <v>0</v>
          </cell>
          <cell r="AG1422" t="str">
            <v>HP</v>
          </cell>
          <cell r="AP1422" t="str">
            <v>H</v>
          </cell>
          <cell r="AS1422" t="str">
            <v>1.0</v>
          </cell>
          <cell r="AV1422" t="b">
            <v>0</v>
          </cell>
          <cell r="EY1422" t="str">
            <v>70D58222</v>
          </cell>
          <cell r="GK1422" t="str">
            <v>3 LEADS  ONLY</v>
          </cell>
          <cell r="HD1422" t="str">
            <v>Repair Shop</v>
          </cell>
          <cell r="HT1422" t="b">
            <v>0</v>
          </cell>
          <cell r="HU1422" t="str">
            <v>UNICO MECHANICAL CORP.</v>
          </cell>
        </row>
        <row r="1423">
          <cell r="A1423">
            <v>1320</v>
          </cell>
          <cell r="B1423" t="str">
            <v>VEM0291</v>
          </cell>
          <cell r="D1423" t="str">
            <v>FAIRFIELDMAINT</v>
          </cell>
          <cell r="F1423" t="str">
            <v>Baldor</v>
          </cell>
          <cell r="H1423" t="str">
            <v>F0902180814</v>
          </cell>
          <cell r="I1423" t="str">
            <v>184T</v>
          </cell>
          <cell r="K1423" t="str">
            <v>5</v>
          </cell>
          <cell r="L1423" t="str">
            <v>1750</v>
          </cell>
          <cell r="O1423" t="str">
            <v>Full no Cord</v>
          </cell>
          <cell r="P1423" t="str">
            <v>ODP</v>
          </cell>
          <cell r="R1423" t="str">
            <v>Continuous</v>
          </cell>
          <cell r="T1423" t="str">
            <v>YES</v>
          </cell>
          <cell r="U1423" t="str">
            <v>40</v>
          </cell>
          <cell r="V1423" t="str">
            <v>3</v>
          </cell>
          <cell r="W1423" t="str">
            <v>60</v>
          </cell>
          <cell r="X1423" t="str">
            <v>230/460</v>
          </cell>
          <cell r="Y1423" t="str">
            <v>13.2/6.6</v>
          </cell>
          <cell r="AA1423" t="str">
            <v>F1</v>
          </cell>
          <cell r="AD1423" t="str">
            <v>0</v>
          </cell>
          <cell r="AG1423" t="str">
            <v>HP</v>
          </cell>
          <cell r="AI1423" t="str">
            <v>6206</v>
          </cell>
          <cell r="AJ1423" t="str">
            <v>6205</v>
          </cell>
          <cell r="AQ1423" t="str">
            <v>F</v>
          </cell>
          <cell r="AT1423" t="str">
            <v>90.2</v>
          </cell>
          <cell r="AU1423" t="str">
            <v>36G548T832</v>
          </cell>
          <cell r="AV1423" t="b">
            <v>0</v>
          </cell>
          <cell r="AY1423" t="str">
            <v>BELL AND GOSSET</v>
          </cell>
          <cell r="AZ1423" t="str">
            <v>3AC 7.0BF</v>
          </cell>
          <cell r="BA1423" t="str">
            <v>PHOO6606</v>
          </cell>
          <cell r="BE1423" t="str">
            <v>330</v>
          </cell>
          <cell r="BL1423" t="str">
            <v>175</v>
          </cell>
          <cell r="EW1423" t="str">
            <v>EM3218T</v>
          </cell>
          <cell r="HD1423" t="str">
            <v>Repair Shop</v>
          </cell>
          <cell r="HT1423" t="b">
            <v>0</v>
          </cell>
          <cell r="HU1423" t="str">
            <v>CITY OF FAIRFIELD</v>
          </cell>
        </row>
        <row r="1424">
          <cell r="A1424">
            <v>1319</v>
          </cell>
          <cell r="B1424" t="str">
            <v>VEM0290</v>
          </cell>
          <cell r="D1424" t="str">
            <v>VALERO</v>
          </cell>
          <cell r="F1424" t="str">
            <v>Reliance</v>
          </cell>
          <cell r="I1424" t="str">
            <v>284T</v>
          </cell>
          <cell r="K1424" t="str">
            <v>25</v>
          </cell>
          <cell r="L1424" t="str">
            <v>1770</v>
          </cell>
          <cell r="M1424" t="str">
            <v>P</v>
          </cell>
          <cell r="O1424" t="str">
            <v>None</v>
          </cell>
          <cell r="P1424" t="str">
            <v>TEFC</v>
          </cell>
          <cell r="R1424" t="str">
            <v>Continuous</v>
          </cell>
          <cell r="T1424" t="str">
            <v>NONE</v>
          </cell>
          <cell r="U1424" t="str">
            <v>40</v>
          </cell>
          <cell r="V1424" t="str">
            <v>3</v>
          </cell>
          <cell r="W1424" t="str">
            <v>60</v>
          </cell>
          <cell r="X1424" t="str">
            <v>460</v>
          </cell>
          <cell r="Y1424" t="str">
            <v>30.5</v>
          </cell>
          <cell r="AA1424" t="str">
            <v>F1</v>
          </cell>
          <cell r="AG1424" t="str">
            <v>HP</v>
          </cell>
          <cell r="AO1424" t="str">
            <v>B</v>
          </cell>
          <cell r="AR1424" t="str">
            <v>82.8</v>
          </cell>
          <cell r="AT1424" t="str">
            <v>92.4</v>
          </cell>
          <cell r="AV1424" t="b">
            <v>0</v>
          </cell>
          <cell r="EX1424" t="str">
            <v>P28G3313G-G07-TK</v>
          </cell>
          <cell r="HD1424" t="str">
            <v>Repair Shop</v>
          </cell>
          <cell r="HT1424" t="b">
            <v>0</v>
          </cell>
          <cell r="HU1424" t="str">
            <v>VALERO REFINING CO. BENICIA</v>
          </cell>
        </row>
        <row r="1425">
          <cell r="A1425">
            <v>1318</v>
          </cell>
          <cell r="B1425" t="str">
            <v>VEM0289</v>
          </cell>
          <cell r="D1425" t="str">
            <v>C&amp;H</v>
          </cell>
          <cell r="AG1425" t="str">
            <v>HP</v>
          </cell>
          <cell r="AV1425" t="b">
            <v>0</v>
          </cell>
          <cell r="HD1425" t="str">
            <v>Repair Shop</v>
          </cell>
          <cell r="HT1425" t="b">
            <v>0</v>
          </cell>
          <cell r="HU1425" t="str">
            <v>C &amp; H SUGAR CO.</v>
          </cell>
        </row>
        <row r="1426">
          <cell r="A1426">
            <v>1317</v>
          </cell>
          <cell r="B1426" t="str">
            <v>VEM0288</v>
          </cell>
          <cell r="D1426" t="str">
            <v>NAPARECYCLING</v>
          </cell>
          <cell r="G1426" t="str">
            <v>SF-4B100TSC61Y</v>
          </cell>
          <cell r="H1426" t="str">
            <v>C0169492-09/27-01</v>
          </cell>
          <cell r="I1426" t="str">
            <v>405TSC</v>
          </cell>
          <cell r="K1426" t="str">
            <v>100</v>
          </cell>
          <cell r="L1426" t="str">
            <v>1785</v>
          </cell>
          <cell r="O1426" t="str">
            <v>Full no Cord</v>
          </cell>
          <cell r="P1426" t="str">
            <v>TEFC</v>
          </cell>
          <cell r="R1426" t="str">
            <v>Continuous</v>
          </cell>
          <cell r="T1426" t="str">
            <v>KEY ONLY</v>
          </cell>
          <cell r="W1426" t="str">
            <v>60</v>
          </cell>
          <cell r="X1426" t="str">
            <v>230/460</v>
          </cell>
          <cell r="Y1426" t="str">
            <v>244/122</v>
          </cell>
          <cell r="AA1426" t="str">
            <v>F1</v>
          </cell>
          <cell r="AD1426" t="str">
            <v>-1</v>
          </cell>
          <cell r="AG1426" t="str">
            <v>HP</v>
          </cell>
          <cell r="AP1426" t="str">
            <v>G</v>
          </cell>
          <cell r="AS1426" t="str">
            <v>1.15</v>
          </cell>
          <cell r="AT1426" t="str">
            <v>95.4</v>
          </cell>
          <cell r="AV1426" t="b">
            <v>0</v>
          </cell>
          <cell r="HD1426" t="str">
            <v>Repair Shop</v>
          </cell>
          <cell r="HT1426" t="b">
            <v>0</v>
          </cell>
          <cell r="HU1426" t="str">
            <v>NAPA RECYCLING &amp; WASTE</v>
          </cell>
        </row>
        <row r="1427">
          <cell r="A1427">
            <v>1316</v>
          </cell>
          <cell r="B1427" t="str">
            <v>VEM0287</v>
          </cell>
          <cell r="D1427" t="str">
            <v>RECLAMATION</v>
          </cell>
          <cell r="F1427" t="str">
            <v>PEABODY BARNES</v>
          </cell>
          <cell r="K1427" t="str">
            <v>7.5</v>
          </cell>
          <cell r="R1427" t="str">
            <v>Continuous</v>
          </cell>
          <cell r="V1427" t="str">
            <v>1</v>
          </cell>
          <cell r="W1427" t="str">
            <v>60</v>
          </cell>
          <cell r="AD1427" t="str">
            <v>0</v>
          </cell>
          <cell r="AG1427" t="str">
            <v>HP</v>
          </cell>
          <cell r="AV1427" t="b">
            <v>0</v>
          </cell>
          <cell r="GK1427" t="str">
            <v>HAS 2 CABLES</v>
          </cell>
          <cell r="HD1427" t="str">
            <v>Repair Shop</v>
          </cell>
          <cell r="HT1427" t="b">
            <v>0</v>
          </cell>
          <cell r="HU1427" t="str">
            <v>US DEPARTMENT OF THE INTERIOR, RECLAMATION</v>
          </cell>
        </row>
        <row r="1428">
          <cell r="A1428">
            <v>1315</v>
          </cell>
          <cell r="B1428" t="str">
            <v>VEM0286</v>
          </cell>
          <cell r="D1428" t="str">
            <v>VALERO</v>
          </cell>
          <cell r="F1428" t="str">
            <v>Westinghouse</v>
          </cell>
          <cell r="H1428" t="str">
            <v>7309</v>
          </cell>
          <cell r="I1428" t="str">
            <v>405VP</v>
          </cell>
          <cell r="K1428" t="str">
            <v>100</v>
          </cell>
          <cell r="L1428" t="str">
            <v>3555</v>
          </cell>
          <cell r="O1428" t="str">
            <v>None</v>
          </cell>
          <cell r="P1428" t="str">
            <v>TEFC</v>
          </cell>
          <cell r="R1428" t="str">
            <v>Continuous</v>
          </cell>
          <cell r="S1428" t="str">
            <v>Yes</v>
          </cell>
          <cell r="T1428" t="str">
            <v>yes</v>
          </cell>
          <cell r="U1428" t="str">
            <v>40</v>
          </cell>
          <cell r="V1428" t="str">
            <v>3</v>
          </cell>
          <cell r="W1428" t="str">
            <v>60</v>
          </cell>
          <cell r="X1428" t="str">
            <v>230/460</v>
          </cell>
          <cell r="Y1428" t="str">
            <v>224/112</v>
          </cell>
          <cell r="AA1428" t="str">
            <v>Vertical</v>
          </cell>
          <cell r="AD1428" t="str">
            <v>0</v>
          </cell>
          <cell r="AG1428" t="str">
            <v>HP</v>
          </cell>
          <cell r="AO1428" t="str">
            <v>B</v>
          </cell>
          <cell r="AQ1428" t="str">
            <v>B</v>
          </cell>
          <cell r="AS1428" t="str">
            <v>1.0</v>
          </cell>
          <cell r="AV1428" t="b">
            <v>0</v>
          </cell>
          <cell r="EY1428" t="str">
            <v>73C65903</v>
          </cell>
          <cell r="GK1428" t="str">
            <v>9 LEADS ONLY</v>
          </cell>
          <cell r="HA1428" t="str">
            <v>B</v>
          </cell>
          <cell r="HD1428" t="str">
            <v>Repair Shop</v>
          </cell>
          <cell r="HT1428" t="b">
            <v>0</v>
          </cell>
          <cell r="HU1428" t="str">
            <v>VALERO REFINING CO. BENICIA</v>
          </cell>
        </row>
        <row r="1429">
          <cell r="A1429">
            <v>1314</v>
          </cell>
          <cell r="B1429" t="str">
            <v>VEM0285</v>
          </cell>
          <cell r="D1429" t="str">
            <v>VALLEJOWATER</v>
          </cell>
          <cell r="F1429" t="str">
            <v>US Motors</v>
          </cell>
          <cell r="I1429" t="str">
            <v>324TPH W1</v>
          </cell>
          <cell r="K1429" t="str">
            <v>40</v>
          </cell>
          <cell r="L1429" t="str">
            <v>1770</v>
          </cell>
          <cell r="M1429" t="str">
            <v>RU</v>
          </cell>
          <cell r="O1429" t="str">
            <v>None</v>
          </cell>
          <cell r="R1429" t="str">
            <v>Continuous</v>
          </cell>
          <cell r="T1429" t="str">
            <v>NONE</v>
          </cell>
          <cell r="V1429" t="str">
            <v>3</v>
          </cell>
          <cell r="W1429" t="str">
            <v>60</v>
          </cell>
          <cell r="X1429" t="str">
            <v>230/460</v>
          </cell>
          <cell r="Y1429" t="str">
            <v>49.5</v>
          </cell>
          <cell r="AA1429" t="str">
            <v>Vertical</v>
          </cell>
          <cell r="AD1429" t="str">
            <v>0</v>
          </cell>
          <cell r="AG1429" t="str">
            <v>HP</v>
          </cell>
          <cell r="AJ1429" t="str">
            <v>7220</v>
          </cell>
          <cell r="AO1429" t="str">
            <v>B</v>
          </cell>
          <cell r="AP1429" t="str">
            <v>G</v>
          </cell>
          <cell r="AT1429" t="str">
            <v>89.5</v>
          </cell>
          <cell r="AV1429" t="b">
            <v>0</v>
          </cell>
          <cell r="EX1429" t="str">
            <v>6228/N11N293R153R-1</v>
          </cell>
          <cell r="GK1429" t="str">
            <v>3 LEADS ONLY</v>
          </cell>
          <cell r="GL1429" t="str">
            <v>HAS TOP ANTI ROTATION DEVICE AND COUPLING</v>
          </cell>
          <cell r="GM1429" t="str">
            <v>NO TOP HAT</v>
          </cell>
          <cell r="GN1429" t="str">
            <v>ROYAL PURPLE GREASE AND OIL</v>
          </cell>
          <cell r="HD1429" t="str">
            <v>Repair Shop</v>
          </cell>
          <cell r="HT1429" t="b">
            <v>0</v>
          </cell>
          <cell r="HU1429" t="str">
            <v>CITY OF VALLEJO WATER TREATMENT</v>
          </cell>
        </row>
        <row r="1430">
          <cell r="A1430">
            <v>1313</v>
          </cell>
          <cell r="B1430" t="str">
            <v>VEM0284</v>
          </cell>
          <cell r="D1430" t="str">
            <v>P66</v>
          </cell>
          <cell r="F1430" t="str">
            <v>Reliance</v>
          </cell>
          <cell r="I1430" t="str">
            <v>256HPZ</v>
          </cell>
          <cell r="K1430" t="str">
            <v>20</v>
          </cell>
          <cell r="L1430" t="str">
            <v>3510</v>
          </cell>
          <cell r="M1430" t="str">
            <v>P</v>
          </cell>
          <cell r="O1430" t="str">
            <v>None</v>
          </cell>
          <cell r="P1430" t="str">
            <v>TEFC</v>
          </cell>
          <cell r="Q1430" t="str">
            <v>No</v>
          </cell>
          <cell r="R1430" t="str">
            <v>Continuous</v>
          </cell>
          <cell r="S1430" t="str">
            <v>No</v>
          </cell>
          <cell r="T1430" t="str">
            <v>NONE</v>
          </cell>
          <cell r="U1430" t="str">
            <v>40C</v>
          </cell>
          <cell r="V1430" t="str">
            <v>3</v>
          </cell>
          <cell r="W1430" t="str">
            <v>60</v>
          </cell>
          <cell r="X1430" t="str">
            <v>230/460</v>
          </cell>
          <cell r="Z1430" t="str">
            <v>No</v>
          </cell>
          <cell r="AA1430" t="str">
            <v>Vertical</v>
          </cell>
          <cell r="AD1430" t="str">
            <v>0</v>
          </cell>
          <cell r="AG1430" t="str">
            <v>HP</v>
          </cell>
          <cell r="AO1430" t="str">
            <v>B</v>
          </cell>
          <cell r="AP1430" t="str">
            <v>F</v>
          </cell>
          <cell r="AQ1430" t="str">
            <v>F</v>
          </cell>
          <cell r="AV1430" t="b">
            <v>0</v>
          </cell>
          <cell r="AW1430" t="str">
            <v>50/25</v>
          </cell>
          <cell r="EX1430" t="str">
            <v>P25G6634B-G1-VD</v>
          </cell>
          <cell r="HD1430" t="str">
            <v>Repair Shop</v>
          </cell>
          <cell r="HT1430" t="b">
            <v>0</v>
          </cell>
          <cell r="HU1430" t="str">
            <v>PHILLIPS 66</v>
          </cell>
        </row>
        <row r="1431">
          <cell r="A1431">
            <v>1312</v>
          </cell>
          <cell r="B1431" t="str">
            <v>VEM0283</v>
          </cell>
          <cell r="D1431" t="str">
            <v>CONHAGEN</v>
          </cell>
          <cell r="F1431" t="str">
            <v>Siemens</v>
          </cell>
          <cell r="I1431" t="str">
            <v>326LPZ</v>
          </cell>
          <cell r="K1431" t="str">
            <v>50</v>
          </cell>
          <cell r="O1431" t="str">
            <v>None</v>
          </cell>
          <cell r="P1431" t="str">
            <v>TEFC</v>
          </cell>
          <cell r="R1431" t="str">
            <v>Continuous</v>
          </cell>
          <cell r="T1431" t="str">
            <v>NO</v>
          </cell>
          <cell r="V1431" t="str">
            <v>3</v>
          </cell>
          <cell r="W1431" t="str">
            <v>60</v>
          </cell>
          <cell r="AA1431" t="str">
            <v>Vertical</v>
          </cell>
          <cell r="AD1431" t="str">
            <v>-1</v>
          </cell>
          <cell r="AG1431" t="str">
            <v>HP</v>
          </cell>
          <cell r="AO1431" t="str">
            <v>B</v>
          </cell>
          <cell r="AP1431" t="str">
            <v>G</v>
          </cell>
          <cell r="AV1431" t="b">
            <v>0</v>
          </cell>
          <cell r="HD1431" t="str">
            <v>Repair Shop</v>
          </cell>
          <cell r="HT1431" t="b">
            <v>0</v>
          </cell>
          <cell r="HU1431" t="str">
            <v>ALFRED CONHAGEN CO. OF CA</v>
          </cell>
        </row>
        <row r="1432">
          <cell r="A1432">
            <v>1311</v>
          </cell>
          <cell r="B1432" t="str">
            <v>VEM0282</v>
          </cell>
          <cell r="D1432" t="str">
            <v>CONHAGEN</v>
          </cell>
          <cell r="F1432" t="str">
            <v>Siemens</v>
          </cell>
          <cell r="H1432" t="str">
            <v>G07T0093BP1</v>
          </cell>
          <cell r="I1432" t="str">
            <v>364LP</v>
          </cell>
          <cell r="K1432" t="str">
            <v>60</v>
          </cell>
          <cell r="L1432" t="str">
            <v>3565</v>
          </cell>
          <cell r="O1432" t="str">
            <v>None</v>
          </cell>
          <cell r="P1432" t="str">
            <v>TEFC</v>
          </cell>
          <cell r="R1432" t="str">
            <v>Continuous</v>
          </cell>
          <cell r="T1432" t="str">
            <v>NONE</v>
          </cell>
          <cell r="U1432" t="str">
            <v>40</v>
          </cell>
          <cell r="V1432" t="str">
            <v>3</v>
          </cell>
          <cell r="W1432" t="str">
            <v>60</v>
          </cell>
          <cell r="X1432" t="str">
            <v>460</v>
          </cell>
          <cell r="Y1432" t="str">
            <v>68.0</v>
          </cell>
          <cell r="AA1432" t="str">
            <v>Vertical</v>
          </cell>
          <cell r="AD1432" t="str">
            <v>0</v>
          </cell>
          <cell r="AG1432" t="str">
            <v>HP</v>
          </cell>
          <cell r="AO1432" t="str">
            <v>B</v>
          </cell>
          <cell r="AP1432" t="str">
            <v>G</v>
          </cell>
          <cell r="AQ1432" t="str">
            <v>F</v>
          </cell>
          <cell r="AS1432" t="str">
            <v>1.15</v>
          </cell>
          <cell r="AT1432" t="str">
            <v>92.4</v>
          </cell>
          <cell r="AV1432" t="b">
            <v>0</v>
          </cell>
          <cell r="GK1432" t="str">
            <v>GASKET ONLY ON JB</v>
          </cell>
          <cell r="HD1432" t="str">
            <v>Repair Shop</v>
          </cell>
          <cell r="HT1432" t="b">
            <v>0</v>
          </cell>
          <cell r="HU1432" t="str">
            <v>ALFRED CONHAGEN CO. OF CA</v>
          </cell>
        </row>
        <row r="1433">
          <cell r="A1433">
            <v>1310</v>
          </cell>
          <cell r="B1433" t="str">
            <v>VEM0281</v>
          </cell>
          <cell r="D1433" t="str">
            <v>NAPARECYCLING</v>
          </cell>
          <cell r="F1433" t="str">
            <v>Baldor</v>
          </cell>
          <cell r="H1433" t="str">
            <v>C0507115075</v>
          </cell>
          <cell r="I1433" t="str">
            <v>405TSC</v>
          </cell>
          <cell r="K1433" t="str">
            <v>100</v>
          </cell>
          <cell r="L1433" t="str">
            <v>1780</v>
          </cell>
          <cell r="O1433" t="str">
            <v>None</v>
          </cell>
          <cell r="P1433" t="str">
            <v>TEFC</v>
          </cell>
          <cell r="R1433" t="str">
            <v>Continuous</v>
          </cell>
          <cell r="T1433" t="str">
            <v>KEY ONLY</v>
          </cell>
          <cell r="U1433" t="str">
            <v>40</v>
          </cell>
          <cell r="V1433" t="str">
            <v>3</v>
          </cell>
          <cell r="W1433" t="str">
            <v>60</v>
          </cell>
          <cell r="X1433" t="str">
            <v>460</v>
          </cell>
          <cell r="Y1433" t="str">
            <v>110</v>
          </cell>
          <cell r="AA1433" t="str">
            <v>F1</v>
          </cell>
          <cell r="AD1433" t="str">
            <v>0</v>
          </cell>
          <cell r="AG1433" t="str">
            <v>HP</v>
          </cell>
          <cell r="AI1433" t="str">
            <v>6316</v>
          </cell>
          <cell r="AJ1433" t="str">
            <v>6313</v>
          </cell>
          <cell r="AP1433" t="str">
            <v>J</v>
          </cell>
          <cell r="AQ1433" t="str">
            <v>F</v>
          </cell>
          <cell r="AR1433" t="str">
            <v>90</v>
          </cell>
          <cell r="AT1433" t="str">
            <v>94.5</v>
          </cell>
          <cell r="AU1433" t="str">
            <v>16H070W713H2</v>
          </cell>
          <cell r="AV1433" t="b">
            <v>0</v>
          </cell>
          <cell r="GK1433" t="str">
            <v>LEAD LENGTH 18 INCHES</v>
          </cell>
          <cell r="GL1433" t="str">
            <v>6 LEADS 1,2,3,10,11,12</v>
          </cell>
          <cell r="GM1433" t="str">
            <v>PLUS 2 RED LEADS UNMARKED</v>
          </cell>
          <cell r="HD1433" t="str">
            <v>Repair Shop</v>
          </cell>
          <cell r="HT1433" t="b">
            <v>0</v>
          </cell>
          <cell r="HU1433" t="str">
            <v>NAPA RECYCLING &amp; WASTE</v>
          </cell>
        </row>
        <row r="1434">
          <cell r="A1434">
            <v>1309</v>
          </cell>
          <cell r="B1434" t="str">
            <v>VEM0280</v>
          </cell>
          <cell r="D1434" t="str">
            <v>EURO</v>
          </cell>
          <cell r="F1434" t="str">
            <v>EMOD</v>
          </cell>
          <cell r="H1434" t="str">
            <v>1783585</v>
          </cell>
          <cell r="K1434" t="str">
            <v>6.5</v>
          </cell>
          <cell r="L1434" t="str">
            <v>1750</v>
          </cell>
          <cell r="M1434" t="str">
            <v>1325/14</v>
          </cell>
          <cell r="O1434" t="str">
            <v>Full w/ Cord</v>
          </cell>
          <cell r="P1434" t="str">
            <v>TEFC</v>
          </cell>
          <cell r="R1434" t="str">
            <v>Continuous</v>
          </cell>
          <cell r="U1434" t="str">
            <v>40</v>
          </cell>
          <cell r="V1434" t="str">
            <v>3</v>
          </cell>
          <cell r="W1434" t="str">
            <v>60</v>
          </cell>
          <cell r="X1434" t="str">
            <v>230/460</v>
          </cell>
          <cell r="Y1434" t="str">
            <v>23/11.5</v>
          </cell>
          <cell r="AD1434" t="str">
            <v>0</v>
          </cell>
          <cell r="AG1434" t="str">
            <v>KW</v>
          </cell>
          <cell r="AV1434" t="b">
            <v>0</v>
          </cell>
          <cell r="HD1434" t="str">
            <v>Repair Shop</v>
          </cell>
          <cell r="HT1434" t="b">
            <v>0</v>
          </cell>
          <cell r="HU1434" t="str">
            <v>EURO-MACHINES, INC.</v>
          </cell>
        </row>
        <row r="1435">
          <cell r="A1435">
            <v>1308</v>
          </cell>
          <cell r="B1435" t="str">
            <v>VEM0279</v>
          </cell>
          <cell r="D1435" t="str">
            <v>EURO</v>
          </cell>
          <cell r="F1435" t="str">
            <v>RIETSCHLE</v>
          </cell>
          <cell r="H1435" t="str">
            <v>714782</v>
          </cell>
          <cell r="K1435" t="str">
            <v>.44</v>
          </cell>
          <cell r="L1435" t="str">
            <v>3400</v>
          </cell>
          <cell r="M1435" t="str">
            <v>SKG-200-2.021431</v>
          </cell>
          <cell r="O1435" t="str">
            <v>Full w/ Cord</v>
          </cell>
          <cell r="P1435" t="str">
            <v>TEFC</v>
          </cell>
          <cell r="R1435" t="str">
            <v>Continuous</v>
          </cell>
          <cell r="V1435" t="str">
            <v>3</v>
          </cell>
          <cell r="W1435" t="str">
            <v>60</v>
          </cell>
          <cell r="X1435" t="str">
            <v>230/460</v>
          </cell>
          <cell r="Y1435" t="str">
            <v>2.7/1.35</v>
          </cell>
          <cell r="AA1435" t="str">
            <v>F2</v>
          </cell>
          <cell r="AD1435" t="str">
            <v>0</v>
          </cell>
          <cell r="AG1435" t="str">
            <v>KW</v>
          </cell>
          <cell r="AV1435" t="b">
            <v>0</v>
          </cell>
          <cell r="GK1435" t="str">
            <v>VACUMN  PUMP</v>
          </cell>
          <cell r="HD1435" t="str">
            <v>Repair Shop</v>
          </cell>
          <cell r="HT1435" t="b">
            <v>0</v>
          </cell>
          <cell r="HU1435" t="str">
            <v>EURO-MACHINES, INC.</v>
          </cell>
        </row>
        <row r="1436">
          <cell r="A1436">
            <v>1307</v>
          </cell>
          <cell r="B1436" t="str">
            <v>VEM0278</v>
          </cell>
          <cell r="D1436" t="str">
            <v>EURO</v>
          </cell>
          <cell r="F1436" t="str">
            <v>BAUER</v>
          </cell>
          <cell r="O1436" t="str">
            <v>Full w/ Cord</v>
          </cell>
          <cell r="R1436" t="str">
            <v>Continuous</v>
          </cell>
          <cell r="T1436" t="str">
            <v>YES</v>
          </cell>
          <cell r="V1436" t="str">
            <v>3</v>
          </cell>
          <cell r="W1436" t="str">
            <v>60</v>
          </cell>
          <cell r="AD1436" t="str">
            <v>0</v>
          </cell>
          <cell r="AV1436" t="b">
            <v>0</v>
          </cell>
          <cell r="GK1436" t="str">
            <v>NO BRAKE ON MOTOR</v>
          </cell>
          <cell r="HD1436" t="str">
            <v>Repair Shop</v>
          </cell>
          <cell r="HT1436" t="b">
            <v>0</v>
          </cell>
          <cell r="HU1436" t="str">
            <v>EURO-MACHINES, INC.</v>
          </cell>
        </row>
        <row r="1437">
          <cell r="A1437">
            <v>1306</v>
          </cell>
          <cell r="B1437" t="str">
            <v>VEM0277</v>
          </cell>
          <cell r="D1437" t="str">
            <v>EURO</v>
          </cell>
          <cell r="F1437" t="str">
            <v>BAUER</v>
          </cell>
          <cell r="O1437" t="str">
            <v>Full no Cord</v>
          </cell>
          <cell r="P1437" t="str">
            <v>TEFC</v>
          </cell>
          <cell r="T1437" t="str">
            <v>NONE</v>
          </cell>
          <cell r="V1437" t="str">
            <v>3</v>
          </cell>
          <cell r="W1437" t="str">
            <v>60</v>
          </cell>
          <cell r="AD1437" t="str">
            <v>0</v>
          </cell>
          <cell r="AV1437" t="b">
            <v>0</v>
          </cell>
          <cell r="HD1437" t="str">
            <v>Repair Shop</v>
          </cell>
          <cell r="HT1437" t="b">
            <v>0</v>
          </cell>
          <cell r="HU1437" t="str">
            <v>EURO-MACHINES, INC.</v>
          </cell>
        </row>
        <row r="1438">
          <cell r="A1438">
            <v>1305</v>
          </cell>
          <cell r="B1438" t="str">
            <v>VEM0276</v>
          </cell>
          <cell r="D1438" t="str">
            <v>CONHAGEN</v>
          </cell>
          <cell r="F1438" t="str">
            <v>Siemens</v>
          </cell>
          <cell r="H1438" t="str">
            <v>G07T0092BP1</v>
          </cell>
          <cell r="I1438" t="str">
            <v>326LP</v>
          </cell>
          <cell r="K1438" t="str">
            <v>50</v>
          </cell>
          <cell r="L1438" t="str">
            <v>3530</v>
          </cell>
          <cell r="M1438" t="str">
            <v>RGZVILESD</v>
          </cell>
          <cell r="O1438" t="str">
            <v>Full no Cord</v>
          </cell>
          <cell r="P1438" t="str">
            <v>TEFC</v>
          </cell>
          <cell r="R1438" t="str">
            <v>Continuous</v>
          </cell>
          <cell r="S1438" t="str">
            <v>Yes</v>
          </cell>
          <cell r="T1438" t="str">
            <v>KEY ONLY</v>
          </cell>
          <cell r="U1438" t="str">
            <v>40</v>
          </cell>
          <cell r="V1438" t="str">
            <v>3</v>
          </cell>
          <cell r="W1438" t="str">
            <v>60</v>
          </cell>
          <cell r="X1438" t="str">
            <v>460</v>
          </cell>
          <cell r="Y1438" t="str">
            <v>63.0</v>
          </cell>
          <cell r="AA1438" t="str">
            <v>Vertical</v>
          </cell>
          <cell r="AD1438" t="str">
            <v>0</v>
          </cell>
          <cell r="AG1438" t="str">
            <v>HP</v>
          </cell>
          <cell r="AO1438" t="str">
            <v>B</v>
          </cell>
          <cell r="AP1438" t="str">
            <v>G</v>
          </cell>
          <cell r="AQ1438" t="str">
            <v>F</v>
          </cell>
          <cell r="AT1438" t="str">
            <v>92.4</v>
          </cell>
          <cell r="AV1438" t="b">
            <v>0</v>
          </cell>
          <cell r="HD1438" t="str">
            <v>Repair Shop</v>
          </cell>
          <cell r="HT1438" t="b">
            <v>0</v>
          </cell>
          <cell r="HU1438" t="str">
            <v>ALFRED CONHAGEN CO. OF CA</v>
          </cell>
        </row>
        <row r="1439">
          <cell r="A1439">
            <v>1304</v>
          </cell>
          <cell r="B1439" t="str">
            <v>VEM0275</v>
          </cell>
          <cell r="D1439" t="str">
            <v>VALERO</v>
          </cell>
          <cell r="F1439" t="str">
            <v>Reliance</v>
          </cell>
          <cell r="I1439" t="str">
            <v>18EBE449TS</v>
          </cell>
          <cell r="K1439" t="str">
            <v>200</v>
          </cell>
          <cell r="L1439" t="str">
            <v>1785</v>
          </cell>
          <cell r="M1439" t="str">
            <v>P</v>
          </cell>
          <cell r="N1439" t="str">
            <v>2900</v>
          </cell>
          <cell r="O1439" t="str">
            <v>Full no Cord</v>
          </cell>
          <cell r="P1439" t="str">
            <v>TEFC</v>
          </cell>
          <cell r="R1439" t="str">
            <v>Continuous</v>
          </cell>
          <cell r="S1439" t="str">
            <v>Yes</v>
          </cell>
          <cell r="T1439" t="str">
            <v>YES</v>
          </cell>
          <cell r="U1439" t="str">
            <v>40</v>
          </cell>
          <cell r="V1439" t="str">
            <v>3</v>
          </cell>
          <cell r="W1439" t="str">
            <v>60</v>
          </cell>
          <cell r="X1439" t="str">
            <v>4160</v>
          </cell>
          <cell r="Y1439" t="str">
            <v>24.9</v>
          </cell>
          <cell r="AA1439" t="str">
            <v>F1</v>
          </cell>
          <cell r="AD1439" t="str">
            <v>0</v>
          </cell>
          <cell r="AG1439" t="str">
            <v>HP</v>
          </cell>
          <cell r="AI1439" t="str">
            <v>6318</v>
          </cell>
          <cell r="AJ1439" t="str">
            <v>6318</v>
          </cell>
          <cell r="AP1439" t="str">
            <v>H</v>
          </cell>
          <cell r="AS1439" t="str">
            <v>1.15</v>
          </cell>
          <cell r="AV1439" t="b">
            <v>0</v>
          </cell>
          <cell r="EX1439" t="str">
            <v>VA002327-A3-QN</v>
          </cell>
          <cell r="GK1439" t="str">
            <v>COUP .025 OFF END OF SHAFT</v>
          </cell>
          <cell r="HD1439" t="str">
            <v>Repair Shop</v>
          </cell>
          <cell r="HT1439" t="b">
            <v>0</v>
          </cell>
          <cell r="HU1439" t="str">
            <v>VALERO REFINING CO. BENICIA</v>
          </cell>
        </row>
        <row r="1440">
          <cell r="A1440">
            <v>1303</v>
          </cell>
          <cell r="B1440" t="str">
            <v>VEM0274</v>
          </cell>
          <cell r="D1440" t="str">
            <v>ALLIEDMACHINE</v>
          </cell>
          <cell r="AD1440" t="str">
            <v>0</v>
          </cell>
          <cell r="AG1440" t="str">
            <v>HP</v>
          </cell>
          <cell r="AV1440" t="b">
            <v>0</v>
          </cell>
          <cell r="DO1440" t="str">
            <v>115/230</v>
          </cell>
          <cell r="HD1440" t="str">
            <v>Repair Shop</v>
          </cell>
          <cell r="HT1440" t="b">
            <v>0</v>
          </cell>
          <cell r="HU1440" t="str">
            <v>ALLIED MACHINE</v>
          </cell>
        </row>
        <row r="1441">
          <cell r="A1441">
            <v>1302</v>
          </cell>
          <cell r="B1441" t="str">
            <v>VEM0273</v>
          </cell>
          <cell r="D1441" t="str">
            <v>ALLIEDMACHINE</v>
          </cell>
          <cell r="F1441" t="str">
            <v>Baldor</v>
          </cell>
          <cell r="H1441" t="str">
            <v>F0504070399</v>
          </cell>
          <cell r="I1441" t="str">
            <v>D100L</v>
          </cell>
          <cell r="K1441" t="str">
            <v>2</v>
          </cell>
          <cell r="L1441" t="str">
            <v>1160</v>
          </cell>
          <cell r="O1441" t="str">
            <v>Full w/ Cord</v>
          </cell>
          <cell r="P1441" t="str">
            <v>TEFC</v>
          </cell>
          <cell r="R1441" t="str">
            <v>Continuous</v>
          </cell>
          <cell r="S1441" t="str">
            <v>No</v>
          </cell>
          <cell r="T1441" t="str">
            <v>yes</v>
          </cell>
          <cell r="V1441" t="str">
            <v>3</v>
          </cell>
          <cell r="W1441" t="str">
            <v>60</v>
          </cell>
          <cell r="X1441" t="str">
            <v>230/460</v>
          </cell>
          <cell r="Y1441" t="str">
            <v>7.2/3.6</v>
          </cell>
          <cell r="AA1441" t="str">
            <v>F1</v>
          </cell>
          <cell r="AD1441" t="str">
            <v>0</v>
          </cell>
          <cell r="AG1441" t="str">
            <v>KW</v>
          </cell>
          <cell r="AI1441" t="str">
            <v>6206</v>
          </cell>
          <cell r="AJ1441" t="str">
            <v>6205</v>
          </cell>
          <cell r="AO1441" t="str">
            <v>B</v>
          </cell>
          <cell r="AP1441" t="str">
            <v>K</v>
          </cell>
          <cell r="AQ1441" t="str">
            <v>F</v>
          </cell>
          <cell r="AR1441" t="str">
            <v>59</v>
          </cell>
          <cell r="AT1441" t="str">
            <v>86.5</v>
          </cell>
          <cell r="AU1441" t="str">
            <v>36H420Y396H2</v>
          </cell>
          <cell r="AV1441" t="b">
            <v>0</v>
          </cell>
          <cell r="HA1441" t="str">
            <v>F</v>
          </cell>
          <cell r="HD1441" t="str">
            <v>Repair Shop</v>
          </cell>
          <cell r="HT1441" t="b">
            <v>0</v>
          </cell>
          <cell r="HU1441" t="str">
            <v>ALLIED MACHINE</v>
          </cell>
        </row>
        <row r="1442">
          <cell r="A1442">
            <v>1301</v>
          </cell>
          <cell r="B1442" t="str">
            <v>VEM0272</v>
          </cell>
          <cell r="D1442" t="str">
            <v>TURBO</v>
          </cell>
          <cell r="F1442" t="str">
            <v>Reliance</v>
          </cell>
          <cell r="I1442" t="str">
            <v>405LP</v>
          </cell>
          <cell r="K1442" t="str">
            <v>75</v>
          </cell>
          <cell r="L1442" t="str">
            <v>1785</v>
          </cell>
          <cell r="M1442" t="str">
            <v>P</v>
          </cell>
          <cell r="O1442" t="str">
            <v>Full no Cord</v>
          </cell>
          <cell r="P1442" t="str">
            <v>TEFC</v>
          </cell>
          <cell r="R1442" t="str">
            <v>Continuous</v>
          </cell>
          <cell r="T1442" t="str">
            <v>none</v>
          </cell>
          <cell r="U1442" t="str">
            <v>40</v>
          </cell>
          <cell r="V1442" t="str">
            <v>3</v>
          </cell>
          <cell r="W1442" t="str">
            <v>60</v>
          </cell>
          <cell r="X1442" t="str">
            <v>460</v>
          </cell>
          <cell r="Y1442" t="str">
            <v>83</v>
          </cell>
          <cell r="AA1442" t="str">
            <v>Vertical</v>
          </cell>
          <cell r="AD1442" t="str">
            <v>0</v>
          </cell>
          <cell r="AG1442" t="str">
            <v>HP</v>
          </cell>
          <cell r="AO1442" t="str">
            <v>B</v>
          </cell>
          <cell r="AQ1442" t="str">
            <v>F</v>
          </cell>
          <cell r="AR1442" t="str">
            <v>88.8</v>
          </cell>
          <cell r="AS1442" t="str">
            <v>1.15</v>
          </cell>
          <cell r="AT1442" t="str">
            <v>94.5</v>
          </cell>
          <cell r="AV1442" t="b">
            <v>0</v>
          </cell>
          <cell r="EX1442" t="str">
            <v>1MAF62190G1US</v>
          </cell>
          <cell r="HD1442" t="str">
            <v>Repair Shop</v>
          </cell>
          <cell r="HT1442" t="b">
            <v>0</v>
          </cell>
          <cell r="HU1442" t="str">
            <v>TURBO MACHINE</v>
          </cell>
        </row>
        <row r="1443">
          <cell r="A1443">
            <v>1300</v>
          </cell>
          <cell r="B1443" t="str">
            <v>VEM0271</v>
          </cell>
          <cell r="D1443" t="str">
            <v>TRADEWINDS</v>
          </cell>
          <cell r="F1443" t="str">
            <v>Goulds Sub Pump</v>
          </cell>
          <cell r="G1443" t="str">
            <v>WS0512BF</v>
          </cell>
          <cell r="K1443" t="str">
            <v>1/2</v>
          </cell>
          <cell r="L1443" t="str">
            <v>1725</v>
          </cell>
          <cell r="O1443" t="str">
            <v>Cord</v>
          </cell>
          <cell r="V1443" t="str">
            <v>1</v>
          </cell>
          <cell r="W1443" t="str">
            <v>60</v>
          </cell>
          <cell r="X1443" t="str">
            <v>230</v>
          </cell>
          <cell r="Y1443" t="str">
            <v>7.3</v>
          </cell>
          <cell r="AG1443" t="str">
            <v>HP</v>
          </cell>
          <cell r="AV1443" t="b">
            <v>0</v>
          </cell>
          <cell r="GK1443" t="str">
            <v>no plug on end of cord</v>
          </cell>
          <cell r="HD1443" t="str">
            <v>Repair Shop</v>
          </cell>
          <cell r="HT1443" t="b">
            <v>0</v>
          </cell>
          <cell r="HU1443" t="str">
            <v>TRADEWINDS</v>
          </cell>
        </row>
        <row r="1444">
          <cell r="A1444">
            <v>1299</v>
          </cell>
          <cell r="B1444" t="str">
            <v>VEM0270</v>
          </cell>
          <cell r="D1444" t="str">
            <v>VALERO</v>
          </cell>
          <cell r="F1444" t="str">
            <v>Baldor</v>
          </cell>
          <cell r="H1444" t="str">
            <v>F)209235497</v>
          </cell>
          <cell r="I1444" t="str">
            <v>56</v>
          </cell>
          <cell r="K1444" t="str">
            <v>3/4</v>
          </cell>
          <cell r="L1444" t="str">
            <v>3650</v>
          </cell>
          <cell r="O1444" t="str">
            <v>Full no Cord</v>
          </cell>
          <cell r="P1444" t="str">
            <v>EXP</v>
          </cell>
          <cell r="R1444" t="str">
            <v>Continuous</v>
          </cell>
          <cell r="T1444" t="str">
            <v>yes</v>
          </cell>
          <cell r="U1444" t="str">
            <v>40</v>
          </cell>
          <cell r="V1444" t="str">
            <v>3</v>
          </cell>
          <cell r="W1444" t="str">
            <v>60</v>
          </cell>
          <cell r="X1444" t="str">
            <v>115/230</v>
          </cell>
          <cell r="Y1444" t="str">
            <v>9.8/4.9</v>
          </cell>
          <cell r="AD1444" t="str">
            <v>0</v>
          </cell>
          <cell r="AG1444" t="str">
            <v>HP</v>
          </cell>
          <cell r="AP1444" t="str">
            <v>K</v>
          </cell>
          <cell r="AQ1444" t="str">
            <v>B</v>
          </cell>
          <cell r="AU1444" t="str">
            <v>35E353-764</v>
          </cell>
          <cell r="AV1444" t="b">
            <v>0</v>
          </cell>
          <cell r="EW1444" t="str">
            <v>L500SA</v>
          </cell>
          <cell r="HD1444" t="str">
            <v>Repair Shop</v>
          </cell>
          <cell r="HT1444" t="b">
            <v>0</v>
          </cell>
          <cell r="HU1444" t="str">
            <v>VALERO REFINING CO. BENICIA</v>
          </cell>
        </row>
        <row r="1445">
          <cell r="A1445">
            <v>1298</v>
          </cell>
          <cell r="B1445" t="str">
            <v>VEM0269</v>
          </cell>
          <cell r="D1445" t="str">
            <v>P66</v>
          </cell>
          <cell r="F1445" t="str">
            <v>Reliance</v>
          </cell>
          <cell r="G1445" t="str">
            <v>B77R3045S-UZ</v>
          </cell>
          <cell r="I1445" t="str">
            <v>FB56YZ</v>
          </cell>
          <cell r="K1445" t="str">
            <v>.30</v>
          </cell>
          <cell r="L1445" t="str">
            <v>1725</v>
          </cell>
          <cell r="M1445" t="str">
            <v>P</v>
          </cell>
          <cell r="O1445" t="str">
            <v>Full no Cord</v>
          </cell>
          <cell r="P1445" t="str">
            <v>TEFC</v>
          </cell>
          <cell r="R1445" t="str">
            <v>Continuous</v>
          </cell>
          <cell r="T1445" t="str">
            <v>none</v>
          </cell>
          <cell r="U1445" t="str">
            <v>40</v>
          </cell>
          <cell r="V1445" t="str">
            <v>3</v>
          </cell>
          <cell r="W1445" t="str">
            <v>60</v>
          </cell>
          <cell r="X1445" t="str">
            <v>208-230/460</v>
          </cell>
          <cell r="Y1445" t="str">
            <v>1.4-1.4/.7</v>
          </cell>
          <cell r="AA1445" t="str">
            <v>Vertical</v>
          </cell>
          <cell r="AG1445" t="str">
            <v>HP</v>
          </cell>
          <cell r="AP1445" t="str">
            <v>M</v>
          </cell>
          <cell r="AQ1445" t="str">
            <v>F</v>
          </cell>
          <cell r="AS1445" t="str">
            <v>1.15</v>
          </cell>
          <cell r="AV1445" t="b">
            <v>0</v>
          </cell>
          <cell r="GK1445" t="str">
            <v>460 volts plus 2 red leads</v>
          </cell>
          <cell r="HD1445" t="str">
            <v>Repair Shop</v>
          </cell>
          <cell r="HT1445" t="b">
            <v>0</v>
          </cell>
          <cell r="HU1445" t="str">
            <v>PHILLIPS 66</v>
          </cell>
        </row>
        <row r="1446">
          <cell r="A1446">
            <v>1297</v>
          </cell>
          <cell r="B1446" t="str">
            <v>VEM0268</v>
          </cell>
          <cell r="D1446" t="str">
            <v>P66</v>
          </cell>
          <cell r="F1446" t="str">
            <v>Baldor</v>
          </cell>
          <cell r="H1446" t="str">
            <v>F1104270001</v>
          </cell>
          <cell r="I1446" t="str">
            <v>143T</v>
          </cell>
          <cell r="K1446" t="str">
            <v>.75</v>
          </cell>
          <cell r="L1446" t="str">
            <v>1140</v>
          </cell>
          <cell r="O1446" t="str">
            <v>Full no Cord</v>
          </cell>
          <cell r="P1446" t="str">
            <v>EXP</v>
          </cell>
          <cell r="R1446" t="str">
            <v>Continuous</v>
          </cell>
          <cell r="T1446" t="str">
            <v>none</v>
          </cell>
          <cell r="V1446" t="str">
            <v>3</v>
          </cell>
          <cell r="W1446" t="str">
            <v>60</v>
          </cell>
          <cell r="X1446" t="str">
            <v>115/230</v>
          </cell>
          <cell r="Y1446" t="str">
            <v>11.4/5.7</v>
          </cell>
          <cell r="AA1446" t="str">
            <v>F1</v>
          </cell>
          <cell r="AD1446" t="str">
            <v>-1</v>
          </cell>
          <cell r="AG1446" t="str">
            <v>HP</v>
          </cell>
          <cell r="AO1446" t="str">
            <v>N</v>
          </cell>
          <cell r="AP1446" t="str">
            <v>J</v>
          </cell>
          <cell r="AQ1446" t="str">
            <v>B</v>
          </cell>
          <cell r="AR1446" t="str">
            <v>74</v>
          </cell>
          <cell r="AT1446" t="str">
            <v>59.5</v>
          </cell>
          <cell r="AU1446" t="str">
            <v>35J659R131</v>
          </cell>
          <cell r="AV1446" t="b">
            <v>0</v>
          </cell>
          <cell r="HD1446" t="str">
            <v>Repair Shop</v>
          </cell>
          <cell r="HT1446" t="b">
            <v>0</v>
          </cell>
          <cell r="HU1446" t="str">
            <v>PHILLIPS 66</v>
          </cell>
        </row>
        <row r="1447">
          <cell r="A1447">
            <v>1296</v>
          </cell>
          <cell r="B1447" t="str">
            <v>VEM0267</v>
          </cell>
          <cell r="D1447" t="str">
            <v>P66</v>
          </cell>
          <cell r="F1447" t="str">
            <v>US Motors</v>
          </cell>
          <cell r="I1447" t="str">
            <v>324LPH</v>
          </cell>
          <cell r="K1447" t="str">
            <v>40</v>
          </cell>
          <cell r="O1447" t="str">
            <v>None</v>
          </cell>
          <cell r="P1447" t="str">
            <v>TEFC</v>
          </cell>
          <cell r="R1447" t="str">
            <v>Continuous</v>
          </cell>
          <cell r="S1447" t="str">
            <v>Yes</v>
          </cell>
          <cell r="T1447" t="str">
            <v>none</v>
          </cell>
          <cell r="U1447" t="str">
            <v>40</v>
          </cell>
          <cell r="V1447" t="str">
            <v>3</v>
          </cell>
          <cell r="W1447" t="str">
            <v>60</v>
          </cell>
          <cell r="X1447" t="str">
            <v>460</v>
          </cell>
          <cell r="Y1447" t="str">
            <v>49.5</v>
          </cell>
          <cell r="AD1447" t="str">
            <v>-1</v>
          </cell>
          <cell r="AG1447" t="str">
            <v>HP</v>
          </cell>
          <cell r="AI1447" t="str">
            <v>5312</v>
          </cell>
          <cell r="AJ1447" t="str">
            <v>6211</v>
          </cell>
          <cell r="AO1447" t="str">
            <v>B</v>
          </cell>
          <cell r="AQ1447" t="str">
            <v>F</v>
          </cell>
          <cell r="AS1447" t="str">
            <v>1.15</v>
          </cell>
          <cell r="AV1447" t="b">
            <v>0</v>
          </cell>
          <cell r="EX1447" t="str">
            <v>G88330/x12x2940212r-1</v>
          </cell>
          <cell r="GK1447" t="str">
            <v>eyebolts on top of motor</v>
          </cell>
          <cell r="GL1447" t="str">
            <v>leads not sealed</v>
          </cell>
          <cell r="GM1447" t="str">
            <v>needs new gasket for jb</v>
          </cell>
          <cell r="HD1447" t="str">
            <v>Repair Shop</v>
          </cell>
          <cell r="HT1447" t="b">
            <v>0</v>
          </cell>
          <cell r="HU1447" t="str">
            <v>PHILLIPS 66</v>
          </cell>
        </row>
        <row r="1448">
          <cell r="A1448">
            <v>1294</v>
          </cell>
          <cell r="B1448" t="str">
            <v>VEM0265</v>
          </cell>
          <cell r="D1448" t="str">
            <v>MAREISLDRYDK</v>
          </cell>
          <cell r="K1448" t="str">
            <v>42.5</v>
          </cell>
          <cell r="L1448" t="str">
            <v>1800</v>
          </cell>
          <cell r="P1448" t="str">
            <v>TEFC</v>
          </cell>
          <cell r="V1448" t="str">
            <v>3</v>
          </cell>
          <cell r="X1448" t="str">
            <v>575</v>
          </cell>
          <cell r="AA1448" t="str">
            <v>Top</v>
          </cell>
          <cell r="AG1448" t="str">
            <v>KW</v>
          </cell>
          <cell r="AV1448" t="b">
            <v>0</v>
          </cell>
          <cell r="AX1448" t="str">
            <v>4</v>
          </cell>
          <cell r="HD1448" t="str">
            <v>Repair Shop</v>
          </cell>
          <cell r="HT1448" t="b">
            <v>0</v>
          </cell>
          <cell r="HU1448" t="str">
            <v>MARE ISLAND DRY DOCK</v>
          </cell>
        </row>
        <row r="1449">
          <cell r="A1449">
            <v>1293</v>
          </cell>
          <cell r="B1449" t="str">
            <v>VEM0264</v>
          </cell>
          <cell r="D1449" t="str">
            <v>CONHAGEN</v>
          </cell>
          <cell r="F1449" t="str">
            <v>LOUIS ALLIS</v>
          </cell>
          <cell r="G1449" t="str">
            <v>265968-80020M70</v>
          </cell>
          <cell r="I1449" t="str">
            <v>364T</v>
          </cell>
          <cell r="K1449" t="str">
            <v>60</v>
          </cell>
          <cell r="L1449" t="str">
            <v>3560</v>
          </cell>
          <cell r="M1449" t="str">
            <v>CJ4B</v>
          </cell>
          <cell r="O1449" t="str">
            <v>None</v>
          </cell>
          <cell r="R1449" t="str">
            <v>Continuous</v>
          </cell>
          <cell r="S1449" t="str">
            <v>Yes</v>
          </cell>
          <cell r="T1449" t="str">
            <v>NONE</v>
          </cell>
          <cell r="U1449" t="str">
            <v>40</v>
          </cell>
          <cell r="V1449" t="str">
            <v>3</v>
          </cell>
          <cell r="W1449" t="str">
            <v>60</v>
          </cell>
          <cell r="X1449" t="str">
            <v>230/460</v>
          </cell>
          <cell r="Y1449" t="str">
            <v>148/74</v>
          </cell>
          <cell r="AA1449" t="str">
            <v>Vertical</v>
          </cell>
          <cell r="AD1449" t="str">
            <v>0</v>
          </cell>
          <cell r="AG1449" t="str">
            <v>HP</v>
          </cell>
          <cell r="AI1449" t="str">
            <v>5212</v>
          </cell>
          <cell r="AO1449" t="str">
            <v>B</v>
          </cell>
          <cell r="AV1449" t="b">
            <v>0</v>
          </cell>
          <cell r="HD1449" t="str">
            <v>Repair Shop</v>
          </cell>
          <cell r="HT1449" t="b">
            <v>0</v>
          </cell>
          <cell r="HU1449" t="str">
            <v>ALFRED CONHAGEN CO. OF CA</v>
          </cell>
        </row>
        <row r="1450">
          <cell r="A1450">
            <v>1292</v>
          </cell>
          <cell r="B1450" t="str">
            <v>VEM0263</v>
          </cell>
          <cell r="D1450" t="str">
            <v>MAREISLDRYDK</v>
          </cell>
          <cell r="F1450" t="str">
            <v>GE</v>
          </cell>
          <cell r="H1450" t="str">
            <v>229619</v>
          </cell>
          <cell r="K1450" t="str">
            <v>50</v>
          </cell>
          <cell r="L1450" t="str">
            <v>600</v>
          </cell>
          <cell r="M1450" t="str">
            <v>11250A</v>
          </cell>
          <cell r="O1450" t="str">
            <v>None</v>
          </cell>
          <cell r="R1450" t="str">
            <v>Continuous</v>
          </cell>
          <cell r="T1450" t="str">
            <v>FLUSH</v>
          </cell>
          <cell r="V1450" t="str">
            <v>3</v>
          </cell>
          <cell r="W1450" t="str">
            <v>60</v>
          </cell>
          <cell r="X1450" t="str">
            <v>220</v>
          </cell>
          <cell r="Y1450" t="str">
            <v>130</v>
          </cell>
          <cell r="AD1450" t="str">
            <v>0</v>
          </cell>
          <cell r="AG1450" t="str">
            <v>HP</v>
          </cell>
          <cell r="AV1450" t="b">
            <v>0</v>
          </cell>
          <cell r="HD1450" t="str">
            <v>Repair Shop</v>
          </cell>
          <cell r="HT1450" t="b">
            <v>0</v>
          </cell>
          <cell r="HU1450" t="str">
            <v>MARE ISLAND DRY DOCK</v>
          </cell>
        </row>
        <row r="1451">
          <cell r="A1451">
            <v>1291</v>
          </cell>
          <cell r="B1451" t="str">
            <v>VEM0262</v>
          </cell>
          <cell r="D1451" t="str">
            <v>DURAVENT</v>
          </cell>
          <cell r="F1451" t="str">
            <v>Baldor</v>
          </cell>
          <cell r="H1451" t="str">
            <v>Z0510310438</v>
          </cell>
          <cell r="I1451" t="str">
            <v>405TSC</v>
          </cell>
          <cell r="K1451" t="str">
            <v>100</v>
          </cell>
          <cell r="L1451" t="str">
            <v>1775</v>
          </cell>
          <cell r="O1451" t="str">
            <v>Full no Cord</v>
          </cell>
          <cell r="P1451" t="str">
            <v>ODP</v>
          </cell>
          <cell r="R1451" t="str">
            <v>Continuous</v>
          </cell>
          <cell r="T1451" t="str">
            <v>NONE</v>
          </cell>
          <cell r="U1451" t="str">
            <v>40</v>
          </cell>
          <cell r="V1451" t="str">
            <v>3</v>
          </cell>
          <cell r="W1451" t="str">
            <v>60</v>
          </cell>
          <cell r="X1451" t="str">
            <v>230/460</v>
          </cell>
          <cell r="Y1451" t="str">
            <v>238/119</v>
          </cell>
          <cell r="AA1451" t="str">
            <v>F2</v>
          </cell>
          <cell r="AD1451" t="str">
            <v>0</v>
          </cell>
          <cell r="AG1451" t="str">
            <v>HP</v>
          </cell>
          <cell r="AI1451" t="str">
            <v>6313</v>
          </cell>
          <cell r="AJ1451" t="str">
            <v>6312</v>
          </cell>
          <cell r="AO1451" t="str">
            <v>B</v>
          </cell>
          <cell r="AP1451" t="str">
            <v>G</v>
          </cell>
          <cell r="AR1451" t="str">
            <v>84</v>
          </cell>
          <cell r="AS1451" t="str">
            <v>1.15</v>
          </cell>
          <cell r="AT1451" t="str">
            <v>94.1</v>
          </cell>
          <cell r="AU1451" t="str">
            <v>44E034W135H3</v>
          </cell>
          <cell r="AV1451" t="b">
            <v>0</v>
          </cell>
          <cell r="EW1451" t="str">
            <v>129712T007</v>
          </cell>
          <cell r="HD1451" t="str">
            <v>Repair Shop</v>
          </cell>
          <cell r="HT1451" t="b">
            <v>0</v>
          </cell>
          <cell r="HU1451" t="str">
            <v>M&amp;G DURAVENT, INC.</v>
          </cell>
        </row>
        <row r="1452">
          <cell r="A1452">
            <v>1288</v>
          </cell>
          <cell r="B1452" t="str">
            <v>VEM0259</v>
          </cell>
          <cell r="D1452" t="str">
            <v>CONHAGEN</v>
          </cell>
          <cell r="F1452" t="str">
            <v>GE</v>
          </cell>
          <cell r="G1452" t="str">
            <v>5KS326ST145D21</v>
          </cell>
          <cell r="H1452" t="str">
            <v>RRG185221</v>
          </cell>
          <cell r="I1452" t="str">
            <v>L326HPZ12</v>
          </cell>
          <cell r="K1452" t="str">
            <v>50</v>
          </cell>
          <cell r="L1452" t="str">
            <v>3545</v>
          </cell>
          <cell r="M1452" t="str">
            <v>KS</v>
          </cell>
          <cell r="N1452" t="str">
            <v>680</v>
          </cell>
          <cell r="O1452" t="str">
            <v>None</v>
          </cell>
          <cell r="P1452" t="str">
            <v>TEFC</v>
          </cell>
          <cell r="R1452" t="str">
            <v>Continuous</v>
          </cell>
          <cell r="T1452" t="str">
            <v>NONE</v>
          </cell>
          <cell r="V1452" t="str">
            <v>3</v>
          </cell>
          <cell r="W1452" t="str">
            <v>60</v>
          </cell>
          <cell r="X1452" t="str">
            <v>460</v>
          </cell>
          <cell r="Y1452" t="str">
            <v>59.5</v>
          </cell>
          <cell r="AD1452" t="str">
            <v>0</v>
          </cell>
          <cell r="AG1452" t="str">
            <v>HP</v>
          </cell>
          <cell r="AP1452" t="str">
            <v>G</v>
          </cell>
          <cell r="AV1452" t="b">
            <v>0</v>
          </cell>
          <cell r="EW1452" t="str">
            <v>SFH25</v>
          </cell>
          <cell r="GK1452" t="str">
            <v>3 LEADS ONLY</v>
          </cell>
          <cell r="GL1452" t="str">
            <v>SUNDYNE</v>
          </cell>
          <cell r="HD1452" t="str">
            <v>Repair Shop</v>
          </cell>
          <cell r="HT1452" t="b">
            <v>0</v>
          </cell>
          <cell r="HU1452" t="str">
            <v>ALFRED CONHAGEN CO. OF CA</v>
          </cell>
        </row>
        <row r="1453">
          <cell r="A1453">
            <v>1287</v>
          </cell>
          <cell r="B1453" t="str">
            <v>VEM0258</v>
          </cell>
          <cell r="D1453" t="str">
            <v>INTEGRATED</v>
          </cell>
          <cell r="I1453" t="str">
            <v>210TC</v>
          </cell>
          <cell r="O1453" t="str">
            <v>None</v>
          </cell>
          <cell r="P1453" t="str">
            <v>TEFC</v>
          </cell>
          <cell r="T1453" t="str">
            <v>none</v>
          </cell>
          <cell r="V1453" t="str">
            <v>3</v>
          </cell>
          <cell r="W1453" t="str">
            <v>60</v>
          </cell>
          <cell r="AD1453" t="str">
            <v>0</v>
          </cell>
          <cell r="AV1453" t="b">
            <v>0</v>
          </cell>
          <cell r="HD1453" t="str">
            <v>Repair Shop</v>
          </cell>
          <cell r="HT1453" t="b">
            <v>0</v>
          </cell>
          <cell r="HU1453" t="str">
            <v>INTEGRATED TURBO MACHINERY, INC.</v>
          </cell>
        </row>
        <row r="1454">
          <cell r="A1454">
            <v>1286</v>
          </cell>
          <cell r="B1454" t="str">
            <v>VEM0257</v>
          </cell>
          <cell r="D1454" t="str">
            <v>CITYOFBENICIA</v>
          </cell>
          <cell r="F1454" t="str">
            <v>Marathon</v>
          </cell>
          <cell r="G1454" t="str">
            <v>RVF143TTTN6563BAP</v>
          </cell>
          <cell r="H1454" t="str">
            <v>CO4O6414-06/23-03</v>
          </cell>
          <cell r="I1454" t="str">
            <v>143TC</v>
          </cell>
          <cell r="K1454" t="str">
            <v>1</v>
          </cell>
          <cell r="L1454" t="str">
            <v>1735</v>
          </cell>
          <cell r="M1454" t="str">
            <v>TTS</v>
          </cell>
          <cell r="N1454" t="str">
            <v>55</v>
          </cell>
          <cell r="O1454" t="str">
            <v>Full no Cord</v>
          </cell>
          <cell r="P1454" t="str">
            <v>TEFC</v>
          </cell>
          <cell r="R1454" t="str">
            <v>Continuous</v>
          </cell>
          <cell r="T1454" t="str">
            <v>NONE</v>
          </cell>
          <cell r="U1454" t="str">
            <v>40</v>
          </cell>
          <cell r="V1454" t="str">
            <v>3</v>
          </cell>
          <cell r="W1454" t="str">
            <v>60</v>
          </cell>
          <cell r="X1454" t="str">
            <v>230/460</v>
          </cell>
          <cell r="AA1454" t="str">
            <v>F1</v>
          </cell>
          <cell r="AD1454" t="str">
            <v>0</v>
          </cell>
          <cell r="AG1454" t="str">
            <v>HP</v>
          </cell>
          <cell r="AI1454" t="str">
            <v>6205</v>
          </cell>
          <cell r="AJ1454" t="str">
            <v>6203</v>
          </cell>
          <cell r="AO1454" t="str">
            <v>B</v>
          </cell>
          <cell r="AS1454" t="str">
            <v>1.15</v>
          </cell>
          <cell r="AT1454" t="str">
            <v>85.5</v>
          </cell>
          <cell r="AV1454" t="b">
            <v>0</v>
          </cell>
          <cell r="GK1454" t="str">
            <v>PART#E461</v>
          </cell>
          <cell r="HD1454" t="str">
            <v>Repair Shop</v>
          </cell>
          <cell r="HT1454" t="b">
            <v>0</v>
          </cell>
          <cell r="HU1454" t="str">
            <v>CITY OF BENICIA, WATER TREATMENT PLANT</v>
          </cell>
        </row>
        <row r="1455">
          <cell r="A1455">
            <v>1285</v>
          </cell>
          <cell r="B1455" t="str">
            <v>VEM0256</v>
          </cell>
          <cell r="D1455" t="str">
            <v>CONHAGEN</v>
          </cell>
          <cell r="F1455" t="str">
            <v>Marathon</v>
          </cell>
          <cell r="G1455" t="str">
            <v>LVC184TTFS????</v>
          </cell>
          <cell r="K1455" t="str">
            <v>5</v>
          </cell>
          <cell r="L1455" t="str">
            <v>1730</v>
          </cell>
          <cell r="O1455" t="str">
            <v>None</v>
          </cell>
          <cell r="P1455" t="str">
            <v>TEFC</v>
          </cell>
          <cell r="R1455" t="str">
            <v>Continuous</v>
          </cell>
          <cell r="T1455" t="str">
            <v>NONE</v>
          </cell>
          <cell r="V1455" t="str">
            <v>3</v>
          </cell>
          <cell r="W1455" t="str">
            <v>60</v>
          </cell>
          <cell r="X1455" t="str">
            <v>230/460</v>
          </cell>
          <cell r="Y1455" t="str">
            <v>13.2/6.6</v>
          </cell>
          <cell r="AA1455" t="str">
            <v>F1</v>
          </cell>
          <cell r="AG1455" t="str">
            <v>HP</v>
          </cell>
          <cell r="AO1455" t="str">
            <v>B</v>
          </cell>
          <cell r="AT1455" t="str">
            <v>85.5</v>
          </cell>
          <cell r="AV1455" t="b">
            <v>0</v>
          </cell>
          <cell r="GK1455" t="str">
            <v>SHAFT THREADED</v>
          </cell>
          <cell r="HD1455" t="str">
            <v>Repair Shop</v>
          </cell>
          <cell r="HT1455" t="b">
            <v>0</v>
          </cell>
          <cell r="HU1455" t="str">
            <v>ALFRED CONHAGEN CO. OF CA</v>
          </cell>
        </row>
        <row r="1456">
          <cell r="A1456">
            <v>1284</v>
          </cell>
          <cell r="B1456" t="str">
            <v>VEM0255</v>
          </cell>
          <cell r="D1456" t="str">
            <v>SUPERSTORES</v>
          </cell>
          <cell r="F1456" t="str">
            <v>Baldor</v>
          </cell>
          <cell r="I1456" t="str">
            <v>213TC</v>
          </cell>
          <cell r="K1456" t="str">
            <v>7.5</v>
          </cell>
          <cell r="L1456" t="str">
            <v>3520</v>
          </cell>
          <cell r="O1456" t="str">
            <v>Full no Cord</v>
          </cell>
          <cell r="P1456" t="str">
            <v>TEFC</v>
          </cell>
          <cell r="R1456" t="str">
            <v>Continuous</v>
          </cell>
          <cell r="S1456" t="str">
            <v>Yes</v>
          </cell>
          <cell r="T1456" t="str">
            <v>NONE</v>
          </cell>
          <cell r="V1456" t="str">
            <v>3</v>
          </cell>
          <cell r="W1456" t="str">
            <v>60</v>
          </cell>
          <cell r="X1456" t="str">
            <v>208-230/460</v>
          </cell>
          <cell r="Y1456" t="str">
            <v>19.4-18/9</v>
          </cell>
          <cell r="AA1456" t="str">
            <v>F1</v>
          </cell>
          <cell r="AD1456" t="str">
            <v>0</v>
          </cell>
          <cell r="AG1456" t="str">
            <v>HP</v>
          </cell>
          <cell r="AI1456" t="str">
            <v>6307</v>
          </cell>
          <cell r="AJ1456" t="str">
            <v>6206</v>
          </cell>
          <cell r="AO1456" t="str">
            <v>A</v>
          </cell>
          <cell r="AP1456" t="str">
            <v>J</v>
          </cell>
          <cell r="AQ1456" t="str">
            <v>F</v>
          </cell>
          <cell r="AR1456" t="str">
            <v>84.0</v>
          </cell>
          <cell r="AS1456" t="str">
            <v>1.15</v>
          </cell>
          <cell r="AT1456" t="str">
            <v>89.5</v>
          </cell>
          <cell r="AV1456" t="b">
            <v>0</v>
          </cell>
          <cell r="EV1456" t="str">
            <v>37H887R224G1</v>
          </cell>
          <cell r="EW1456" t="str">
            <v>CEWDM3709T</v>
          </cell>
          <cell r="HD1456" t="str">
            <v>Repair Shop</v>
          </cell>
          <cell r="HT1456" t="b">
            <v>0</v>
          </cell>
          <cell r="HU1456" t="str">
            <v>Producers Dairy Foods</v>
          </cell>
        </row>
        <row r="1457">
          <cell r="A1457">
            <v>1283</v>
          </cell>
          <cell r="B1457" t="str">
            <v>VEM0254</v>
          </cell>
          <cell r="D1457" t="str">
            <v>P66</v>
          </cell>
          <cell r="F1457" t="str">
            <v>US Motors</v>
          </cell>
          <cell r="I1457" t="str">
            <v>254TC</v>
          </cell>
          <cell r="K1457" t="str">
            <v>15</v>
          </cell>
          <cell r="L1457" t="str">
            <v>3450</v>
          </cell>
          <cell r="O1457" t="str">
            <v>Full no Cord</v>
          </cell>
          <cell r="P1457" t="str">
            <v>TEFC</v>
          </cell>
          <cell r="R1457" t="str">
            <v>Continuous</v>
          </cell>
          <cell r="T1457" t="str">
            <v>NONE</v>
          </cell>
          <cell r="U1457" t="str">
            <v>40</v>
          </cell>
          <cell r="V1457" t="str">
            <v>3</v>
          </cell>
          <cell r="W1457" t="str">
            <v>60</v>
          </cell>
          <cell r="X1457" t="str">
            <v>460</v>
          </cell>
          <cell r="Y1457" t="str">
            <v>17.9</v>
          </cell>
          <cell r="AA1457" t="str">
            <v>Vertical</v>
          </cell>
          <cell r="AG1457" t="str">
            <v>HP</v>
          </cell>
          <cell r="AI1457" t="str">
            <v>6310</v>
          </cell>
          <cell r="AJ1457" t="str">
            <v>6207</v>
          </cell>
          <cell r="AO1457" t="str">
            <v>B</v>
          </cell>
          <cell r="AP1457" t="str">
            <v>G</v>
          </cell>
          <cell r="AS1457" t="str">
            <v>1.15</v>
          </cell>
          <cell r="AV1457" t="b">
            <v>0</v>
          </cell>
          <cell r="HD1457" t="str">
            <v>Repair Shop</v>
          </cell>
          <cell r="HT1457" t="b">
            <v>0</v>
          </cell>
          <cell r="HU1457" t="str">
            <v>PHILLIPS 66</v>
          </cell>
        </row>
        <row r="1458">
          <cell r="A1458">
            <v>1282</v>
          </cell>
          <cell r="B1458" t="str">
            <v>VEM0253</v>
          </cell>
          <cell r="D1458" t="str">
            <v>VALERO</v>
          </cell>
          <cell r="F1458" t="str">
            <v>RELIANCE</v>
          </cell>
          <cell r="G1458" t="str">
            <v>B435281</v>
          </cell>
          <cell r="H1458" t="str">
            <v>435281-010L006KL</v>
          </cell>
          <cell r="I1458" t="str">
            <v>286T</v>
          </cell>
          <cell r="K1458" t="str">
            <v>30</v>
          </cell>
          <cell r="L1458" t="str">
            <v>1765</v>
          </cell>
          <cell r="M1458" t="str">
            <v>P</v>
          </cell>
          <cell r="N1458" t="str">
            <v>441</v>
          </cell>
          <cell r="O1458" t="str">
            <v>Full no Cord</v>
          </cell>
          <cell r="P1458" t="str">
            <v>TEFC</v>
          </cell>
          <cell r="R1458" t="str">
            <v>Continuous</v>
          </cell>
          <cell r="T1458" t="str">
            <v>KEY ONLY</v>
          </cell>
          <cell r="V1458" t="str">
            <v>3</v>
          </cell>
          <cell r="W1458" t="str">
            <v>60</v>
          </cell>
          <cell r="X1458" t="str">
            <v>460</v>
          </cell>
          <cell r="Y1458" t="str">
            <v>36.1</v>
          </cell>
          <cell r="AG1458" t="str">
            <v>HP</v>
          </cell>
          <cell r="AO1458" t="str">
            <v>B</v>
          </cell>
          <cell r="AS1458" t="str">
            <v>1.00</v>
          </cell>
          <cell r="AV1458" t="b">
            <v>0</v>
          </cell>
          <cell r="GK1458" t="str">
            <v>HAS RAIN COVER</v>
          </cell>
          <cell r="GL1458" t="str">
            <v>USE BLACK PEARL</v>
          </cell>
          <cell r="HD1458" t="str">
            <v>Repair Shop</v>
          </cell>
          <cell r="HT1458" t="b">
            <v>0</v>
          </cell>
          <cell r="HU1458" t="str">
            <v>VALERO REFINING CO. BENICIA</v>
          </cell>
        </row>
        <row r="1459">
          <cell r="A1459">
            <v>1281</v>
          </cell>
          <cell r="B1459" t="str">
            <v>VEM0252</v>
          </cell>
          <cell r="D1459" t="str">
            <v>P66CARBON</v>
          </cell>
          <cell r="F1459" t="str">
            <v>DYNAMATIC</v>
          </cell>
          <cell r="H1459" t="str">
            <v>DHB-0604FDA-S00C015001</v>
          </cell>
          <cell r="I1459" t="str">
            <v>364TDS</v>
          </cell>
          <cell r="K1459" t="str">
            <v>60</v>
          </cell>
          <cell r="L1459" t="str">
            <v>1780</v>
          </cell>
          <cell r="O1459" t="str">
            <v>Full no Cord</v>
          </cell>
          <cell r="P1459" t="str">
            <v>TEFC</v>
          </cell>
          <cell r="R1459" t="str">
            <v>Continuous</v>
          </cell>
          <cell r="T1459" t="str">
            <v>YES</v>
          </cell>
          <cell r="V1459" t="str">
            <v>3</v>
          </cell>
          <cell r="W1459" t="str">
            <v>60</v>
          </cell>
          <cell r="X1459" t="str">
            <v>208-230/460</v>
          </cell>
          <cell r="Y1459" t="str">
            <v>150.4-136/68</v>
          </cell>
          <cell r="AA1459" t="str">
            <v>F1</v>
          </cell>
          <cell r="AD1459" t="str">
            <v>-1</v>
          </cell>
          <cell r="AG1459" t="str">
            <v>HP</v>
          </cell>
          <cell r="AI1459" t="str">
            <v>6316</v>
          </cell>
          <cell r="AJ1459" t="str">
            <v>6312</v>
          </cell>
          <cell r="AO1459" t="str">
            <v>B</v>
          </cell>
          <cell r="AQ1459" t="str">
            <v>F</v>
          </cell>
          <cell r="AS1459" t="str">
            <v>1.15</v>
          </cell>
          <cell r="AT1459" t="str">
            <v>93.6</v>
          </cell>
          <cell r="AV1459" t="b">
            <v>0</v>
          </cell>
          <cell r="EW1459" t="str">
            <v>DHB-0604FDA-300</v>
          </cell>
          <cell r="HD1459" t="str">
            <v>Repair Shop</v>
          </cell>
          <cell r="HT1459" t="b">
            <v>0</v>
          </cell>
          <cell r="HU1459" t="str">
            <v>PHILLIPS 66 CARBON PLANT</v>
          </cell>
        </row>
        <row r="1460">
          <cell r="A1460">
            <v>1280</v>
          </cell>
          <cell r="B1460" t="str">
            <v>VEM0251</v>
          </cell>
          <cell r="D1460" t="str">
            <v>C&amp;H</v>
          </cell>
          <cell r="AD1460" t="str">
            <v>0</v>
          </cell>
          <cell r="AG1460" t="str">
            <v>HP</v>
          </cell>
          <cell r="AV1460" t="b">
            <v>0</v>
          </cell>
          <cell r="BY1460" t="str">
            <v>43.78</v>
          </cell>
          <cell r="BZ1460" t="str">
            <v>870</v>
          </cell>
          <cell r="CB1460" t="str">
            <v>180,000 IN. LBS.</v>
          </cell>
          <cell r="CC1460" t="str">
            <v>19</v>
          </cell>
          <cell r="CE1460" t="str">
            <v>40</v>
          </cell>
          <cell r="CH1460" t="str">
            <v>NO</v>
          </cell>
          <cell r="HD1460" t="str">
            <v>Repair Shop</v>
          </cell>
          <cell r="HT1460" t="b">
            <v>0</v>
          </cell>
          <cell r="HU1460" t="str">
            <v>C &amp; H SUGAR CO.</v>
          </cell>
        </row>
        <row r="1461">
          <cell r="A1461">
            <v>1279</v>
          </cell>
          <cell r="B1461" t="str">
            <v>VEM0250</v>
          </cell>
          <cell r="D1461" t="str">
            <v>P66</v>
          </cell>
          <cell r="F1461" t="str">
            <v>Baldor</v>
          </cell>
          <cell r="I1461" t="str">
            <v>256T</v>
          </cell>
          <cell r="K1461" t="str">
            <v>20</v>
          </cell>
          <cell r="L1461" t="str">
            <v>1765</v>
          </cell>
          <cell r="O1461" t="str">
            <v>None</v>
          </cell>
          <cell r="P1461" t="str">
            <v>TEFC</v>
          </cell>
          <cell r="R1461" t="str">
            <v>Continuous</v>
          </cell>
          <cell r="T1461" t="str">
            <v>NONE</v>
          </cell>
          <cell r="V1461" t="str">
            <v>3</v>
          </cell>
          <cell r="W1461" t="str">
            <v>60</v>
          </cell>
          <cell r="X1461" t="str">
            <v>460</v>
          </cell>
          <cell r="Y1461" t="str">
            <v>24.0</v>
          </cell>
          <cell r="AA1461" t="str">
            <v>F1</v>
          </cell>
          <cell r="AD1461" t="str">
            <v>0</v>
          </cell>
          <cell r="AG1461" t="str">
            <v>HP</v>
          </cell>
          <cell r="AO1461" t="str">
            <v>B</v>
          </cell>
          <cell r="AP1461" t="str">
            <v>G</v>
          </cell>
          <cell r="AQ1461" t="str">
            <v>F</v>
          </cell>
          <cell r="AR1461" t="str">
            <v>83.8</v>
          </cell>
          <cell r="AT1461" t="str">
            <v>93.0</v>
          </cell>
          <cell r="AU1461" t="str">
            <v>P25G3410B</v>
          </cell>
          <cell r="AV1461" t="b">
            <v>0</v>
          </cell>
          <cell r="EW1461" t="str">
            <v>ECP62334TR-4</v>
          </cell>
          <cell r="GK1461" t="str">
            <v>3 LEADS  ONLY</v>
          </cell>
          <cell r="GL1461" t="str">
            <v>WITH RAIN COVER</v>
          </cell>
          <cell r="HD1461" t="str">
            <v>Repair Shop</v>
          </cell>
          <cell r="HT1461" t="b">
            <v>0</v>
          </cell>
          <cell r="HU1461" t="str">
            <v>PHILLIPS 66</v>
          </cell>
        </row>
        <row r="1462">
          <cell r="A1462">
            <v>1278</v>
          </cell>
          <cell r="B1462" t="str">
            <v>VEM0249</v>
          </cell>
          <cell r="D1462" t="str">
            <v>P66</v>
          </cell>
          <cell r="F1462" t="str">
            <v>Westinghouse</v>
          </cell>
          <cell r="I1462" t="str">
            <v>215T</v>
          </cell>
          <cell r="K1462" t="str">
            <v>10</v>
          </cell>
          <cell r="L1462" t="str">
            <v>1745</v>
          </cell>
          <cell r="O1462" t="str">
            <v>None</v>
          </cell>
          <cell r="P1462" t="str">
            <v>TEFC</v>
          </cell>
          <cell r="R1462" t="str">
            <v>Continuous</v>
          </cell>
          <cell r="T1462" t="str">
            <v>KEY ONLY</v>
          </cell>
          <cell r="V1462" t="str">
            <v>3</v>
          </cell>
          <cell r="W1462" t="str">
            <v>60</v>
          </cell>
          <cell r="X1462" t="str">
            <v>460</v>
          </cell>
          <cell r="Y1462" t="str">
            <v>13.2</v>
          </cell>
          <cell r="AA1462" t="str">
            <v>F1</v>
          </cell>
          <cell r="AD1462" t="str">
            <v>0</v>
          </cell>
          <cell r="AG1462" t="str">
            <v>HP</v>
          </cell>
          <cell r="AO1462" t="str">
            <v>B</v>
          </cell>
          <cell r="AP1462" t="str">
            <v>H</v>
          </cell>
          <cell r="AT1462" t="str">
            <v>88.5</v>
          </cell>
          <cell r="AV1462" t="b">
            <v>0</v>
          </cell>
          <cell r="EW1462" t="str">
            <v>2010H4TBFC-KKN</v>
          </cell>
          <cell r="GK1462" t="str">
            <v>3 MOTOR LEADS PLUS 2 LEADS FOR OL</v>
          </cell>
          <cell r="HD1462" t="str">
            <v>Repair Shop</v>
          </cell>
          <cell r="HT1462" t="b">
            <v>0</v>
          </cell>
          <cell r="HU1462" t="str">
            <v>PHILLIPS 66</v>
          </cell>
        </row>
        <row r="1463">
          <cell r="A1463">
            <v>1277</v>
          </cell>
          <cell r="B1463" t="str">
            <v>VEM0248</v>
          </cell>
          <cell r="D1463" t="str">
            <v>P66</v>
          </cell>
          <cell r="F1463" t="str">
            <v>Westinghouse</v>
          </cell>
          <cell r="G1463" t="str">
            <v>TAFC</v>
          </cell>
          <cell r="H1463" t="str">
            <v>6910</v>
          </cell>
          <cell r="I1463" t="str">
            <v>405TS</v>
          </cell>
          <cell r="K1463" t="str">
            <v>100</v>
          </cell>
          <cell r="L1463" t="str">
            <v>3555</v>
          </cell>
          <cell r="O1463" t="str">
            <v>None</v>
          </cell>
          <cell r="P1463" t="str">
            <v>TEFC</v>
          </cell>
          <cell r="R1463" t="str">
            <v>Continuous</v>
          </cell>
          <cell r="T1463" t="str">
            <v>NONE</v>
          </cell>
          <cell r="U1463" t="str">
            <v>40</v>
          </cell>
          <cell r="V1463" t="str">
            <v>3</v>
          </cell>
          <cell r="W1463" t="str">
            <v>60</v>
          </cell>
          <cell r="X1463" t="str">
            <v>230/460</v>
          </cell>
          <cell r="Y1463" t="str">
            <v>224/112</v>
          </cell>
          <cell r="AA1463" t="str">
            <v>F1</v>
          </cell>
          <cell r="AG1463" t="str">
            <v>HP</v>
          </cell>
          <cell r="AS1463" t="str">
            <v>1.0</v>
          </cell>
          <cell r="AV1463" t="b">
            <v>0</v>
          </cell>
          <cell r="EY1463" t="str">
            <v>680B104G53</v>
          </cell>
          <cell r="GK1463" t="str">
            <v>9 LEADS 460 V</v>
          </cell>
          <cell r="HD1463" t="str">
            <v>Repair Shop</v>
          </cell>
          <cell r="HT1463" t="b">
            <v>0</v>
          </cell>
          <cell r="HU1463" t="str">
            <v>PHILLIPS 66</v>
          </cell>
        </row>
        <row r="1464">
          <cell r="A1464">
            <v>1276</v>
          </cell>
          <cell r="B1464" t="str">
            <v>VEM0247</v>
          </cell>
          <cell r="D1464" t="str">
            <v>P66</v>
          </cell>
          <cell r="F1464" t="str">
            <v>Reliance</v>
          </cell>
          <cell r="I1464" t="str">
            <v>256T</v>
          </cell>
          <cell r="K1464" t="str">
            <v>20</v>
          </cell>
          <cell r="L1464" t="str">
            <v>1765</v>
          </cell>
          <cell r="M1464" t="str">
            <v>P</v>
          </cell>
          <cell r="O1464" t="str">
            <v>None</v>
          </cell>
          <cell r="P1464" t="str">
            <v>TEFC</v>
          </cell>
          <cell r="R1464" t="str">
            <v>Continuous</v>
          </cell>
          <cell r="T1464" t="str">
            <v>NONE</v>
          </cell>
          <cell r="V1464" t="str">
            <v>3</v>
          </cell>
          <cell r="W1464" t="str">
            <v>60</v>
          </cell>
          <cell r="X1464" t="str">
            <v>460</v>
          </cell>
          <cell r="Y1464" t="str">
            <v>24.0</v>
          </cell>
          <cell r="AA1464" t="str">
            <v>F1</v>
          </cell>
          <cell r="AD1464" t="str">
            <v>0</v>
          </cell>
          <cell r="AG1464" t="str">
            <v>HP</v>
          </cell>
          <cell r="AP1464" t="str">
            <v>G</v>
          </cell>
          <cell r="AR1464" t="str">
            <v>83.8</v>
          </cell>
          <cell r="AT1464" t="str">
            <v>93.0</v>
          </cell>
          <cell r="AV1464" t="b">
            <v>0</v>
          </cell>
          <cell r="EX1464" t="str">
            <v>HM421008-MJ</v>
          </cell>
          <cell r="GK1464" t="str">
            <v>3 LEADS ONLY</v>
          </cell>
          <cell r="HD1464" t="str">
            <v>Repair Shop</v>
          </cell>
          <cell r="HT1464" t="b">
            <v>0</v>
          </cell>
          <cell r="HU1464" t="str">
            <v>PHILLIPS 66</v>
          </cell>
        </row>
        <row r="1465">
          <cell r="A1465">
            <v>1275</v>
          </cell>
          <cell r="B1465" t="str">
            <v>VEM0246</v>
          </cell>
          <cell r="D1465" t="str">
            <v>CONHAGEN</v>
          </cell>
          <cell r="F1465" t="str">
            <v>Baldor</v>
          </cell>
          <cell r="H1465" t="str">
            <v>F1607285384</v>
          </cell>
          <cell r="I1465" t="str">
            <v>215T</v>
          </cell>
          <cell r="K1465" t="str">
            <v>15</v>
          </cell>
          <cell r="L1465" t="str">
            <v>3525</v>
          </cell>
          <cell r="R1465" t="str">
            <v>Continuous</v>
          </cell>
          <cell r="U1465" t="str">
            <v>40c</v>
          </cell>
          <cell r="V1465" t="str">
            <v>3</v>
          </cell>
          <cell r="W1465" t="str">
            <v>60</v>
          </cell>
          <cell r="AG1465" t="str">
            <v>HP</v>
          </cell>
          <cell r="AS1465" t="str">
            <v>1.15</v>
          </cell>
          <cell r="AU1465" t="str">
            <v>37B103x895G2</v>
          </cell>
          <cell r="AV1465" t="b">
            <v>0</v>
          </cell>
          <cell r="AW1465" t="str">
            <v>36.7-34/17</v>
          </cell>
          <cell r="AX1465" t="str">
            <v>2</v>
          </cell>
          <cell r="EW1465" t="str">
            <v>V13A32E4BE2S</v>
          </cell>
          <cell r="HD1465" t="str">
            <v>Repair Shop</v>
          </cell>
          <cell r="HT1465" t="b">
            <v>0</v>
          </cell>
          <cell r="HU1465" t="str">
            <v>ALFRED CONHAGEN CO. OF CA</v>
          </cell>
        </row>
        <row r="1466">
          <cell r="A1466">
            <v>1274</v>
          </cell>
          <cell r="B1466" t="str">
            <v>VEM0245</v>
          </cell>
          <cell r="D1466" t="str">
            <v>VALERO</v>
          </cell>
          <cell r="AD1466" t="str">
            <v>-1</v>
          </cell>
          <cell r="AV1466" t="b">
            <v>0</v>
          </cell>
          <cell r="HD1466" t="str">
            <v>Repair Shop</v>
          </cell>
          <cell r="HT1466" t="b">
            <v>0</v>
          </cell>
          <cell r="HU1466" t="str">
            <v>VALERO REFINING CO. BENICIA</v>
          </cell>
        </row>
        <row r="1467">
          <cell r="A1467">
            <v>1273</v>
          </cell>
          <cell r="B1467" t="str">
            <v>VEM0244</v>
          </cell>
          <cell r="D1467" t="str">
            <v>VALERO</v>
          </cell>
          <cell r="AD1467" t="str">
            <v>0</v>
          </cell>
          <cell r="AV1467" t="b">
            <v>0</v>
          </cell>
          <cell r="HD1467" t="str">
            <v>Repair Shop</v>
          </cell>
          <cell r="HT1467" t="b">
            <v>0</v>
          </cell>
          <cell r="HU1467" t="str">
            <v>VALERO REFINING CO. BENICIA</v>
          </cell>
        </row>
        <row r="1468">
          <cell r="A1468">
            <v>1272</v>
          </cell>
          <cell r="B1468" t="str">
            <v>VEM0243</v>
          </cell>
          <cell r="D1468" t="str">
            <v>CLOROX</v>
          </cell>
          <cell r="F1468" t="str">
            <v>Jetair</v>
          </cell>
          <cell r="G1468" t="str">
            <v>883112sg</v>
          </cell>
          <cell r="H1468" t="str">
            <v>202080/10</v>
          </cell>
          <cell r="K1468" t="str">
            <v>7.5</v>
          </cell>
          <cell r="L1468" t="str">
            <v>19440</v>
          </cell>
          <cell r="O1468" t="str">
            <v>Full no Cord</v>
          </cell>
          <cell r="P1468" t="str">
            <v>TEFC</v>
          </cell>
          <cell r="Q1468" t="str">
            <v>none</v>
          </cell>
          <cell r="R1468" t="str">
            <v>Continuous</v>
          </cell>
          <cell r="S1468" t="str">
            <v>Yes</v>
          </cell>
          <cell r="T1468" t="str">
            <v>Blower</v>
          </cell>
          <cell r="U1468" t="str">
            <v>40C</v>
          </cell>
          <cell r="V1468" t="str">
            <v>3</v>
          </cell>
          <cell r="W1468" t="str">
            <v>335</v>
          </cell>
          <cell r="X1468" t="str">
            <v>460</v>
          </cell>
          <cell r="AA1468" t="str">
            <v>F2</v>
          </cell>
          <cell r="AG1468" t="str">
            <v>HP</v>
          </cell>
          <cell r="AQ1468" t="str">
            <v>F</v>
          </cell>
          <cell r="AS1468" t="str">
            <v>1.0</v>
          </cell>
          <cell r="AV1468" t="b">
            <v>0</v>
          </cell>
          <cell r="AW1468" t="str">
            <v>24</v>
          </cell>
          <cell r="HD1468" t="str">
            <v>Repair Shop</v>
          </cell>
          <cell r="HT1468" t="b">
            <v>0</v>
          </cell>
          <cell r="HU1468" t="str">
            <v>CLOROX SERVICES COMPANY</v>
          </cell>
        </row>
        <row r="1469">
          <cell r="A1469">
            <v>1271</v>
          </cell>
          <cell r="B1469" t="str">
            <v>VEM0242</v>
          </cell>
          <cell r="D1469" t="str">
            <v>EECO</v>
          </cell>
          <cell r="F1469" t="str">
            <v>US Motors</v>
          </cell>
          <cell r="I1469" t="str">
            <v>365T</v>
          </cell>
          <cell r="K1469" t="str">
            <v>75</v>
          </cell>
          <cell r="L1469" t="str">
            <v>1785</v>
          </cell>
          <cell r="M1469" t="str">
            <v>R1</v>
          </cell>
          <cell r="O1469" t="str">
            <v>Full no Cord</v>
          </cell>
          <cell r="P1469" t="str">
            <v>ODP</v>
          </cell>
          <cell r="R1469" t="str">
            <v>Continuous</v>
          </cell>
          <cell r="T1469" t="str">
            <v>stator only</v>
          </cell>
          <cell r="V1469" t="str">
            <v>3</v>
          </cell>
          <cell r="W1469" t="str">
            <v>60</v>
          </cell>
          <cell r="X1469" t="str">
            <v>230/460</v>
          </cell>
          <cell r="Y1469" t="str">
            <v>171/86</v>
          </cell>
          <cell r="AG1469" t="str">
            <v>HP</v>
          </cell>
          <cell r="AR1469" t="str">
            <v>86.3</v>
          </cell>
          <cell r="AS1469" t="str">
            <v>1.15</v>
          </cell>
          <cell r="AT1469" t="str">
            <v>95.0</v>
          </cell>
          <cell r="AV1469" t="b">
            <v>0</v>
          </cell>
          <cell r="EW1469" t="str">
            <v>D75V2B-P</v>
          </cell>
          <cell r="EX1469" t="str">
            <v>J-10 20032243-100R-  02</v>
          </cell>
          <cell r="GK1469" t="str">
            <v>only jb for overloads</v>
          </cell>
          <cell r="HD1469" t="str">
            <v>Repair Shop</v>
          </cell>
          <cell r="HT1469" t="b">
            <v>0</v>
          </cell>
          <cell r="HU1469" t="str">
            <v>ELECTRICAL EQUIPMENT CO.</v>
          </cell>
        </row>
        <row r="1470">
          <cell r="A1470">
            <v>1270</v>
          </cell>
          <cell r="B1470" t="str">
            <v>VEM0241</v>
          </cell>
          <cell r="D1470" t="str">
            <v>VALLEJOSAN</v>
          </cell>
          <cell r="F1470" t="str">
            <v>Sterling</v>
          </cell>
          <cell r="G1470" t="str">
            <v>JHY154FDA-01</v>
          </cell>
          <cell r="I1470" t="str">
            <v>145TD</v>
          </cell>
          <cell r="K1470" t="str">
            <v>1.5</v>
          </cell>
          <cell r="L1470" t="str">
            <v>1720</v>
          </cell>
          <cell r="O1470" t="str">
            <v>Full no Cord</v>
          </cell>
          <cell r="P1470" t="str">
            <v>TEFC</v>
          </cell>
          <cell r="R1470" t="str">
            <v>Continuous</v>
          </cell>
          <cell r="T1470" t="str">
            <v>none on key</v>
          </cell>
          <cell r="V1470" t="str">
            <v>3</v>
          </cell>
          <cell r="W1470" t="str">
            <v>60</v>
          </cell>
          <cell r="X1470" t="str">
            <v>208-230/460</v>
          </cell>
          <cell r="Y1470" t="str">
            <v>4.2-4.2/2.1</v>
          </cell>
          <cell r="AA1470" t="str">
            <v>Vertical</v>
          </cell>
          <cell r="AD1470" t="str">
            <v>0</v>
          </cell>
          <cell r="AG1470" t="str">
            <v>HP</v>
          </cell>
          <cell r="AO1470" t="str">
            <v>B</v>
          </cell>
          <cell r="AS1470" t="str">
            <v>1.15</v>
          </cell>
          <cell r="AT1470" t="str">
            <v>85.5</v>
          </cell>
          <cell r="AV1470" t="b">
            <v>0</v>
          </cell>
          <cell r="GK1470" t="str">
            <v>MISSING TOP RAIN COVER</v>
          </cell>
          <cell r="HD1470" t="str">
            <v>Repair Shop</v>
          </cell>
          <cell r="HT1470" t="b">
            <v>0</v>
          </cell>
          <cell r="HU1470" t="str">
            <v>VALLEJO FLOOD &amp; WASTEWATER DISTRICT</v>
          </cell>
        </row>
        <row r="1471">
          <cell r="A1471">
            <v>1269</v>
          </cell>
          <cell r="B1471" t="str">
            <v>VEM0240</v>
          </cell>
          <cell r="D1471" t="str">
            <v>VALLEJOSAN</v>
          </cell>
          <cell r="F1471" t="str">
            <v>Reliance</v>
          </cell>
          <cell r="I1471" t="str">
            <v>FD 145TC</v>
          </cell>
          <cell r="K1471" t="str">
            <v>2</v>
          </cell>
          <cell r="L1471" t="str">
            <v>1725</v>
          </cell>
          <cell r="M1471" t="str">
            <v>p</v>
          </cell>
          <cell r="O1471" t="str">
            <v>Full no Cord</v>
          </cell>
          <cell r="R1471" t="str">
            <v>Continuous</v>
          </cell>
          <cell r="T1471" t="str">
            <v>key only</v>
          </cell>
          <cell r="U1471" t="str">
            <v>40</v>
          </cell>
          <cell r="V1471" t="str">
            <v>3</v>
          </cell>
          <cell r="X1471" t="str">
            <v>230/460</v>
          </cell>
          <cell r="Y1471" t="str">
            <v>5.4/2.7</v>
          </cell>
          <cell r="AA1471" t="str">
            <v>Vertical</v>
          </cell>
          <cell r="AD1471" t="str">
            <v>0</v>
          </cell>
          <cell r="AR1471" t="str">
            <v>82</v>
          </cell>
          <cell r="AS1471" t="str">
            <v>1.15</v>
          </cell>
          <cell r="AT1471" t="str">
            <v>84</v>
          </cell>
          <cell r="AV1471" t="b">
            <v>0</v>
          </cell>
          <cell r="EX1471" t="str">
            <v>B78S4663M</v>
          </cell>
          <cell r="GK1471" t="str">
            <v>missing brake</v>
          </cell>
          <cell r="HD1471" t="str">
            <v>Repair Shop</v>
          </cell>
          <cell r="HT1471" t="b">
            <v>0</v>
          </cell>
          <cell r="HU1471" t="str">
            <v>VALLEJO FLOOD &amp; WASTEWATER DISTRICT</v>
          </cell>
        </row>
        <row r="1472">
          <cell r="A1472">
            <v>1268</v>
          </cell>
          <cell r="B1472" t="str">
            <v>VEM0239</v>
          </cell>
          <cell r="D1472" t="str">
            <v>VALERO</v>
          </cell>
          <cell r="F1472" t="str">
            <v>GE</v>
          </cell>
          <cell r="G1472" t="str">
            <v>5KS444FT6441H</v>
          </cell>
          <cell r="H1472" t="str">
            <v>ZS649502Z</v>
          </cell>
          <cell r="I1472" t="str">
            <v>L444VP16</v>
          </cell>
          <cell r="K1472" t="str">
            <v>125</v>
          </cell>
          <cell r="L1472" t="str">
            <v>1790</v>
          </cell>
          <cell r="M1472" t="str">
            <v>KS</v>
          </cell>
          <cell r="O1472" t="str">
            <v>Full no Cord</v>
          </cell>
          <cell r="R1472" t="str">
            <v>Continuous</v>
          </cell>
          <cell r="T1472" t="str">
            <v>yes</v>
          </cell>
          <cell r="U1472" t="str">
            <v>40</v>
          </cell>
          <cell r="V1472" t="str">
            <v>3</v>
          </cell>
          <cell r="W1472" t="str">
            <v>60</v>
          </cell>
          <cell r="X1472" t="str">
            <v>460</v>
          </cell>
          <cell r="Y1472" t="str">
            <v>140.05</v>
          </cell>
          <cell r="AA1472" t="str">
            <v>Vertical</v>
          </cell>
          <cell r="AD1472" t="str">
            <v>0</v>
          </cell>
          <cell r="AG1472" t="str">
            <v>HP</v>
          </cell>
          <cell r="AI1472" t="str">
            <v>6217ZZ</v>
          </cell>
          <cell r="AO1472" t="str">
            <v>B</v>
          </cell>
          <cell r="AP1472" t="str">
            <v>G</v>
          </cell>
          <cell r="AR1472" t="str">
            <v>88.5</v>
          </cell>
          <cell r="AS1472" t="str">
            <v>1.15</v>
          </cell>
          <cell r="AT1472" t="str">
            <v>94.5</v>
          </cell>
          <cell r="AV1472" t="b">
            <v>0</v>
          </cell>
          <cell r="GK1472" t="str">
            <v>no jb for leads only for heaters</v>
          </cell>
          <cell r="GL1472" t="str">
            <v>WITH PUMP STAND OFF</v>
          </cell>
          <cell r="HD1472" t="str">
            <v>Repair Shop</v>
          </cell>
          <cell r="HT1472" t="b">
            <v>0</v>
          </cell>
          <cell r="HU1472" t="str">
            <v>VALERO REFINING CO. BENICIA</v>
          </cell>
        </row>
        <row r="1473">
          <cell r="A1473">
            <v>1267</v>
          </cell>
          <cell r="B1473" t="str">
            <v>VEM0238</v>
          </cell>
          <cell r="D1473" t="str">
            <v>UNICO</v>
          </cell>
          <cell r="F1473" t="str">
            <v>Marathon</v>
          </cell>
          <cell r="I1473" t="str">
            <v>326 TS</v>
          </cell>
          <cell r="K1473" t="str">
            <v>50</v>
          </cell>
          <cell r="L1473" t="str">
            <v>3545</v>
          </cell>
          <cell r="O1473" t="str">
            <v>Full no Cord</v>
          </cell>
          <cell r="P1473" t="str">
            <v>TEFC</v>
          </cell>
          <cell r="R1473" t="str">
            <v>Continuous</v>
          </cell>
          <cell r="T1473" t="str">
            <v>none no key</v>
          </cell>
          <cell r="V1473" t="str">
            <v>3</v>
          </cell>
          <cell r="W1473" t="str">
            <v>60</v>
          </cell>
          <cell r="X1473" t="str">
            <v>230/460</v>
          </cell>
          <cell r="AA1473" t="str">
            <v>F1</v>
          </cell>
          <cell r="AD1473" t="str">
            <v>0</v>
          </cell>
          <cell r="AG1473" t="str">
            <v>HP</v>
          </cell>
          <cell r="AV1473" t="b">
            <v>0</v>
          </cell>
          <cell r="HD1473" t="str">
            <v>Repair Shop</v>
          </cell>
          <cell r="HT1473" t="b">
            <v>0</v>
          </cell>
          <cell r="HU1473" t="str">
            <v>UNICO MECHANICAL CORP.</v>
          </cell>
        </row>
        <row r="1474">
          <cell r="A1474">
            <v>1266</v>
          </cell>
          <cell r="B1474" t="str">
            <v>VEM0237</v>
          </cell>
          <cell r="D1474" t="str">
            <v>UNICO</v>
          </cell>
          <cell r="F1474" t="str">
            <v>Baldor</v>
          </cell>
          <cell r="H1474" t="str">
            <v>W0809181090</v>
          </cell>
          <cell r="I1474" t="str">
            <v>48</v>
          </cell>
          <cell r="K1474" t="str">
            <v>.33</v>
          </cell>
          <cell r="L1474" t="str">
            <v>3450</v>
          </cell>
          <cell r="O1474" t="str">
            <v>Full no Cord</v>
          </cell>
          <cell r="P1474" t="str">
            <v>EXP</v>
          </cell>
          <cell r="R1474" t="str">
            <v>Continuous</v>
          </cell>
          <cell r="T1474" t="str">
            <v>none</v>
          </cell>
          <cell r="U1474" t="str">
            <v>40</v>
          </cell>
          <cell r="V1474" t="str">
            <v>1</v>
          </cell>
          <cell r="W1474" t="str">
            <v>60</v>
          </cell>
          <cell r="X1474" t="str">
            <v>115/230</v>
          </cell>
          <cell r="Y1474" t="str">
            <v>6/3</v>
          </cell>
          <cell r="AD1474" t="str">
            <v>0</v>
          </cell>
          <cell r="AG1474" t="str">
            <v>HP</v>
          </cell>
          <cell r="AR1474" t="str">
            <v>68</v>
          </cell>
          <cell r="AS1474" t="str">
            <v>1.00</v>
          </cell>
          <cell r="AT1474" t="str">
            <v>55</v>
          </cell>
          <cell r="AU1474" t="str">
            <v>34-5426-650</v>
          </cell>
          <cell r="AV1474" t="b">
            <v>0</v>
          </cell>
          <cell r="EW1474" t="str">
            <v>L4005A</v>
          </cell>
          <cell r="HD1474" t="str">
            <v>Repair Shop</v>
          </cell>
          <cell r="HT1474" t="b">
            <v>0</v>
          </cell>
          <cell r="HU1474" t="str">
            <v>UNICO MECHANICAL CORP.</v>
          </cell>
        </row>
        <row r="1475">
          <cell r="A1475">
            <v>1265</v>
          </cell>
          <cell r="B1475" t="str">
            <v>VEM0236</v>
          </cell>
          <cell r="D1475" t="str">
            <v>P66CARBON</v>
          </cell>
          <cell r="F1475" t="str">
            <v>GE</v>
          </cell>
          <cell r="G1475" t="str">
            <v>5CD183WA015A004</v>
          </cell>
          <cell r="H1475" t="str">
            <v>AN8-291-AN</v>
          </cell>
          <cell r="K1475" t="str">
            <v>20</v>
          </cell>
          <cell r="L1475" t="str">
            <v>1750/2300</v>
          </cell>
          <cell r="M1475" t="str">
            <v>CD327AT</v>
          </cell>
          <cell r="O1475" t="str">
            <v>Full no Cord</v>
          </cell>
          <cell r="P1475" t="str">
            <v>TEFC</v>
          </cell>
          <cell r="R1475" t="str">
            <v>Continuous</v>
          </cell>
          <cell r="T1475" t="str">
            <v>NONE</v>
          </cell>
          <cell r="U1475" t="str">
            <v>40</v>
          </cell>
          <cell r="AA1475" t="str">
            <v>F2</v>
          </cell>
          <cell r="AD1475" t="str">
            <v>0</v>
          </cell>
          <cell r="AG1475" t="str">
            <v>HP</v>
          </cell>
          <cell r="AI1475" t="str">
            <v>6210</v>
          </cell>
          <cell r="AJ1475" t="str">
            <v>5211</v>
          </cell>
          <cell r="AQ1475" t="str">
            <v>F</v>
          </cell>
          <cell r="AV1475" t="b">
            <v>0</v>
          </cell>
          <cell r="ER1475" t="str">
            <v>150/300</v>
          </cell>
          <cell r="ES1475" t="str">
            <v>1.24/.86</v>
          </cell>
          <cell r="GK1475" t="str">
            <v>ALL COVERS</v>
          </cell>
          <cell r="HD1475" t="str">
            <v>Repair Shop</v>
          </cell>
          <cell r="HT1475" t="b">
            <v>0</v>
          </cell>
          <cell r="HU1475" t="str">
            <v>PHILLIPS 66 CARBON PLANT</v>
          </cell>
        </row>
        <row r="1476">
          <cell r="A1476">
            <v>1264</v>
          </cell>
          <cell r="B1476" t="str">
            <v>VEM0235</v>
          </cell>
          <cell r="D1476" t="str">
            <v>P66CARBON</v>
          </cell>
          <cell r="F1476" t="str">
            <v>GE</v>
          </cell>
          <cell r="G1476" t="str">
            <v>5CD183WA015A004</v>
          </cell>
          <cell r="H1476" t="str">
            <v>AN8-122-AN</v>
          </cell>
          <cell r="L1476" t="str">
            <v>1750/300</v>
          </cell>
          <cell r="M1476" t="str">
            <v>CD327AT</v>
          </cell>
          <cell r="P1476" t="str">
            <v>TEFC</v>
          </cell>
          <cell r="R1476" t="str">
            <v>Continuous</v>
          </cell>
          <cell r="U1476" t="str">
            <v>40</v>
          </cell>
          <cell r="X1476" t="str">
            <v>240</v>
          </cell>
          <cell r="Y1476" t="str">
            <v>68.5</v>
          </cell>
          <cell r="AD1476" t="str">
            <v>-1</v>
          </cell>
          <cell r="AQ1476" t="str">
            <v>F</v>
          </cell>
          <cell r="AV1476" t="b">
            <v>0</v>
          </cell>
          <cell r="ER1476" t="str">
            <v>150/300</v>
          </cell>
          <cell r="ES1476" t="str">
            <v>1.24/.86</v>
          </cell>
          <cell r="HD1476" t="str">
            <v>Repair Shop</v>
          </cell>
          <cell r="HT1476" t="b">
            <v>0</v>
          </cell>
          <cell r="HU1476" t="str">
            <v>PHILLIPS 66 CARBON PLANT</v>
          </cell>
        </row>
        <row r="1477">
          <cell r="A1477">
            <v>1263</v>
          </cell>
          <cell r="B1477" t="str">
            <v>VEM0234</v>
          </cell>
          <cell r="D1477" t="str">
            <v>P66CARBON</v>
          </cell>
          <cell r="F1477" t="str">
            <v>Baldor</v>
          </cell>
          <cell r="K1477" t="str">
            <v>20</v>
          </cell>
          <cell r="L1477" t="str">
            <v>1750</v>
          </cell>
          <cell r="O1477" t="str">
            <v>Full no Cord</v>
          </cell>
          <cell r="P1477" t="str">
            <v>TEFC</v>
          </cell>
          <cell r="R1477" t="str">
            <v>Continuous</v>
          </cell>
          <cell r="T1477" t="str">
            <v>NONE</v>
          </cell>
          <cell r="X1477" t="str">
            <v>240</v>
          </cell>
          <cell r="Y1477" t="str">
            <v>68.8</v>
          </cell>
          <cell r="AD1477" t="str">
            <v>-1</v>
          </cell>
          <cell r="AG1477" t="str">
            <v>HP</v>
          </cell>
          <cell r="AV1477" t="b">
            <v>0</v>
          </cell>
          <cell r="ER1477" t="str">
            <v>300/150</v>
          </cell>
          <cell r="HD1477" t="str">
            <v>Repair Shop</v>
          </cell>
          <cell r="HT1477" t="b">
            <v>0</v>
          </cell>
          <cell r="HU1477" t="str">
            <v>PHILLIPS 66 CARBON PLANT</v>
          </cell>
        </row>
        <row r="1478">
          <cell r="A1478">
            <v>1262</v>
          </cell>
          <cell r="B1478" t="str">
            <v>VEM0233</v>
          </cell>
          <cell r="D1478" t="str">
            <v>P66CARBON</v>
          </cell>
          <cell r="F1478" t="str">
            <v>GE</v>
          </cell>
          <cell r="G1478" t="str">
            <v>5CD183WA830A801</v>
          </cell>
          <cell r="H1478" t="str">
            <v>ES-1-598  FS</v>
          </cell>
          <cell r="K1478" t="str">
            <v>20</v>
          </cell>
          <cell r="L1478" t="str">
            <v>1750/2300</v>
          </cell>
          <cell r="M1478" t="str">
            <v>CD327AT</v>
          </cell>
          <cell r="O1478" t="str">
            <v>Full no Cord</v>
          </cell>
          <cell r="P1478" t="str">
            <v>TEFC</v>
          </cell>
          <cell r="R1478" t="str">
            <v>Continuous</v>
          </cell>
          <cell r="T1478" t="str">
            <v>NONE</v>
          </cell>
          <cell r="U1478" t="str">
            <v>40</v>
          </cell>
          <cell r="X1478" t="str">
            <v>240</v>
          </cell>
          <cell r="Y1478" t="str">
            <v>68.5</v>
          </cell>
          <cell r="AD1478" t="str">
            <v>0</v>
          </cell>
          <cell r="AG1478" t="str">
            <v>HP</v>
          </cell>
          <cell r="AQ1478" t="str">
            <v>F</v>
          </cell>
          <cell r="AV1478" t="b">
            <v>0</v>
          </cell>
          <cell r="ER1478" t="str">
            <v>300/150</v>
          </cell>
          <cell r="ES1478" t="str">
            <v>1.24/.86</v>
          </cell>
          <cell r="HD1478" t="str">
            <v>Repair Shop</v>
          </cell>
          <cell r="HT1478" t="b">
            <v>0</v>
          </cell>
          <cell r="HU1478" t="str">
            <v>PHILLIPS 66 CARBON PLANT</v>
          </cell>
        </row>
        <row r="1479">
          <cell r="A1479">
            <v>1261</v>
          </cell>
          <cell r="B1479" t="str">
            <v>VEM0232</v>
          </cell>
          <cell r="D1479" t="str">
            <v>VALERO</v>
          </cell>
          <cell r="F1479" t="str">
            <v>GE</v>
          </cell>
          <cell r="G1479" t="str">
            <v>5K444ST6030MR7</v>
          </cell>
          <cell r="H1479" t="str">
            <v>SXG205M23</v>
          </cell>
          <cell r="I1479" t="str">
            <v>L444TP16</v>
          </cell>
          <cell r="K1479" t="str">
            <v>125</v>
          </cell>
          <cell r="L1479" t="str">
            <v>1790</v>
          </cell>
          <cell r="M1479" t="str">
            <v>K</v>
          </cell>
          <cell r="N1479" t="str">
            <v>1960</v>
          </cell>
          <cell r="O1479" t="str">
            <v>None</v>
          </cell>
          <cell r="P1479" t="str">
            <v>TEFC</v>
          </cell>
          <cell r="Q1479" t="str">
            <v>NONE</v>
          </cell>
          <cell r="R1479" t="str">
            <v>Continuous</v>
          </cell>
          <cell r="S1479" t="str">
            <v>NONE</v>
          </cell>
          <cell r="T1479" t="str">
            <v>NONE</v>
          </cell>
          <cell r="U1479" t="str">
            <v>40C</v>
          </cell>
          <cell r="V1479" t="str">
            <v>3</v>
          </cell>
          <cell r="W1479" t="str">
            <v>60</v>
          </cell>
          <cell r="X1479" t="str">
            <v>460</v>
          </cell>
          <cell r="AA1479" t="str">
            <v>Vertical</v>
          </cell>
          <cell r="AD1479" t="str">
            <v>0</v>
          </cell>
          <cell r="AG1479" t="str">
            <v>HP</v>
          </cell>
          <cell r="AO1479" t="str">
            <v>A</v>
          </cell>
          <cell r="AP1479" t="str">
            <v>H</v>
          </cell>
          <cell r="AQ1479" t="str">
            <v>F</v>
          </cell>
          <cell r="AR1479" t="str">
            <v>87.0</v>
          </cell>
          <cell r="AS1479" t="str">
            <v>1.15</v>
          </cell>
          <cell r="AT1479" t="str">
            <v>94.5</v>
          </cell>
          <cell r="AV1479" t="b">
            <v>0</v>
          </cell>
          <cell r="AW1479" t="str">
            <v>142</v>
          </cell>
          <cell r="HD1479" t="str">
            <v>Repair Shop</v>
          </cell>
          <cell r="HT1479" t="b">
            <v>0</v>
          </cell>
          <cell r="HU1479" t="str">
            <v>VALERO REFINING CO. BENICIA</v>
          </cell>
        </row>
        <row r="1480">
          <cell r="A1480">
            <v>1260</v>
          </cell>
          <cell r="B1480" t="str">
            <v>VEM0231</v>
          </cell>
          <cell r="D1480" t="str">
            <v>CONHAGEN</v>
          </cell>
          <cell r="F1480" t="str">
            <v>GE</v>
          </cell>
          <cell r="G1480" t="str">
            <v>5K6226XJ921A</v>
          </cell>
          <cell r="H1480" t="str">
            <v>M001AAD02GD19GG8</v>
          </cell>
          <cell r="I1480" t="str">
            <v>215TPZ10</v>
          </cell>
          <cell r="K1480" t="str">
            <v>10</v>
          </cell>
          <cell r="L1480" t="str">
            <v>3510</v>
          </cell>
          <cell r="M1480" t="str">
            <v>K</v>
          </cell>
          <cell r="O1480" t="str">
            <v>None</v>
          </cell>
          <cell r="P1480" t="str">
            <v>TEFC</v>
          </cell>
          <cell r="Q1480" t="str">
            <v>No</v>
          </cell>
          <cell r="R1480" t="str">
            <v>Continuous</v>
          </cell>
          <cell r="S1480" t="str">
            <v>YES</v>
          </cell>
          <cell r="T1480" t="str">
            <v>NO</v>
          </cell>
          <cell r="V1480" t="str">
            <v>3</v>
          </cell>
          <cell r="W1480" t="str">
            <v>60</v>
          </cell>
          <cell r="X1480" t="str">
            <v>230/460</v>
          </cell>
          <cell r="AA1480" t="str">
            <v>Vertical</v>
          </cell>
          <cell r="AD1480" t="str">
            <v>0</v>
          </cell>
          <cell r="AG1480" t="str">
            <v>HP</v>
          </cell>
          <cell r="AO1480" t="str">
            <v>B</v>
          </cell>
          <cell r="AP1480" t="str">
            <v>H</v>
          </cell>
          <cell r="AS1480" t="str">
            <v>1.0</v>
          </cell>
          <cell r="AV1480" t="b">
            <v>0</v>
          </cell>
          <cell r="AW1480" t="str">
            <v>26/13</v>
          </cell>
          <cell r="HD1480" t="str">
            <v>Repair Shop</v>
          </cell>
          <cell r="HT1480" t="b">
            <v>0</v>
          </cell>
          <cell r="HU1480" t="str">
            <v>ALFRED CONHAGEN CO. OF CA</v>
          </cell>
        </row>
        <row r="1481">
          <cell r="A1481">
            <v>1259</v>
          </cell>
          <cell r="B1481" t="str">
            <v>VEM0230</v>
          </cell>
          <cell r="D1481" t="str">
            <v>VALERO</v>
          </cell>
          <cell r="F1481" t="str">
            <v>MOV MOTOR</v>
          </cell>
          <cell r="AD1481" t="str">
            <v>0</v>
          </cell>
          <cell r="AV1481" t="b">
            <v>0</v>
          </cell>
          <cell r="HD1481" t="str">
            <v>Repair Shop</v>
          </cell>
          <cell r="HT1481" t="b">
            <v>0</v>
          </cell>
          <cell r="HU1481" t="str">
            <v>VALERO REFINING CO. BENICIA</v>
          </cell>
        </row>
        <row r="1482">
          <cell r="A1482">
            <v>1258</v>
          </cell>
          <cell r="B1482" t="str">
            <v>VEM0229</v>
          </cell>
          <cell r="D1482" t="str">
            <v>VALERO</v>
          </cell>
          <cell r="F1482" t="str">
            <v>Reliance</v>
          </cell>
          <cell r="H1482" t="str">
            <v>B422748-010001</v>
          </cell>
          <cell r="I1482" t="str">
            <v>184T</v>
          </cell>
          <cell r="K1482" t="str">
            <v>5</v>
          </cell>
          <cell r="L1482" t="str">
            <v>3505</v>
          </cell>
          <cell r="M1482" t="str">
            <v>P</v>
          </cell>
          <cell r="O1482" t="str">
            <v>Full no Cord</v>
          </cell>
          <cell r="R1482" t="str">
            <v>Continuous</v>
          </cell>
          <cell r="S1482" t="str">
            <v>Yes</v>
          </cell>
          <cell r="T1482" t="str">
            <v>NONE NO KEY</v>
          </cell>
          <cell r="V1482" t="str">
            <v>3</v>
          </cell>
          <cell r="W1482" t="str">
            <v>60</v>
          </cell>
          <cell r="X1482" t="str">
            <v>460</v>
          </cell>
          <cell r="Y1482" t="str">
            <v>6</v>
          </cell>
          <cell r="AA1482" t="str">
            <v>F1</v>
          </cell>
          <cell r="AD1482" t="str">
            <v>0</v>
          </cell>
          <cell r="AG1482" t="str">
            <v>HP</v>
          </cell>
          <cell r="AO1482" t="str">
            <v>B</v>
          </cell>
          <cell r="AP1482" t="str">
            <v>J</v>
          </cell>
          <cell r="AQ1482" t="str">
            <v>F</v>
          </cell>
          <cell r="AR1482" t="str">
            <v>82.7</v>
          </cell>
          <cell r="AT1482" t="str">
            <v>88.5</v>
          </cell>
          <cell r="AU1482" t="str">
            <v>B422748</v>
          </cell>
          <cell r="AV1482" t="b">
            <v>0</v>
          </cell>
          <cell r="GK1482" t="str">
            <v>ARROW ON FAN SHROUD</v>
          </cell>
          <cell r="GL1482" t="str">
            <v>CCW FACING OP</v>
          </cell>
          <cell r="HD1482" t="str">
            <v>Repair Shop</v>
          </cell>
          <cell r="HT1482" t="b">
            <v>0</v>
          </cell>
          <cell r="HU1482" t="str">
            <v>VALERO REFINING CO. BENICIA</v>
          </cell>
        </row>
        <row r="1483">
          <cell r="A1483">
            <v>1257</v>
          </cell>
          <cell r="B1483" t="str">
            <v>VEM0228</v>
          </cell>
          <cell r="D1483" t="str">
            <v>VEOLIA</v>
          </cell>
          <cell r="F1483" t="str">
            <v>flygt</v>
          </cell>
          <cell r="H1483" t="str">
            <v>30850920190</v>
          </cell>
          <cell r="K1483" t="str">
            <v>2.2</v>
          </cell>
          <cell r="L1483" t="str">
            <v>1700</v>
          </cell>
          <cell r="O1483" t="str">
            <v>Half w/ Cord</v>
          </cell>
          <cell r="R1483" t="str">
            <v>Continuous</v>
          </cell>
          <cell r="V1483" t="str">
            <v>3</v>
          </cell>
          <cell r="W1483" t="str">
            <v>60</v>
          </cell>
          <cell r="X1483" t="str">
            <v>230/460</v>
          </cell>
          <cell r="Y1483" t="str">
            <v>4.3/8.7</v>
          </cell>
          <cell r="AD1483" t="str">
            <v>0</v>
          </cell>
          <cell r="AG1483" t="str">
            <v>KW</v>
          </cell>
          <cell r="AV1483" t="b">
            <v>0</v>
          </cell>
          <cell r="HD1483" t="str">
            <v>Repair Shop</v>
          </cell>
          <cell r="HT1483" t="b">
            <v>0</v>
          </cell>
          <cell r="HU1483" t="str">
            <v>VEOLIA WATER</v>
          </cell>
        </row>
        <row r="1484">
          <cell r="A1484">
            <v>1256</v>
          </cell>
          <cell r="B1484" t="str">
            <v>VEM0227</v>
          </cell>
          <cell r="D1484" t="str">
            <v>VEOLIA</v>
          </cell>
          <cell r="F1484" t="str">
            <v>FLYGT</v>
          </cell>
          <cell r="H1484" t="str">
            <v>3085.092-0670033</v>
          </cell>
          <cell r="K1484" t="str">
            <v>2.2</v>
          </cell>
          <cell r="L1484" t="str">
            <v>1700</v>
          </cell>
          <cell r="O1484" t="str">
            <v>Full w/ Cord</v>
          </cell>
          <cell r="R1484" t="str">
            <v>Continuous</v>
          </cell>
          <cell r="U1484" t="str">
            <v>40</v>
          </cell>
          <cell r="V1484" t="str">
            <v>3</v>
          </cell>
          <cell r="W1484" t="str">
            <v>60</v>
          </cell>
          <cell r="X1484" t="str">
            <v>230/460</v>
          </cell>
          <cell r="Y1484" t="str">
            <v>4.3/8.7</v>
          </cell>
          <cell r="AD1484" t="str">
            <v>0</v>
          </cell>
          <cell r="AG1484" t="str">
            <v>KW</v>
          </cell>
          <cell r="AV1484" t="b">
            <v>0</v>
          </cell>
          <cell r="GK1484" t="str">
            <v>PRODUCT#3085.092-0190</v>
          </cell>
          <cell r="HD1484" t="str">
            <v>Repair Shop</v>
          </cell>
          <cell r="HT1484" t="b">
            <v>0</v>
          </cell>
          <cell r="HU1484" t="str">
            <v>VEOLIA WATER</v>
          </cell>
        </row>
        <row r="1485">
          <cell r="A1485">
            <v>1255</v>
          </cell>
          <cell r="B1485" t="str">
            <v>VEM0226</v>
          </cell>
          <cell r="D1485" t="str">
            <v>TURBO</v>
          </cell>
          <cell r="F1485" t="str">
            <v>GE</v>
          </cell>
          <cell r="G1485" t="str">
            <v>5KS444DP6005A</v>
          </cell>
          <cell r="H1485" t="str">
            <v>ZEG494020</v>
          </cell>
          <cell r="I1485" t="str">
            <v>L444TP16</v>
          </cell>
          <cell r="K1485" t="str">
            <v>150</v>
          </cell>
          <cell r="L1485" t="str">
            <v>1790</v>
          </cell>
          <cell r="O1485" t="str">
            <v>None</v>
          </cell>
          <cell r="R1485" t="str">
            <v>Continuous</v>
          </cell>
          <cell r="T1485" t="str">
            <v>Other</v>
          </cell>
          <cell r="U1485" t="str">
            <v>40</v>
          </cell>
          <cell r="V1485" t="str">
            <v>3</v>
          </cell>
          <cell r="W1485" t="str">
            <v>60</v>
          </cell>
          <cell r="X1485" t="str">
            <v>460</v>
          </cell>
          <cell r="Y1485" t="str">
            <v>165</v>
          </cell>
          <cell r="AA1485" t="str">
            <v>Vertical</v>
          </cell>
          <cell r="AD1485" t="str">
            <v>0</v>
          </cell>
          <cell r="AG1485" t="str">
            <v>HP</v>
          </cell>
          <cell r="AO1485" t="str">
            <v>B</v>
          </cell>
          <cell r="AR1485" t="str">
            <v>88.0</v>
          </cell>
          <cell r="AS1485" t="str">
            <v>1.15</v>
          </cell>
          <cell r="AV1485" t="b">
            <v>0</v>
          </cell>
          <cell r="GK1485" t="str">
            <v>6 MOTOR  LEADS</v>
          </cell>
          <cell r="GL1485" t="str">
            <v>2 HEATER LEADS</v>
          </cell>
          <cell r="HD1485" t="str">
            <v>Repair Shop</v>
          </cell>
          <cell r="HT1485" t="b">
            <v>0</v>
          </cell>
          <cell r="HU1485" t="str">
            <v>TURBO MACHINE</v>
          </cell>
        </row>
        <row r="1486">
          <cell r="A1486">
            <v>1254</v>
          </cell>
          <cell r="B1486" t="str">
            <v>VEM0225</v>
          </cell>
          <cell r="D1486" t="str">
            <v>TURBO</v>
          </cell>
          <cell r="F1486" t="str">
            <v>US Motors</v>
          </cell>
          <cell r="G1486" t="str">
            <v>08697953-100</v>
          </cell>
          <cell r="I1486" t="str">
            <v>324VP</v>
          </cell>
          <cell r="K1486" t="str">
            <v>40</v>
          </cell>
          <cell r="L1486" t="str">
            <v>1780</v>
          </cell>
          <cell r="M1486" t="str">
            <v>RVS4</v>
          </cell>
          <cell r="N1486" t="str">
            <v>635</v>
          </cell>
          <cell r="O1486" t="str">
            <v>None</v>
          </cell>
          <cell r="P1486" t="str">
            <v>ODP</v>
          </cell>
          <cell r="R1486" t="str">
            <v>Continuous</v>
          </cell>
          <cell r="T1486" t="str">
            <v>NONE NO KEY</v>
          </cell>
          <cell r="V1486" t="str">
            <v>3</v>
          </cell>
          <cell r="W1486" t="str">
            <v>60</v>
          </cell>
          <cell r="X1486" t="str">
            <v>460</v>
          </cell>
          <cell r="Y1486" t="str">
            <v>45.0</v>
          </cell>
          <cell r="AA1486" t="str">
            <v>Vertical</v>
          </cell>
          <cell r="AD1486" t="str">
            <v>0</v>
          </cell>
          <cell r="AG1486" t="str">
            <v>HP</v>
          </cell>
          <cell r="AI1486" t="str">
            <v>6211-J</v>
          </cell>
          <cell r="AJ1486" t="str">
            <v>7220-BEP</v>
          </cell>
          <cell r="AO1486" t="str">
            <v>B</v>
          </cell>
          <cell r="AR1486" t="str">
            <v>87.9</v>
          </cell>
          <cell r="AS1486" t="str">
            <v>1.15</v>
          </cell>
          <cell r="AT1486" t="str">
            <v>94.5</v>
          </cell>
          <cell r="AV1486" t="b">
            <v>0</v>
          </cell>
          <cell r="EX1486" t="str">
            <v>P118697953-0001M0002</v>
          </cell>
          <cell r="GK1486" t="str">
            <v>NO GASKET ON JB</v>
          </cell>
          <cell r="HA1486" t="str">
            <v>F</v>
          </cell>
          <cell r="HD1486" t="str">
            <v>Repair Shop</v>
          </cell>
          <cell r="HT1486" t="b">
            <v>0</v>
          </cell>
          <cell r="HU1486" t="str">
            <v>TURBO MACHINE</v>
          </cell>
        </row>
        <row r="1487">
          <cell r="A1487">
            <v>1253</v>
          </cell>
          <cell r="B1487" t="str">
            <v>VEM0224</v>
          </cell>
          <cell r="D1487" t="str">
            <v>NAPAWOODEN</v>
          </cell>
          <cell r="F1487" t="str">
            <v>US Motors</v>
          </cell>
          <cell r="G1487" t="str">
            <v>E180A</v>
          </cell>
          <cell r="I1487" t="str">
            <v>56</v>
          </cell>
          <cell r="K1487" t="str">
            <v>.5</v>
          </cell>
          <cell r="L1487" t="str">
            <v>1745</v>
          </cell>
          <cell r="O1487" t="str">
            <v>Full no Cord</v>
          </cell>
          <cell r="P1487" t="str">
            <v>TEFC</v>
          </cell>
          <cell r="Q1487" t="str">
            <v>No</v>
          </cell>
          <cell r="R1487" t="str">
            <v>Continuous</v>
          </cell>
          <cell r="S1487" t="str">
            <v>No</v>
          </cell>
          <cell r="T1487" t="str">
            <v>YES</v>
          </cell>
          <cell r="U1487" t="str">
            <v>40C</v>
          </cell>
          <cell r="V1487" t="str">
            <v>3</v>
          </cell>
          <cell r="W1487" t="str">
            <v>60</v>
          </cell>
          <cell r="X1487" t="str">
            <v>208-230/460</v>
          </cell>
          <cell r="Z1487" t="str">
            <v>No</v>
          </cell>
          <cell r="AA1487" t="str">
            <v>F1</v>
          </cell>
          <cell r="AG1487" t="str">
            <v>HP</v>
          </cell>
          <cell r="AJ1487" t="str">
            <v>6203-2Z-J/C3</v>
          </cell>
          <cell r="AO1487" t="str">
            <v>B</v>
          </cell>
          <cell r="AP1487" t="str">
            <v>K</v>
          </cell>
          <cell r="AQ1487" t="str">
            <v>F</v>
          </cell>
          <cell r="AS1487" t="str">
            <v>1.35</v>
          </cell>
          <cell r="AV1487" t="b">
            <v>0</v>
          </cell>
          <cell r="AW1487" t="str">
            <v>1.86-1.94/.97</v>
          </cell>
          <cell r="EX1487" t="str">
            <v>Z09Z130R042M</v>
          </cell>
          <cell r="HD1487" t="str">
            <v>Repair Shop</v>
          </cell>
          <cell r="HT1487" t="b">
            <v>0</v>
          </cell>
          <cell r="HU1487" t="str">
            <v>NAPA WOODEN BOX</v>
          </cell>
        </row>
        <row r="1488">
          <cell r="A1488">
            <v>1252</v>
          </cell>
          <cell r="B1488" t="str">
            <v>VEM0223</v>
          </cell>
          <cell r="D1488" t="str">
            <v>VALERO</v>
          </cell>
          <cell r="F1488" t="str">
            <v>Reliance</v>
          </cell>
          <cell r="I1488" t="str">
            <v>284T</v>
          </cell>
          <cell r="K1488" t="str">
            <v>30</v>
          </cell>
          <cell r="L1488" t="str">
            <v>1770</v>
          </cell>
          <cell r="M1488" t="str">
            <v>P</v>
          </cell>
          <cell r="O1488" t="str">
            <v>None</v>
          </cell>
          <cell r="P1488" t="str">
            <v>TEFC</v>
          </cell>
          <cell r="Q1488" t="str">
            <v>NONE</v>
          </cell>
          <cell r="R1488" t="str">
            <v>Continuous</v>
          </cell>
          <cell r="S1488" t="str">
            <v>Yes</v>
          </cell>
          <cell r="T1488" t="str">
            <v>YES</v>
          </cell>
          <cell r="U1488" t="str">
            <v>40C</v>
          </cell>
          <cell r="V1488" t="str">
            <v>3</v>
          </cell>
          <cell r="W1488" t="str">
            <v>60</v>
          </cell>
          <cell r="X1488" t="str">
            <v>460</v>
          </cell>
          <cell r="AA1488" t="str">
            <v>F1</v>
          </cell>
          <cell r="AD1488" t="str">
            <v>0</v>
          </cell>
          <cell r="AG1488" t="str">
            <v>HP</v>
          </cell>
          <cell r="AI1488" t="str">
            <v>5OBC03X30X26</v>
          </cell>
          <cell r="AJ1488" t="str">
            <v>5OBC03X30X26</v>
          </cell>
          <cell r="AO1488" t="str">
            <v>B</v>
          </cell>
          <cell r="AP1488" t="str">
            <v>G</v>
          </cell>
          <cell r="AQ1488" t="str">
            <v>F</v>
          </cell>
          <cell r="AR1488" t="str">
            <v>84.5</v>
          </cell>
          <cell r="AS1488" t="str">
            <v>1.15</v>
          </cell>
          <cell r="AT1488" t="str">
            <v>93</v>
          </cell>
          <cell r="AV1488" t="b">
            <v>0</v>
          </cell>
          <cell r="AW1488" t="str">
            <v>35</v>
          </cell>
          <cell r="HD1488" t="str">
            <v>Repair Shop</v>
          </cell>
          <cell r="HT1488" t="b">
            <v>0</v>
          </cell>
          <cell r="HU1488" t="str">
            <v>VALERO REFINING CO. BENICIA</v>
          </cell>
        </row>
        <row r="1489">
          <cell r="A1489">
            <v>1251</v>
          </cell>
          <cell r="B1489" t="str">
            <v>VEM0222</v>
          </cell>
          <cell r="D1489" t="str">
            <v>VALERO</v>
          </cell>
          <cell r="F1489" t="str">
            <v>Reliance</v>
          </cell>
          <cell r="I1489" t="str">
            <v>284T</v>
          </cell>
          <cell r="K1489" t="str">
            <v>25</v>
          </cell>
          <cell r="M1489" t="str">
            <v>P</v>
          </cell>
          <cell r="O1489" t="str">
            <v>None</v>
          </cell>
          <cell r="P1489" t="str">
            <v>TEFC</v>
          </cell>
          <cell r="Q1489" t="str">
            <v>NONE</v>
          </cell>
          <cell r="R1489" t="str">
            <v>Continuous</v>
          </cell>
          <cell r="S1489" t="str">
            <v>Yes</v>
          </cell>
          <cell r="T1489" t="str">
            <v>YES</v>
          </cell>
          <cell r="U1489" t="str">
            <v>40C</v>
          </cell>
          <cell r="V1489" t="str">
            <v>3</v>
          </cell>
          <cell r="W1489" t="str">
            <v>60</v>
          </cell>
          <cell r="X1489" t="str">
            <v>460</v>
          </cell>
          <cell r="AA1489" t="str">
            <v>F1</v>
          </cell>
          <cell r="AD1489" t="str">
            <v>0</v>
          </cell>
          <cell r="AG1489" t="str">
            <v>HP</v>
          </cell>
          <cell r="AI1489" t="str">
            <v>5OBC03X30X26</v>
          </cell>
          <cell r="AJ1489" t="str">
            <v>5OBC03X30X26</v>
          </cell>
          <cell r="AO1489" t="str">
            <v>B</v>
          </cell>
          <cell r="AP1489" t="str">
            <v>G</v>
          </cell>
          <cell r="AQ1489" t="str">
            <v>F</v>
          </cell>
          <cell r="AR1489" t="str">
            <v>82.7</v>
          </cell>
          <cell r="AS1489" t="str">
            <v>1.15</v>
          </cell>
          <cell r="AT1489" t="str">
            <v>93</v>
          </cell>
          <cell r="AV1489" t="b">
            <v>0</v>
          </cell>
          <cell r="AW1489" t="str">
            <v>30.5</v>
          </cell>
          <cell r="EX1489" t="str">
            <v>P28G3313G-G5-VK</v>
          </cell>
          <cell r="HD1489" t="str">
            <v>Repair Shop</v>
          </cell>
          <cell r="HT1489" t="b">
            <v>0</v>
          </cell>
          <cell r="HU1489" t="str">
            <v>VALERO REFINING CO. BENICIA</v>
          </cell>
        </row>
        <row r="1490">
          <cell r="A1490">
            <v>1250</v>
          </cell>
          <cell r="B1490" t="str">
            <v>VEM0221</v>
          </cell>
          <cell r="D1490" t="str">
            <v>VALERO</v>
          </cell>
          <cell r="F1490" t="str">
            <v>Siemens</v>
          </cell>
          <cell r="I1490" t="str">
            <v>286T</v>
          </cell>
          <cell r="K1490" t="str">
            <v>30</v>
          </cell>
          <cell r="L1490" t="str">
            <v>1775</v>
          </cell>
          <cell r="N1490" t="str">
            <v>450</v>
          </cell>
          <cell r="O1490" t="str">
            <v>Full no Cord</v>
          </cell>
          <cell r="P1490" t="str">
            <v>TEFC</v>
          </cell>
          <cell r="Q1490" t="str">
            <v>NONE</v>
          </cell>
          <cell r="S1490" t="str">
            <v>Yes</v>
          </cell>
          <cell r="T1490" t="str">
            <v>YES</v>
          </cell>
          <cell r="U1490" t="str">
            <v>40C</v>
          </cell>
          <cell r="V1490" t="str">
            <v>3</v>
          </cell>
          <cell r="W1490" t="str">
            <v>60</v>
          </cell>
          <cell r="X1490" t="str">
            <v>460</v>
          </cell>
          <cell r="AA1490" t="str">
            <v>F1</v>
          </cell>
          <cell r="AD1490" t="str">
            <v>0</v>
          </cell>
          <cell r="AG1490" t="str">
            <v>HP</v>
          </cell>
          <cell r="AI1490" t="str">
            <v>5OBC03JP3</v>
          </cell>
          <cell r="AJ1490" t="str">
            <v>5OBC03JP3</v>
          </cell>
          <cell r="AS1490" t="str">
            <v>1.15</v>
          </cell>
          <cell r="AT1490" t="str">
            <v>93.6</v>
          </cell>
          <cell r="AV1490" t="b">
            <v>0</v>
          </cell>
          <cell r="AW1490" t="str">
            <v>35</v>
          </cell>
          <cell r="EW1490" t="str">
            <v>1LA02864EE41</v>
          </cell>
          <cell r="HD1490" t="str">
            <v>Repair Shop</v>
          </cell>
          <cell r="HT1490" t="b">
            <v>0</v>
          </cell>
          <cell r="HU1490" t="str">
            <v>VALERO REFINING CO. BENICIA</v>
          </cell>
        </row>
        <row r="1491">
          <cell r="A1491">
            <v>1249</v>
          </cell>
          <cell r="B1491" t="str">
            <v>VEM0220</v>
          </cell>
          <cell r="D1491" t="str">
            <v>VALERO</v>
          </cell>
          <cell r="F1491" t="str">
            <v>BALDOR-RELIANCE</v>
          </cell>
          <cell r="I1491" t="str">
            <v>284T</v>
          </cell>
          <cell r="K1491" t="str">
            <v>25</v>
          </cell>
          <cell r="L1491" t="str">
            <v>1770</v>
          </cell>
          <cell r="O1491" t="str">
            <v>None</v>
          </cell>
          <cell r="P1491" t="str">
            <v>TEFC</v>
          </cell>
          <cell r="Q1491" t="str">
            <v>NONE</v>
          </cell>
          <cell r="S1491" t="str">
            <v>Yes</v>
          </cell>
          <cell r="T1491" t="str">
            <v>NONE</v>
          </cell>
          <cell r="U1491" t="str">
            <v>40C</v>
          </cell>
          <cell r="V1491" t="str">
            <v>3</v>
          </cell>
          <cell r="W1491" t="str">
            <v>60</v>
          </cell>
          <cell r="X1491" t="str">
            <v>230/460</v>
          </cell>
          <cell r="AA1491" t="str">
            <v>F1</v>
          </cell>
          <cell r="AD1491" t="str">
            <v>0</v>
          </cell>
          <cell r="AG1491" t="str">
            <v>HP</v>
          </cell>
          <cell r="AI1491" t="str">
            <v>6311</v>
          </cell>
          <cell r="AJ1491" t="str">
            <v>6311</v>
          </cell>
          <cell r="AO1491" t="str">
            <v>A</v>
          </cell>
          <cell r="AP1491" t="str">
            <v>6</v>
          </cell>
          <cell r="AQ1491" t="str">
            <v>F</v>
          </cell>
          <cell r="AR1491" t="str">
            <v>84</v>
          </cell>
          <cell r="AT1491" t="str">
            <v>93.6</v>
          </cell>
          <cell r="AU1491" t="str">
            <v>10H292X209</v>
          </cell>
          <cell r="AV1491" t="b">
            <v>0</v>
          </cell>
          <cell r="AW1491" t="str">
            <v>60/30</v>
          </cell>
          <cell r="EW1491" t="str">
            <v>ECP4103T</v>
          </cell>
          <cell r="HD1491" t="str">
            <v>Repair Shop</v>
          </cell>
          <cell r="HT1491" t="b">
            <v>0</v>
          </cell>
          <cell r="HU1491" t="str">
            <v>VALERO REFINING CO. BENICIA</v>
          </cell>
        </row>
        <row r="1492">
          <cell r="A1492">
            <v>1248</v>
          </cell>
          <cell r="B1492" t="str">
            <v>VEM0219</v>
          </cell>
          <cell r="D1492" t="str">
            <v>ELLIOTT</v>
          </cell>
          <cell r="F1492" t="str">
            <v>GE</v>
          </cell>
          <cell r="G1492" t="str">
            <v>5KR213HG823</v>
          </cell>
          <cell r="H1492" t="str">
            <v>JB</v>
          </cell>
          <cell r="I1492" t="str">
            <v>213</v>
          </cell>
          <cell r="L1492" t="str">
            <v>840</v>
          </cell>
          <cell r="M1492" t="str">
            <v>KR</v>
          </cell>
          <cell r="O1492" t="str">
            <v>Full no Cord</v>
          </cell>
          <cell r="P1492" t="str">
            <v>TENV</v>
          </cell>
          <cell r="Q1492" t="str">
            <v>No</v>
          </cell>
          <cell r="R1492" t="str">
            <v>5 MINUTES</v>
          </cell>
          <cell r="S1492" t="str">
            <v>No</v>
          </cell>
          <cell r="T1492" t="str">
            <v>KEY</v>
          </cell>
          <cell r="U1492" t="str">
            <v>55</v>
          </cell>
          <cell r="V1492" t="str">
            <v>3</v>
          </cell>
          <cell r="W1492" t="str">
            <v>60</v>
          </cell>
          <cell r="X1492" t="str">
            <v>208-220/460</v>
          </cell>
          <cell r="Z1492" t="str">
            <v>No</v>
          </cell>
          <cell r="AA1492" t="str">
            <v>F1</v>
          </cell>
          <cell r="AG1492" t="str">
            <v>HP</v>
          </cell>
          <cell r="AS1492" t="str">
            <v>1.0</v>
          </cell>
          <cell r="AV1492" t="b">
            <v>0</v>
          </cell>
          <cell r="AW1492" t="str">
            <v>9.2/4.6</v>
          </cell>
          <cell r="HD1492" t="str">
            <v>Repair Shop</v>
          </cell>
          <cell r="HT1492" t="b">
            <v>0</v>
          </cell>
          <cell r="HU1492" t="str">
            <v>ELLIOTT GROUP</v>
          </cell>
        </row>
        <row r="1493">
          <cell r="A1493">
            <v>1247</v>
          </cell>
          <cell r="B1493" t="str">
            <v>VEM0037</v>
          </cell>
          <cell r="D1493" t="str">
            <v>ELLIOTT</v>
          </cell>
          <cell r="AG1493" t="str">
            <v>HP</v>
          </cell>
          <cell r="AV1493" t="b">
            <v>0</v>
          </cell>
          <cell r="HT1493" t="b">
            <v>0</v>
          </cell>
          <cell r="HU1493" t="str">
            <v>ELLIOTT GROUP</v>
          </cell>
        </row>
        <row r="1494">
          <cell r="A1494">
            <v>1246</v>
          </cell>
          <cell r="B1494" t="str">
            <v>VEM0218</v>
          </cell>
          <cell r="D1494" t="str">
            <v>MAREISLDRYDK</v>
          </cell>
          <cell r="F1494" t="str">
            <v>GE</v>
          </cell>
          <cell r="K1494" t="str">
            <v>3</v>
          </cell>
          <cell r="L1494" t="str">
            <v>720</v>
          </cell>
          <cell r="P1494" t="str">
            <v>TEFC</v>
          </cell>
          <cell r="X1494" t="str">
            <v>230 VOLT</v>
          </cell>
          <cell r="AG1494" t="str">
            <v>HP</v>
          </cell>
          <cell r="AV1494" t="b">
            <v>0</v>
          </cell>
          <cell r="HD1494" t="str">
            <v>Repair Shop</v>
          </cell>
          <cell r="HT1494" t="b">
            <v>0</v>
          </cell>
          <cell r="HU1494" t="str">
            <v>MARE ISLAND DRY DOCK</v>
          </cell>
        </row>
        <row r="1495">
          <cell r="A1495">
            <v>1245</v>
          </cell>
          <cell r="B1495" t="str">
            <v>VEM0217</v>
          </cell>
          <cell r="D1495" t="str">
            <v>GONZELECT</v>
          </cell>
          <cell r="AD1495" t="str">
            <v>0</v>
          </cell>
          <cell r="AG1495" t="str">
            <v>HP</v>
          </cell>
          <cell r="AV1495" t="b">
            <v>0</v>
          </cell>
          <cell r="BB1495" t="str">
            <v>7.06</v>
          </cell>
          <cell r="BC1495" t="str">
            <v>30</v>
          </cell>
          <cell r="BE1495" t="str">
            <v>500</v>
          </cell>
          <cell r="HD1495" t="str">
            <v>Repair Shop</v>
          </cell>
          <cell r="HT1495" t="b">
            <v>0</v>
          </cell>
          <cell r="HU1495" t="str">
            <v>GONZALEZ ELECTRIC</v>
          </cell>
        </row>
        <row r="1496">
          <cell r="A1496">
            <v>1244</v>
          </cell>
          <cell r="B1496" t="str">
            <v>VEM0216</v>
          </cell>
          <cell r="D1496" t="str">
            <v>GONZELECT</v>
          </cell>
          <cell r="F1496" t="str">
            <v>US Motors</v>
          </cell>
          <cell r="I1496" t="str">
            <v>254UP</v>
          </cell>
          <cell r="K1496" t="str">
            <v>5</v>
          </cell>
          <cell r="L1496" t="str">
            <v>1775</v>
          </cell>
          <cell r="M1496" t="str">
            <v>AUC DP</v>
          </cell>
          <cell r="R1496" t="str">
            <v>Continuous</v>
          </cell>
          <cell r="V1496" t="str">
            <v>1</v>
          </cell>
          <cell r="W1496" t="str">
            <v>60</v>
          </cell>
          <cell r="X1496" t="str">
            <v>230</v>
          </cell>
          <cell r="AG1496" t="str">
            <v>HP</v>
          </cell>
          <cell r="AO1496" t="str">
            <v>L</v>
          </cell>
          <cell r="AP1496" t="str">
            <v>G</v>
          </cell>
          <cell r="AQ1496" t="str">
            <v>B</v>
          </cell>
          <cell r="AS1496" t="str">
            <v>1.15</v>
          </cell>
          <cell r="AV1496" t="b">
            <v>0</v>
          </cell>
          <cell r="HD1496" t="str">
            <v>Repair Shop</v>
          </cell>
          <cell r="HT1496" t="b">
            <v>0</v>
          </cell>
          <cell r="HU1496" t="str">
            <v>GONZALEZ ELECTRIC</v>
          </cell>
        </row>
        <row r="1497">
          <cell r="A1497">
            <v>1243</v>
          </cell>
          <cell r="B1497" t="str">
            <v>VEM0215</v>
          </cell>
          <cell r="D1497" t="str">
            <v>VALERO</v>
          </cell>
          <cell r="F1497" t="str">
            <v>Reliance</v>
          </cell>
          <cell r="I1497" t="str">
            <v>16EA 449TS</v>
          </cell>
          <cell r="K1497" t="str">
            <v>200</v>
          </cell>
          <cell r="L1497" t="str">
            <v>3600</v>
          </cell>
          <cell r="O1497" t="str">
            <v>None</v>
          </cell>
          <cell r="P1497" t="str">
            <v>TEFC</v>
          </cell>
          <cell r="R1497" t="str">
            <v>Continuous</v>
          </cell>
          <cell r="S1497" t="str">
            <v>2</v>
          </cell>
          <cell r="T1497" t="str">
            <v>YES - FLUSH</v>
          </cell>
          <cell r="V1497" t="str">
            <v>3</v>
          </cell>
          <cell r="W1497" t="str">
            <v>60</v>
          </cell>
          <cell r="X1497" t="str">
            <v>4160</v>
          </cell>
          <cell r="Y1497" t="str">
            <v>25.2</v>
          </cell>
          <cell r="AA1497" t="str">
            <v>F1</v>
          </cell>
          <cell r="AD1497" t="str">
            <v>0</v>
          </cell>
          <cell r="AG1497" t="str">
            <v>HP</v>
          </cell>
          <cell r="AV1497" t="b">
            <v>0</v>
          </cell>
          <cell r="EX1497" t="str">
            <v>VAQ12002-A2-YU</v>
          </cell>
          <cell r="GK1497" t="str">
            <v>RTD J-BOX</v>
          </cell>
          <cell r="GL1497" t="str">
            <v>HEATER J-BOX</v>
          </cell>
          <cell r="HD1497" t="str">
            <v>Repair Shop</v>
          </cell>
          <cell r="HT1497" t="b">
            <v>0</v>
          </cell>
          <cell r="HU1497" t="str">
            <v>VALERO REFINING CO. BENICIA</v>
          </cell>
        </row>
        <row r="1498">
          <cell r="A1498">
            <v>1242</v>
          </cell>
          <cell r="B1498" t="str">
            <v>VEM0214</v>
          </cell>
          <cell r="D1498" t="str">
            <v>SUPERSTORES</v>
          </cell>
          <cell r="F1498" t="str">
            <v>LOHER</v>
          </cell>
          <cell r="G1498" t="str">
            <v>ANGA-200LG-04C</v>
          </cell>
          <cell r="H1498" t="str">
            <v>3338652</v>
          </cell>
          <cell r="K1498" t="str">
            <v>36</v>
          </cell>
          <cell r="L1498" t="str">
            <v>1760</v>
          </cell>
          <cell r="O1498" t="str">
            <v>Full no Cord</v>
          </cell>
          <cell r="P1498" t="str">
            <v>TEFC</v>
          </cell>
          <cell r="Q1498" t="str">
            <v>NONE</v>
          </cell>
          <cell r="R1498" t="str">
            <v>Continuous</v>
          </cell>
          <cell r="S1498" t="str">
            <v>Yes</v>
          </cell>
          <cell r="T1498" t="str">
            <v>NONE</v>
          </cell>
          <cell r="V1498" t="str">
            <v>3</v>
          </cell>
          <cell r="W1498" t="str">
            <v>50/60</v>
          </cell>
          <cell r="X1498" t="str">
            <v>440-480</v>
          </cell>
          <cell r="AA1498" t="str">
            <v>Vertical</v>
          </cell>
          <cell r="AD1498" t="str">
            <v>0</v>
          </cell>
          <cell r="AG1498" t="str">
            <v>KW</v>
          </cell>
          <cell r="AQ1498" t="str">
            <v>F</v>
          </cell>
          <cell r="AR1498" t="str">
            <v>.87</v>
          </cell>
          <cell r="AV1498" t="b">
            <v>0</v>
          </cell>
          <cell r="AW1498" t="str">
            <v>59-54</v>
          </cell>
          <cell r="HD1498" t="str">
            <v>Repair Shop</v>
          </cell>
          <cell r="HT1498" t="b">
            <v>0</v>
          </cell>
          <cell r="HU1498" t="str">
            <v>Producers Dairy Foods</v>
          </cell>
        </row>
        <row r="1499">
          <cell r="A1499">
            <v>1241</v>
          </cell>
          <cell r="B1499" t="str">
            <v>VEM0213</v>
          </cell>
          <cell r="D1499" t="str">
            <v>SUPERSTORES</v>
          </cell>
          <cell r="F1499" t="str">
            <v>Baldor</v>
          </cell>
          <cell r="I1499" t="str">
            <v>284TC</v>
          </cell>
          <cell r="K1499" t="str">
            <v>25</v>
          </cell>
          <cell r="L1499" t="str">
            <v>1760</v>
          </cell>
          <cell r="O1499" t="str">
            <v>Full no Cord</v>
          </cell>
          <cell r="P1499" t="str">
            <v>TEFC</v>
          </cell>
          <cell r="Q1499" t="str">
            <v>NONE</v>
          </cell>
          <cell r="R1499" t="str">
            <v>Continuous</v>
          </cell>
          <cell r="S1499" t="str">
            <v>Yes</v>
          </cell>
          <cell r="T1499" t="str">
            <v>NONE</v>
          </cell>
          <cell r="U1499" t="str">
            <v>40C</v>
          </cell>
          <cell r="V1499" t="str">
            <v>3</v>
          </cell>
          <cell r="W1499" t="str">
            <v>60</v>
          </cell>
          <cell r="X1499" t="str">
            <v>230/460</v>
          </cell>
          <cell r="AA1499" t="str">
            <v>F1</v>
          </cell>
          <cell r="AG1499" t="str">
            <v>HP</v>
          </cell>
          <cell r="AO1499" t="str">
            <v>B</v>
          </cell>
          <cell r="AP1499" t="str">
            <v>H</v>
          </cell>
          <cell r="AQ1499" t="str">
            <v>F</v>
          </cell>
          <cell r="AS1499" t="str">
            <v>1.15</v>
          </cell>
          <cell r="AU1499" t="str">
            <v>09F439X998H1</v>
          </cell>
          <cell r="AV1499" t="b">
            <v>0</v>
          </cell>
          <cell r="AW1499" t="str">
            <v>58/29</v>
          </cell>
          <cell r="EW1499" t="str">
            <v>CM4103T</v>
          </cell>
          <cell r="HD1499" t="str">
            <v>Repair Shop</v>
          </cell>
          <cell r="HT1499" t="b">
            <v>0</v>
          </cell>
          <cell r="HU1499" t="str">
            <v>Producers Dairy Foods</v>
          </cell>
        </row>
        <row r="1500">
          <cell r="A1500">
            <v>1239</v>
          </cell>
          <cell r="B1500" t="str">
            <v>VEM0211</v>
          </cell>
          <cell r="D1500" t="str">
            <v>C&amp;H</v>
          </cell>
          <cell r="F1500" t="str">
            <v>Baldor</v>
          </cell>
          <cell r="K1500" t="str">
            <v>150</v>
          </cell>
          <cell r="L1500" t="str">
            <v>1800</v>
          </cell>
          <cell r="O1500" t="str">
            <v>Full no Cord</v>
          </cell>
          <cell r="P1500" t="str">
            <v>TEFC</v>
          </cell>
          <cell r="R1500" t="str">
            <v>Continuous</v>
          </cell>
          <cell r="T1500" t="str">
            <v>NONE NO KEY</v>
          </cell>
          <cell r="V1500" t="str">
            <v>3</v>
          </cell>
          <cell r="W1500" t="str">
            <v>60</v>
          </cell>
          <cell r="AD1500" t="str">
            <v>0</v>
          </cell>
          <cell r="AG1500" t="str">
            <v>HP</v>
          </cell>
          <cell r="AV1500" t="b">
            <v>0</v>
          </cell>
          <cell r="HD1500" t="str">
            <v>Repair Shop</v>
          </cell>
          <cell r="HT1500" t="b">
            <v>0</v>
          </cell>
          <cell r="HU1500" t="str">
            <v>C &amp; H SUGAR CO.</v>
          </cell>
        </row>
        <row r="1501">
          <cell r="A1501">
            <v>1236</v>
          </cell>
          <cell r="B1501" t="str">
            <v>VEM0208</v>
          </cell>
          <cell r="D1501" t="str">
            <v>SUPERSTORES</v>
          </cell>
          <cell r="AD1501" t="str">
            <v>-1</v>
          </cell>
          <cell r="AG1501" t="str">
            <v>HP</v>
          </cell>
          <cell r="AV1501" t="b">
            <v>0</v>
          </cell>
          <cell r="HD1501" t="str">
            <v>Repair Shop</v>
          </cell>
          <cell r="HT1501" t="b">
            <v>0</v>
          </cell>
          <cell r="HU1501" t="str">
            <v>Producers Dairy Foods</v>
          </cell>
        </row>
        <row r="1502">
          <cell r="A1502">
            <v>1235</v>
          </cell>
          <cell r="B1502" t="str">
            <v>VEM0207</v>
          </cell>
          <cell r="D1502" t="str">
            <v>WALTON</v>
          </cell>
          <cell r="F1502" t="str">
            <v>Gmbh &amp; Co.KG</v>
          </cell>
          <cell r="H1502" t="str">
            <v>66811293</v>
          </cell>
          <cell r="K1502" t="str">
            <v>11</v>
          </cell>
          <cell r="L1502" t="str">
            <v>1750</v>
          </cell>
          <cell r="M1502" t="str">
            <v>RSL/N 112-4</v>
          </cell>
          <cell r="O1502" t="str">
            <v>None</v>
          </cell>
          <cell r="P1502" t="str">
            <v>TEFC</v>
          </cell>
          <cell r="T1502" t="str">
            <v>yes</v>
          </cell>
          <cell r="V1502" t="str">
            <v>3</v>
          </cell>
          <cell r="W1502" t="str">
            <v>60</v>
          </cell>
          <cell r="X1502" t="str">
            <v>460</v>
          </cell>
          <cell r="AD1502" t="str">
            <v>0</v>
          </cell>
          <cell r="AG1502" t="str">
            <v>KW</v>
          </cell>
          <cell r="AV1502" t="b">
            <v>0</v>
          </cell>
          <cell r="HD1502" t="str">
            <v>Repair Shop</v>
          </cell>
          <cell r="HT1502" t="b">
            <v>0</v>
          </cell>
          <cell r="HU1502" t="str">
            <v>WALTON SAW AND KNIFE WORKS</v>
          </cell>
        </row>
        <row r="1503">
          <cell r="A1503">
            <v>1234</v>
          </cell>
          <cell r="B1503" t="str">
            <v>VEM0206</v>
          </cell>
          <cell r="D1503" t="str">
            <v>VALLEJOCLEANERS</v>
          </cell>
          <cell r="F1503" t="str">
            <v>BER-MAR</v>
          </cell>
          <cell r="G1503" t="str">
            <v>L25OIN00.000</v>
          </cell>
          <cell r="K1503" t="str">
            <v>7.5</v>
          </cell>
          <cell r="L1503" t="str">
            <v>800</v>
          </cell>
          <cell r="V1503" t="str">
            <v>3</v>
          </cell>
          <cell r="X1503" t="str">
            <v>230</v>
          </cell>
          <cell r="Y1503" t="str">
            <v>16</v>
          </cell>
          <cell r="AD1503" t="str">
            <v>-1</v>
          </cell>
          <cell r="AG1503" t="str">
            <v>HP</v>
          </cell>
          <cell r="AQ1503" t="str">
            <v>H</v>
          </cell>
          <cell r="AV1503" t="b">
            <v>0</v>
          </cell>
          <cell r="AX1503" t="str">
            <v>8</v>
          </cell>
          <cell r="HD1503" t="str">
            <v>Repair Shop</v>
          </cell>
          <cell r="HT1503" t="b">
            <v>0</v>
          </cell>
          <cell r="HU1503" t="str">
            <v>VALLEJO CLEANERS</v>
          </cell>
        </row>
        <row r="1504">
          <cell r="A1504">
            <v>1233</v>
          </cell>
          <cell r="B1504" t="str">
            <v>VEM0205</v>
          </cell>
          <cell r="D1504" t="str">
            <v>VALLEJOWATER</v>
          </cell>
          <cell r="F1504" t="str">
            <v>US Motors</v>
          </cell>
          <cell r="I1504" t="str">
            <v>444VP</v>
          </cell>
          <cell r="K1504" t="str">
            <v>150</v>
          </cell>
          <cell r="L1504" t="str">
            <v>1780</v>
          </cell>
          <cell r="O1504" t="str">
            <v>None</v>
          </cell>
          <cell r="P1504" t="str">
            <v>ODP</v>
          </cell>
          <cell r="R1504" t="str">
            <v>Continuous</v>
          </cell>
          <cell r="T1504" t="str">
            <v>YES</v>
          </cell>
          <cell r="V1504" t="str">
            <v>3</v>
          </cell>
          <cell r="W1504" t="str">
            <v>60</v>
          </cell>
          <cell r="X1504" t="str">
            <v>460</v>
          </cell>
          <cell r="Y1504" t="str">
            <v>176</v>
          </cell>
          <cell r="AA1504" t="str">
            <v>Vertical</v>
          </cell>
          <cell r="AD1504" t="str">
            <v>-1</v>
          </cell>
          <cell r="AG1504" t="str">
            <v>HP</v>
          </cell>
          <cell r="AI1504" t="str">
            <v>6215J</v>
          </cell>
          <cell r="AJ1504" t="str">
            <v>7322</v>
          </cell>
          <cell r="AO1504" t="str">
            <v>B</v>
          </cell>
          <cell r="AP1504" t="str">
            <v>G</v>
          </cell>
          <cell r="AR1504" t="str">
            <v>84.7</v>
          </cell>
          <cell r="AS1504" t="str">
            <v>1.15</v>
          </cell>
          <cell r="AT1504" t="str">
            <v>95.4</v>
          </cell>
          <cell r="AV1504" t="b">
            <v>0</v>
          </cell>
          <cell r="EX1504" t="str">
            <v>C25224T09T1520335R  2</v>
          </cell>
          <cell r="GK1504" t="str">
            <v>ROYAL PURPLE GREASE AND OIL</v>
          </cell>
          <cell r="GL1504" t="str">
            <v>6 M0T0R LEADS PLUS 2 SMALL LEADS WHITE UNMARKED</v>
          </cell>
          <cell r="HD1504" t="str">
            <v>Repair Shop</v>
          </cell>
          <cell r="HT1504" t="b">
            <v>0</v>
          </cell>
          <cell r="HU1504" t="str">
            <v>CITY OF VALLEJO WATER TREATMENT</v>
          </cell>
        </row>
        <row r="1505">
          <cell r="A1505">
            <v>1232</v>
          </cell>
          <cell r="B1505" t="str">
            <v>VEM0999</v>
          </cell>
          <cell r="D1505" t="str">
            <v>VALLEJOWATER</v>
          </cell>
          <cell r="I1505" t="str">
            <v>444VP</v>
          </cell>
          <cell r="K1505" t="str">
            <v>150</v>
          </cell>
          <cell r="L1505" t="str">
            <v>1780</v>
          </cell>
          <cell r="M1505" t="str">
            <v>RV34 DP</v>
          </cell>
          <cell r="P1505" t="str">
            <v>TEFC</v>
          </cell>
          <cell r="V1505" t="str">
            <v>3</v>
          </cell>
          <cell r="W1505" t="str">
            <v>60</v>
          </cell>
          <cell r="X1505" t="str">
            <v>460</v>
          </cell>
          <cell r="Y1505" t="str">
            <v>176</v>
          </cell>
          <cell r="AG1505" t="str">
            <v>HP</v>
          </cell>
          <cell r="AO1505" t="str">
            <v>3</v>
          </cell>
          <cell r="AP1505" t="str">
            <v>G</v>
          </cell>
          <cell r="AQ1505" t="str">
            <v>F</v>
          </cell>
          <cell r="AS1505" t="str">
            <v>1.15</v>
          </cell>
          <cell r="AV1505" t="b">
            <v>0</v>
          </cell>
          <cell r="AW1505" t="str">
            <v>176</v>
          </cell>
          <cell r="AX1505" t="str">
            <v>4</v>
          </cell>
          <cell r="EX1505" t="str">
            <v>G25224 T09 T1520335R 3</v>
          </cell>
          <cell r="HD1505" t="str">
            <v>Repair Shop</v>
          </cell>
          <cell r="HT1505" t="b">
            <v>0</v>
          </cell>
          <cell r="HU1505" t="str">
            <v>CITY OF VALLEJO WATER TREATMENT</v>
          </cell>
        </row>
        <row r="1506">
          <cell r="A1506">
            <v>1231</v>
          </cell>
          <cell r="B1506" t="str">
            <v>VEM0204</v>
          </cell>
          <cell r="D1506" t="str">
            <v>ALLPOINTS</v>
          </cell>
          <cell r="AG1506" t="str">
            <v>HP</v>
          </cell>
          <cell r="AV1506" t="b">
            <v>0</v>
          </cell>
          <cell r="HD1506" t="str">
            <v>Repair Shop</v>
          </cell>
          <cell r="HT1506" t="b">
            <v>0</v>
          </cell>
          <cell r="HU1506" t="str">
            <v>ALL POINTS MANUFACTURING</v>
          </cell>
        </row>
        <row r="1507">
          <cell r="A1507">
            <v>1230</v>
          </cell>
          <cell r="B1507" t="str">
            <v>VEM0203</v>
          </cell>
          <cell r="D1507" t="str">
            <v>NATIONALBLENDIN</v>
          </cell>
          <cell r="AG1507" t="str">
            <v>HP</v>
          </cell>
          <cell r="AV1507" t="b">
            <v>0</v>
          </cell>
          <cell r="BY1507" t="str">
            <v>15</v>
          </cell>
          <cell r="CB1507" t="str">
            <v>IN LBS 8941</v>
          </cell>
          <cell r="CE1507" t="str">
            <v>18.11</v>
          </cell>
          <cell r="HD1507" t="str">
            <v>Repair Shop</v>
          </cell>
          <cell r="HE1507" t="str">
            <v>CAT#GR852056455</v>
          </cell>
          <cell r="HT1507" t="b">
            <v>0</v>
          </cell>
          <cell r="HU1507" t="str">
            <v>NATIONAL BLENDING COMPANY</v>
          </cell>
        </row>
        <row r="1508">
          <cell r="A1508">
            <v>1229</v>
          </cell>
          <cell r="B1508" t="str">
            <v>VEM0202</v>
          </cell>
          <cell r="D1508" t="str">
            <v>CONHAGEN</v>
          </cell>
          <cell r="F1508" t="str">
            <v>Reliance</v>
          </cell>
          <cell r="H1508" t="str">
            <v>1YWB21438A1</v>
          </cell>
          <cell r="I1508" t="str">
            <v>184LP</v>
          </cell>
          <cell r="K1508" t="str">
            <v>5</v>
          </cell>
          <cell r="L1508" t="str">
            <v>3500</v>
          </cell>
          <cell r="M1508" t="str">
            <v>P</v>
          </cell>
          <cell r="O1508" t="str">
            <v>Full no Cord</v>
          </cell>
          <cell r="P1508" t="str">
            <v>TEFC</v>
          </cell>
          <cell r="R1508" t="str">
            <v>Continuous</v>
          </cell>
          <cell r="T1508" t="str">
            <v>NONE</v>
          </cell>
          <cell r="U1508" t="str">
            <v>40</v>
          </cell>
          <cell r="V1508" t="str">
            <v>3</v>
          </cell>
          <cell r="W1508" t="str">
            <v>60</v>
          </cell>
          <cell r="X1508" t="str">
            <v>460</v>
          </cell>
          <cell r="Y1508" t="str">
            <v>6</v>
          </cell>
          <cell r="AG1508" t="str">
            <v>HP</v>
          </cell>
          <cell r="AO1508" t="str">
            <v>B</v>
          </cell>
          <cell r="AP1508" t="str">
            <v>J</v>
          </cell>
          <cell r="AS1508" t="str">
            <v>1.15</v>
          </cell>
          <cell r="AV1508" t="b">
            <v>0</v>
          </cell>
          <cell r="GK1508" t="str">
            <v>3 LEADS ONLY</v>
          </cell>
          <cell r="HD1508" t="str">
            <v>Repair Shop</v>
          </cell>
          <cell r="HT1508" t="b">
            <v>0</v>
          </cell>
          <cell r="HU1508" t="str">
            <v>ALFRED CONHAGEN CO. OF CA</v>
          </cell>
        </row>
        <row r="1509">
          <cell r="A1509">
            <v>1228</v>
          </cell>
          <cell r="B1509" t="str">
            <v>VEM0201</v>
          </cell>
          <cell r="D1509" t="str">
            <v>CONHAGEN</v>
          </cell>
          <cell r="F1509" t="str">
            <v>Reliance</v>
          </cell>
          <cell r="H1509" t="str">
            <v>1YWB22297A1 SH</v>
          </cell>
          <cell r="I1509" t="str">
            <v>184 LP</v>
          </cell>
          <cell r="K1509" t="str">
            <v>5</v>
          </cell>
          <cell r="L1509" t="str">
            <v>3500</v>
          </cell>
          <cell r="M1509" t="str">
            <v>P</v>
          </cell>
          <cell r="O1509" t="str">
            <v>Full no Cord</v>
          </cell>
          <cell r="P1509" t="str">
            <v>TEFC</v>
          </cell>
          <cell r="R1509" t="str">
            <v>Continuous</v>
          </cell>
          <cell r="T1509" t="str">
            <v>NONE</v>
          </cell>
          <cell r="U1509" t="str">
            <v>40</v>
          </cell>
          <cell r="V1509" t="str">
            <v>3</v>
          </cell>
          <cell r="W1509" t="str">
            <v>60</v>
          </cell>
          <cell r="X1509" t="str">
            <v>460</v>
          </cell>
          <cell r="Y1509" t="str">
            <v>6</v>
          </cell>
          <cell r="AG1509" t="str">
            <v>HP</v>
          </cell>
          <cell r="AO1509" t="str">
            <v>B</v>
          </cell>
          <cell r="AP1509" t="str">
            <v>J</v>
          </cell>
          <cell r="AS1509" t="str">
            <v>1.15</v>
          </cell>
          <cell r="AV1509" t="b">
            <v>0</v>
          </cell>
          <cell r="GK1509" t="str">
            <v>3 LEADS ONLY</v>
          </cell>
          <cell r="HD1509" t="str">
            <v>Repair Shop</v>
          </cell>
          <cell r="HT1509" t="b">
            <v>0</v>
          </cell>
          <cell r="HU1509" t="str">
            <v>ALFRED CONHAGEN CO. OF CA</v>
          </cell>
        </row>
        <row r="1510">
          <cell r="A1510">
            <v>1227</v>
          </cell>
          <cell r="B1510" t="str">
            <v>VEM0200</v>
          </cell>
          <cell r="D1510" t="str">
            <v>P66</v>
          </cell>
          <cell r="F1510" t="str">
            <v>Siemens</v>
          </cell>
          <cell r="G1510" t="str">
            <v>1LA02844EE42</v>
          </cell>
          <cell r="H1510" t="str">
            <v>J05T0181NPX004</v>
          </cell>
          <cell r="I1510" t="str">
            <v>284TS</v>
          </cell>
          <cell r="K1510" t="str">
            <v>25</v>
          </cell>
          <cell r="L1510" t="str">
            <v>1800</v>
          </cell>
          <cell r="O1510" t="str">
            <v>Full w/ Cord</v>
          </cell>
          <cell r="R1510" t="str">
            <v>Continuous</v>
          </cell>
          <cell r="S1510" t="str">
            <v>Yes</v>
          </cell>
          <cell r="T1510" t="str">
            <v>Other</v>
          </cell>
          <cell r="V1510" t="str">
            <v>3</v>
          </cell>
          <cell r="W1510" t="str">
            <v>60</v>
          </cell>
          <cell r="Z1510" t="str">
            <v>Yes</v>
          </cell>
          <cell r="AA1510" t="str">
            <v>F1</v>
          </cell>
          <cell r="AG1510" t="str">
            <v>HP</v>
          </cell>
          <cell r="AV1510" t="b">
            <v>0</v>
          </cell>
          <cell r="AW1510" t="str">
            <v>30</v>
          </cell>
          <cell r="GK1510" t="str">
            <v>CAME IN WITH A BUSTED PIECE OF CONDUIT</v>
          </cell>
          <cell r="HD1510" t="str">
            <v>Repair Shop</v>
          </cell>
          <cell r="HT1510" t="b">
            <v>0</v>
          </cell>
          <cell r="HU1510" t="str">
            <v>PHILLIPS 66</v>
          </cell>
        </row>
        <row r="1511">
          <cell r="A1511">
            <v>1226</v>
          </cell>
          <cell r="B1511" t="str">
            <v>VEM0199</v>
          </cell>
          <cell r="D1511" t="str">
            <v>VALERO</v>
          </cell>
          <cell r="F1511" t="str">
            <v>MOV</v>
          </cell>
          <cell r="AD1511" t="str">
            <v>-1</v>
          </cell>
          <cell r="AV1511" t="b">
            <v>0</v>
          </cell>
          <cell r="GK1511" t="str">
            <v>LEADS 30 INCH IN LENGTH</v>
          </cell>
          <cell r="HD1511" t="str">
            <v>Repair Shop</v>
          </cell>
          <cell r="HT1511" t="b">
            <v>0</v>
          </cell>
          <cell r="HU1511" t="str">
            <v>VALERO REFINING CO. BENICIA</v>
          </cell>
        </row>
        <row r="1512">
          <cell r="A1512">
            <v>1224</v>
          </cell>
          <cell r="B1512" t="str">
            <v>VEM0197</v>
          </cell>
          <cell r="D1512" t="str">
            <v>VALERO</v>
          </cell>
          <cell r="F1512" t="str">
            <v>Reliance</v>
          </cell>
          <cell r="I1512" t="str">
            <v>286T</v>
          </cell>
          <cell r="K1512" t="str">
            <v>30</v>
          </cell>
          <cell r="L1512" t="str">
            <v>1770</v>
          </cell>
          <cell r="M1512" t="str">
            <v>P</v>
          </cell>
          <cell r="O1512" t="str">
            <v>Full no Cord</v>
          </cell>
          <cell r="P1512" t="str">
            <v>TEFC</v>
          </cell>
          <cell r="Q1512" t="str">
            <v>No</v>
          </cell>
          <cell r="R1512" t="str">
            <v>Continuous</v>
          </cell>
          <cell r="S1512" t="str">
            <v>Yes</v>
          </cell>
          <cell r="T1512" t="str">
            <v>YES</v>
          </cell>
          <cell r="U1512" t="str">
            <v>40C</v>
          </cell>
          <cell r="V1512" t="str">
            <v>3</v>
          </cell>
          <cell r="W1512" t="str">
            <v>60</v>
          </cell>
          <cell r="X1512" t="str">
            <v>460</v>
          </cell>
          <cell r="Z1512" t="str">
            <v>NONE</v>
          </cell>
          <cell r="AA1512" t="str">
            <v>F1</v>
          </cell>
          <cell r="AD1512" t="str">
            <v>-1</v>
          </cell>
          <cell r="AG1512" t="str">
            <v>HP</v>
          </cell>
          <cell r="AI1512" t="str">
            <v>6310ZC3</v>
          </cell>
          <cell r="AJ1512" t="str">
            <v>6310ZC3</v>
          </cell>
          <cell r="AO1512" t="str">
            <v>B</v>
          </cell>
          <cell r="AP1512" t="str">
            <v>G</v>
          </cell>
          <cell r="AQ1512" t="str">
            <v>F</v>
          </cell>
          <cell r="AR1512" t="str">
            <v>84.5</v>
          </cell>
          <cell r="AS1512" t="str">
            <v>1.15</v>
          </cell>
          <cell r="AT1512" t="str">
            <v>93</v>
          </cell>
          <cell r="AV1512" t="b">
            <v>0</v>
          </cell>
          <cell r="AW1512" t="str">
            <v>35.6</v>
          </cell>
          <cell r="EX1512" t="str">
            <v>P28G3314F-G27-XK</v>
          </cell>
          <cell r="HD1512" t="str">
            <v>Repair Shop</v>
          </cell>
          <cell r="HT1512" t="b">
            <v>0</v>
          </cell>
          <cell r="HU1512" t="str">
            <v>VALERO REFINING CO. BENICIA</v>
          </cell>
        </row>
        <row r="1513">
          <cell r="A1513">
            <v>1223</v>
          </cell>
          <cell r="B1513" t="str">
            <v>VEM0196</v>
          </cell>
          <cell r="D1513" t="str">
            <v>VALERO</v>
          </cell>
          <cell r="F1513" t="str">
            <v>GE</v>
          </cell>
          <cell r="G1513" t="str">
            <v>5KS286XAB2033</v>
          </cell>
          <cell r="H1513" t="str">
            <v>YXP5455MQ04E</v>
          </cell>
          <cell r="I1513" t="str">
            <v>286T</v>
          </cell>
          <cell r="K1513" t="str">
            <v>30</v>
          </cell>
          <cell r="L1513" t="str">
            <v>1775</v>
          </cell>
          <cell r="M1513" t="str">
            <v>KS</v>
          </cell>
          <cell r="N1513" t="str">
            <v>510</v>
          </cell>
          <cell r="O1513" t="str">
            <v>Full no Cord</v>
          </cell>
          <cell r="P1513" t="str">
            <v>TEFC</v>
          </cell>
          <cell r="Q1513" t="str">
            <v>No</v>
          </cell>
          <cell r="R1513" t="str">
            <v>Continuous</v>
          </cell>
          <cell r="S1513" t="str">
            <v>No</v>
          </cell>
          <cell r="T1513" t="str">
            <v>NONE</v>
          </cell>
          <cell r="U1513" t="str">
            <v>40C</v>
          </cell>
          <cell r="V1513" t="str">
            <v>3</v>
          </cell>
          <cell r="W1513" t="str">
            <v>60</v>
          </cell>
          <cell r="X1513" t="str">
            <v>460</v>
          </cell>
          <cell r="Z1513" t="str">
            <v>ENPRO</v>
          </cell>
          <cell r="AA1513" t="str">
            <v>F1</v>
          </cell>
          <cell r="AD1513" t="str">
            <v>0</v>
          </cell>
          <cell r="AG1513" t="str">
            <v>HP</v>
          </cell>
          <cell r="AI1513" t="str">
            <v>6310ZC3</v>
          </cell>
          <cell r="AJ1513" t="str">
            <v>6310ZC3</v>
          </cell>
          <cell r="AO1513" t="str">
            <v>B</v>
          </cell>
          <cell r="AP1513" t="str">
            <v>G</v>
          </cell>
          <cell r="AQ1513" t="str">
            <v>F</v>
          </cell>
          <cell r="AR1513" t="str">
            <v>84.5</v>
          </cell>
          <cell r="AS1513" t="str">
            <v>1.15</v>
          </cell>
          <cell r="AT1513" t="str">
            <v>93.6</v>
          </cell>
          <cell r="AV1513" t="b">
            <v>0</v>
          </cell>
          <cell r="AW1513" t="str">
            <v>35.5</v>
          </cell>
          <cell r="EW1513" t="str">
            <v>M9447</v>
          </cell>
          <cell r="HD1513" t="str">
            <v>Repair Shop</v>
          </cell>
          <cell r="HT1513" t="b">
            <v>0</v>
          </cell>
          <cell r="HU1513" t="str">
            <v>VALERO REFINING CO. BENICIA</v>
          </cell>
        </row>
        <row r="1514">
          <cell r="A1514">
            <v>1222</v>
          </cell>
          <cell r="B1514" t="str">
            <v>VEM0195</v>
          </cell>
          <cell r="D1514" t="str">
            <v>TURBO</v>
          </cell>
          <cell r="F1514" t="str">
            <v>Reliance</v>
          </cell>
          <cell r="I1514" t="str">
            <v>180LPZ</v>
          </cell>
          <cell r="K1514" t="str">
            <v>5</v>
          </cell>
          <cell r="L1514" t="str">
            <v>1750</v>
          </cell>
          <cell r="M1514" t="str">
            <v>P</v>
          </cell>
          <cell r="N1514" t="str">
            <v>163</v>
          </cell>
          <cell r="O1514" t="str">
            <v>None</v>
          </cell>
          <cell r="P1514" t="str">
            <v>TEFC</v>
          </cell>
          <cell r="Q1514" t="str">
            <v>No</v>
          </cell>
          <cell r="R1514" t="str">
            <v>Continuous</v>
          </cell>
          <cell r="S1514" t="str">
            <v>No</v>
          </cell>
          <cell r="T1514" t="str">
            <v>NONE</v>
          </cell>
          <cell r="U1514" t="str">
            <v>40C</v>
          </cell>
          <cell r="V1514" t="str">
            <v>3</v>
          </cell>
          <cell r="W1514" t="str">
            <v>60</v>
          </cell>
          <cell r="X1514" t="str">
            <v>230/460</v>
          </cell>
          <cell r="Z1514" t="str">
            <v>FLINGER</v>
          </cell>
          <cell r="AA1514" t="str">
            <v>Vertical</v>
          </cell>
          <cell r="AD1514" t="str">
            <v>-1</v>
          </cell>
          <cell r="AG1514" t="str">
            <v>HP</v>
          </cell>
          <cell r="AO1514" t="str">
            <v>B</v>
          </cell>
          <cell r="AP1514" t="str">
            <v>J</v>
          </cell>
          <cell r="AQ1514" t="str">
            <v>F</v>
          </cell>
          <cell r="AR1514" t="str">
            <v>86.4</v>
          </cell>
          <cell r="AS1514" t="str">
            <v>1.15</v>
          </cell>
          <cell r="AT1514" t="str">
            <v>87.5</v>
          </cell>
          <cell r="AV1514" t="b">
            <v>0</v>
          </cell>
          <cell r="AW1514" t="str">
            <v>12.2/6.1</v>
          </cell>
          <cell r="EX1514" t="str">
            <v>10MAN98338 G001 LD</v>
          </cell>
          <cell r="HD1514" t="str">
            <v>Repair Shop</v>
          </cell>
          <cell r="HT1514" t="b">
            <v>0</v>
          </cell>
          <cell r="HU1514" t="str">
            <v>TURBO MACHINE</v>
          </cell>
        </row>
        <row r="1515">
          <cell r="A1515">
            <v>1221</v>
          </cell>
          <cell r="B1515" t="str">
            <v>VEM0194</v>
          </cell>
          <cell r="D1515" t="str">
            <v>LAURA</v>
          </cell>
          <cell r="F1515" t="str">
            <v>Emerson</v>
          </cell>
          <cell r="G1515" t="str">
            <v>C538</v>
          </cell>
          <cell r="L1515" t="str">
            <v>3480</v>
          </cell>
          <cell r="M1515" t="str">
            <v>D-4</v>
          </cell>
          <cell r="O1515" t="str">
            <v>Half no Cord</v>
          </cell>
          <cell r="P1515" t="str">
            <v>ODP</v>
          </cell>
          <cell r="R1515" t="str">
            <v>Continuous</v>
          </cell>
          <cell r="V1515" t="str">
            <v>3</v>
          </cell>
          <cell r="W1515" t="str">
            <v>60</v>
          </cell>
          <cell r="X1515" t="str">
            <v>208-230/460</v>
          </cell>
          <cell r="Y1515" t="str">
            <v>21.46-19.30/9.60</v>
          </cell>
          <cell r="AG1515" t="str">
            <v>HP</v>
          </cell>
          <cell r="AO1515" t="str">
            <v>B</v>
          </cell>
          <cell r="AP1515" t="str">
            <v>G</v>
          </cell>
          <cell r="AR1515" t="str">
            <v>85.5</v>
          </cell>
          <cell r="AV1515" t="b">
            <v>0</v>
          </cell>
          <cell r="EX1515" t="str">
            <v>R057426597-0004 M 0002</v>
          </cell>
          <cell r="GK1515" t="str">
            <v>9 LEADS ONLY 230 VOLTS</v>
          </cell>
          <cell r="HD1515" t="str">
            <v>Repair Shop</v>
          </cell>
          <cell r="HT1515" t="b">
            <v>0</v>
          </cell>
          <cell r="HU1515" t="str">
            <v>LAURA CHENEL'S CHEVRE</v>
          </cell>
        </row>
        <row r="1516">
          <cell r="A1516">
            <v>1220</v>
          </cell>
          <cell r="B1516" t="str">
            <v>VEM0193</v>
          </cell>
          <cell r="D1516" t="str">
            <v>LAURA</v>
          </cell>
          <cell r="F1516" t="str">
            <v>EBARA</v>
          </cell>
          <cell r="K1516" t="str">
            <v>10</v>
          </cell>
          <cell r="L1516" t="str">
            <v>3480</v>
          </cell>
          <cell r="M1516" t="str">
            <v>3LM50-125/7.565</v>
          </cell>
          <cell r="O1516" t="str">
            <v>Full no Cord</v>
          </cell>
          <cell r="P1516" t="str">
            <v>TEFC</v>
          </cell>
          <cell r="R1516" t="str">
            <v>Continuous</v>
          </cell>
          <cell r="V1516" t="str">
            <v>3</v>
          </cell>
          <cell r="W1516" t="str">
            <v>60</v>
          </cell>
          <cell r="X1516" t="str">
            <v>220-380-460</v>
          </cell>
          <cell r="Y1516" t="str">
            <v>25.5-14.7-13.5</v>
          </cell>
          <cell r="AG1516" t="str">
            <v>HP</v>
          </cell>
          <cell r="AQ1516" t="str">
            <v>F</v>
          </cell>
          <cell r="AV1516" t="b">
            <v>0</v>
          </cell>
          <cell r="GK1516" t="str">
            <v>PUMP MOTOR</v>
          </cell>
          <cell r="HD1516" t="str">
            <v>Repair Shop</v>
          </cell>
          <cell r="HT1516" t="b">
            <v>0</v>
          </cell>
          <cell r="HU1516" t="str">
            <v>LAURA CHENEL'S CHEVRE</v>
          </cell>
        </row>
        <row r="1517">
          <cell r="A1517">
            <v>1219</v>
          </cell>
          <cell r="B1517" t="str">
            <v>VEM0192</v>
          </cell>
          <cell r="D1517" t="str">
            <v>VALERO</v>
          </cell>
          <cell r="F1517" t="str">
            <v>Siemens</v>
          </cell>
          <cell r="I1517" t="str">
            <v>286T</v>
          </cell>
          <cell r="K1517" t="str">
            <v>30</v>
          </cell>
          <cell r="L1517" t="str">
            <v>1765</v>
          </cell>
          <cell r="M1517" t="str">
            <v>RGZESD</v>
          </cell>
          <cell r="N1517" t="str">
            <v>439</v>
          </cell>
          <cell r="O1517" t="str">
            <v>Full no Cord</v>
          </cell>
          <cell r="P1517" t="str">
            <v>TEFC</v>
          </cell>
          <cell r="Q1517" t="str">
            <v>NONE</v>
          </cell>
          <cell r="R1517" t="str">
            <v>Continuous</v>
          </cell>
          <cell r="S1517" t="str">
            <v>Yes</v>
          </cell>
          <cell r="T1517" t="str">
            <v>NONE</v>
          </cell>
          <cell r="U1517" t="str">
            <v>40C</v>
          </cell>
          <cell r="V1517" t="str">
            <v>3</v>
          </cell>
          <cell r="W1517" t="str">
            <v>60</v>
          </cell>
          <cell r="X1517" t="str">
            <v>460</v>
          </cell>
          <cell r="Y1517" t="str">
            <v>34.9</v>
          </cell>
          <cell r="Z1517" t="str">
            <v>V-RING</v>
          </cell>
          <cell r="AA1517" t="str">
            <v>F1</v>
          </cell>
          <cell r="AG1517" t="str">
            <v>HP</v>
          </cell>
          <cell r="AO1517" t="str">
            <v>B</v>
          </cell>
          <cell r="AP1517" t="str">
            <v>G</v>
          </cell>
          <cell r="AQ1517" t="str">
            <v>F</v>
          </cell>
          <cell r="AS1517" t="str">
            <v>1.15</v>
          </cell>
          <cell r="AT1517" t="str">
            <v>93.6</v>
          </cell>
          <cell r="AV1517" t="b">
            <v>0</v>
          </cell>
          <cell r="AW1517" t="str">
            <v>34.9</v>
          </cell>
          <cell r="GK1517" t="str">
            <v>ORDER#1LA02864SE41</v>
          </cell>
          <cell r="HD1517" t="str">
            <v>Repair Shop</v>
          </cell>
          <cell r="HT1517" t="b">
            <v>0</v>
          </cell>
          <cell r="HU1517" t="str">
            <v>VALERO REFINING CO. BENICIA</v>
          </cell>
        </row>
        <row r="1518">
          <cell r="A1518">
            <v>1218</v>
          </cell>
          <cell r="B1518" t="str">
            <v>VEM0191</v>
          </cell>
          <cell r="D1518" t="str">
            <v>TURBO</v>
          </cell>
          <cell r="F1518" t="str">
            <v>Reliance</v>
          </cell>
          <cell r="I1518" t="str">
            <v>184LPZ</v>
          </cell>
          <cell r="K1518" t="str">
            <v>5</v>
          </cell>
          <cell r="L1518" t="str">
            <v>3500</v>
          </cell>
          <cell r="O1518" t="str">
            <v>None</v>
          </cell>
          <cell r="P1518" t="str">
            <v>TEFC</v>
          </cell>
          <cell r="R1518" t="str">
            <v>Continuous</v>
          </cell>
          <cell r="T1518" t="str">
            <v>NONE</v>
          </cell>
          <cell r="U1518" t="str">
            <v>40</v>
          </cell>
          <cell r="V1518" t="str">
            <v>3</v>
          </cell>
          <cell r="W1518" t="str">
            <v>60</v>
          </cell>
          <cell r="X1518" t="str">
            <v>460</v>
          </cell>
          <cell r="Y1518" t="str">
            <v>6</v>
          </cell>
          <cell r="AD1518" t="str">
            <v>0</v>
          </cell>
          <cell r="AG1518" t="str">
            <v>HP</v>
          </cell>
          <cell r="AI1518" t="str">
            <v>6308</v>
          </cell>
          <cell r="AJ1518" t="str">
            <v>2- 7305</v>
          </cell>
          <cell r="AO1518" t="str">
            <v>B</v>
          </cell>
          <cell r="AP1518" t="str">
            <v>J</v>
          </cell>
          <cell r="AQ1518" t="str">
            <v>F</v>
          </cell>
          <cell r="AS1518" t="str">
            <v>1.0</v>
          </cell>
          <cell r="AV1518" t="b">
            <v>0</v>
          </cell>
          <cell r="EX1518" t="str">
            <v>1YWB41265A1</v>
          </cell>
          <cell r="HD1518" t="str">
            <v>Repair Shop</v>
          </cell>
          <cell r="HT1518" t="b">
            <v>0</v>
          </cell>
          <cell r="HU1518" t="str">
            <v>TURBO MACHINE</v>
          </cell>
        </row>
        <row r="1519">
          <cell r="A1519">
            <v>1217</v>
          </cell>
          <cell r="B1519" t="str">
            <v>VEM0190</v>
          </cell>
          <cell r="D1519" t="str">
            <v>NAPAVALLEY</v>
          </cell>
          <cell r="F1519" t="str">
            <v>Baldor</v>
          </cell>
          <cell r="H1519" t="str">
            <v>F0206132240</v>
          </cell>
          <cell r="I1519" t="str">
            <v>215JM</v>
          </cell>
          <cell r="K1519" t="str">
            <v>15</v>
          </cell>
          <cell r="L1519" t="str">
            <v>3450</v>
          </cell>
          <cell r="O1519" t="str">
            <v>Half w/ Cord</v>
          </cell>
          <cell r="P1519" t="str">
            <v>ODP</v>
          </cell>
          <cell r="R1519" t="str">
            <v>Continuous</v>
          </cell>
          <cell r="U1519" t="str">
            <v>40</v>
          </cell>
          <cell r="V1519" t="str">
            <v>3</v>
          </cell>
          <cell r="W1519" t="str">
            <v>60</v>
          </cell>
          <cell r="X1519" t="str">
            <v>208-230/460</v>
          </cell>
          <cell r="Y1519" t="str">
            <v>38-36/18</v>
          </cell>
          <cell r="AD1519" t="str">
            <v>0</v>
          </cell>
          <cell r="AG1519" t="str">
            <v>HP</v>
          </cell>
          <cell r="AI1519" t="str">
            <v>6309</v>
          </cell>
          <cell r="AJ1519" t="str">
            <v>6206</v>
          </cell>
          <cell r="AO1519" t="str">
            <v>B</v>
          </cell>
          <cell r="AP1519" t="str">
            <v>G</v>
          </cell>
          <cell r="AQ1519" t="str">
            <v>F</v>
          </cell>
          <cell r="AR1519" t="str">
            <v>92</v>
          </cell>
          <cell r="AS1519" t="str">
            <v>1.15</v>
          </cell>
          <cell r="AT1519" t="str">
            <v>85.5</v>
          </cell>
          <cell r="AV1519" t="b">
            <v>0</v>
          </cell>
          <cell r="EW1519" t="str">
            <v>1MM3314T</v>
          </cell>
          <cell r="GK1519" t="str">
            <v>CORD IS ACTUALLY CONDUIT</v>
          </cell>
          <cell r="HD1519" t="str">
            <v>Repair Shop</v>
          </cell>
          <cell r="HT1519" t="b">
            <v>0</v>
          </cell>
          <cell r="HU1519" t="str">
            <v>NAPA VALLEY UNIFIED SCHOOL DIST</v>
          </cell>
        </row>
        <row r="1520">
          <cell r="A1520">
            <v>1216</v>
          </cell>
          <cell r="B1520" t="str">
            <v>VEM0189</v>
          </cell>
          <cell r="D1520" t="str">
            <v>P66</v>
          </cell>
          <cell r="F1520" t="str">
            <v>Baldor</v>
          </cell>
          <cell r="H1520" t="str">
            <v>W1407224355</v>
          </cell>
          <cell r="I1520" t="str">
            <v>56C</v>
          </cell>
          <cell r="K1520" t="str">
            <v>.5</v>
          </cell>
          <cell r="L1520" t="str">
            <v>1725</v>
          </cell>
          <cell r="O1520" t="str">
            <v>Full no Cord</v>
          </cell>
          <cell r="P1520" t="str">
            <v>EXP</v>
          </cell>
          <cell r="R1520" t="str">
            <v>Continuous</v>
          </cell>
          <cell r="T1520" t="str">
            <v>NONE</v>
          </cell>
          <cell r="V1520" t="str">
            <v>3</v>
          </cell>
          <cell r="W1520" t="str">
            <v>60</v>
          </cell>
          <cell r="X1520" t="str">
            <v>208-230/460</v>
          </cell>
          <cell r="Y1520" t="str">
            <v>2.1-2/1</v>
          </cell>
          <cell r="AG1520" t="str">
            <v>HP</v>
          </cell>
          <cell r="AO1520" t="str">
            <v>B</v>
          </cell>
          <cell r="AP1520" t="str">
            <v>L</v>
          </cell>
          <cell r="AQ1520" t="str">
            <v>B</v>
          </cell>
          <cell r="AR1520" t="str">
            <v>63</v>
          </cell>
          <cell r="AS1520" t="str">
            <v>1.00</v>
          </cell>
          <cell r="AT1520" t="str">
            <v>74</v>
          </cell>
          <cell r="AU1520" t="str">
            <v>34-5329-1543</v>
          </cell>
          <cell r="AV1520" t="b">
            <v>0</v>
          </cell>
          <cell r="EW1520" t="str">
            <v>CM7006A</v>
          </cell>
          <cell r="GZ1520" t="str">
            <v>D</v>
          </cell>
          <cell r="HA1520" t="str">
            <v>1</v>
          </cell>
          <cell r="HD1520" t="str">
            <v>Repair Shop</v>
          </cell>
          <cell r="HT1520" t="b">
            <v>0</v>
          </cell>
          <cell r="HU1520" t="str">
            <v>PHILLIPS 66</v>
          </cell>
        </row>
        <row r="1521">
          <cell r="A1521">
            <v>1215</v>
          </cell>
          <cell r="B1521" t="str">
            <v>VEM0188</v>
          </cell>
          <cell r="D1521" t="str">
            <v>SILVERADO</v>
          </cell>
          <cell r="F1521" t="str">
            <v>GE</v>
          </cell>
          <cell r="G1521" t="str">
            <v>5K182AL2449B</v>
          </cell>
          <cell r="H1521" t="str">
            <v>JPF</v>
          </cell>
          <cell r="I1521" t="str">
            <v>182T</v>
          </cell>
          <cell r="K1521" t="str">
            <v>3</v>
          </cell>
          <cell r="L1521" t="str">
            <v>1755</v>
          </cell>
          <cell r="M1521" t="str">
            <v>K</v>
          </cell>
          <cell r="O1521" t="str">
            <v>Full no Cord</v>
          </cell>
          <cell r="P1521" t="str">
            <v>TEFC</v>
          </cell>
          <cell r="R1521" t="str">
            <v>Continuous</v>
          </cell>
          <cell r="T1521" t="str">
            <v>NONE</v>
          </cell>
          <cell r="U1521" t="str">
            <v>40</v>
          </cell>
          <cell r="V1521" t="str">
            <v>3</v>
          </cell>
          <cell r="W1521" t="str">
            <v>60</v>
          </cell>
          <cell r="X1521" t="str">
            <v>200</v>
          </cell>
          <cell r="Y1521" t="str">
            <v>10.6</v>
          </cell>
          <cell r="AD1521" t="str">
            <v>0</v>
          </cell>
          <cell r="AG1521" t="str">
            <v>HP</v>
          </cell>
          <cell r="AO1521" t="str">
            <v>B</v>
          </cell>
          <cell r="AQ1521" t="str">
            <v>A</v>
          </cell>
          <cell r="AS1521" t="str">
            <v>1.156</v>
          </cell>
          <cell r="AV1521" t="b">
            <v>0</v>
          </cell>
          <cell r="HD1521" t="str">
            <v>Repair Shop</v>
          </cell>
          <cell r="HT1521" t="b">
            <v>0</v>
          </cell>
          <cell r="HU1521" t="str">
            <v>SILVERADO RESORT</v>
          </cell>
        </row>
        <row r="1522">
          <cell r="A1522">
            <v>1214</v>
          </cell>
          <cell r="B1522" t="str">
            <v>VEM0187</v>
          </cell>
          <cell r="D1522" t="str">
            <v>UNICO</v>
          </cell>
          <cell r="F1522" t="str">
            <v>US Motors</v>
          </cell>
          <cell r="I1522" t="str">
            <v>256LP</v>
          </cell>
          <cell r="K1522" t="str">
            <v>20</v>
          </cell>
          <cell r="L1522" t="str">
            <v>3500</v>
          </cell>
          <cell r="M1522" t="str">
            <v>TVC-9</v>
          </cell>
          <cell r="O1522" t="str">
            <v>None</v>
          </cell>
          <cell r="P1522" t="str">
            <v>TEFC</v>
          </cell>
          <cell r="R1522" t="str">
            <v>Continuous</v>
          </cell>
          <cell r="T1522" t="str">
            <v>NONE</v>
          </cell>
          <cell r="U1522" t="str">
            <v>75</v>
          </cell>
          <cell r="V1522" t="str">
            <v>3</v>
          </cell>
          <cell r="W1522" t="str">
            <v>60</v>
          </cell>
          <cell r="X1522" t="str">
            <v>230/460</v>
          </cell>
          <cell r="Y1522" t="str">
            <v>48.8/24.4</v>
          </cell>
          <cell r="AG1522" t="str">
            <v>HP</v>
          </cell>
          <cell r="AI1522" t="str">
            <v>5212</v>
          </cell>
          <cell r="AJ1522" t="str">
            <v>6207</v>
          </cell>
          <cell r="AO1522" t="str">
            <v>B</v>
          </cell>
          <cell r="AP1522" t="str">
            <v>G</v>
          </cell>
          <cell r="AS1522" t="str">
            <v>1.0</v>
          </cell>
          <cell r="AV1522" t="b">
            <v>0</v>
          </cell>
          <cell r="EX1522" t="str">
            <v>9602848-825</v>
          </cell>
          <cell r="GK1522" t="str">
            <v>LEADS WERE NOT SEALED</v>
          </cell>
          <cell r="GL1522" t="str">
            <v>9 LEADS ONLY</v>
          </cell>
          <cell r="HD1522" t="str">
            <v>Repair Shop</v>
          </cell>
          <cell r="HT1522" t="b">
            <v>0</v>
          </cell>
          <cell r="HU1522" t="str">
            <v>UNICO MECHANICAL CORP.</v>
          </cell>
        </row>
        <row r="1523">
          <cell r="A1523">
            <v>1211</v>
          </cell>
          <cell r="B1523" t="str">
            <v>VEM0184</v>
          </cell>
          <cell r="D1523" t="str">
            <v>VALERO</v>
          </cell>
          <cell r="F1523" t="str">
            <v>US Motors</v>
          </cell>
          <cell r="G1523" t="str">
            <v>DH85</v>
          </cell>
          <cell r="I1523" t="str">
            <v>184T</v>
          </cell>
          <cell r="K1523" t="str">
            <v>5</v>
          </cell>
          <cell r="L1523" t="str">
            <v>3515</v>
          </cell>
          <cell r="O1523" t="str">
            <v>Full no Cord</v>
          </cell>
          <cell r="P1523" t="str">
            <v>TEFC</v>
          </cell>
          <cell r="Q1523" t="str">
            <v>No</v>
          </cell>
          <cell r="R1523" t="str">
            <v>Continuous</v>
          </cell>
          <cell r="S1523" t="str">
            <v>Yes</v>
          </cell>
          <cell r="T1523" t="str">
            <v>YES</v>
          </cell>
          <cell r="U1523" t="str">
            <v>40C</v>
          </cell>
          <cell r="V1523" t="str">
            <v>3</v>
          </cell>
          <cell r="W1523" t="str">
            <v>60</v>
          </cell>
          <cell r="X1523" t="str">
            <v>230/460</v>
          </cell>
          <cell r="Z1523" t="str">
            <v>V-RING</v>
          </cell>
          <cell r="AA1523" t="str">
            <v>F1</v>
          </cell>
          <cell r="AD1523" t="str">
            <v>-1</v>
          </cell>
          <cell r="AG1523" t="str">
            <v>HP</v>
          </cell>
          <cell r="AI1523" t="str">
            <v>6206-J/C3</v>
          </cell>
          <cell r="AJ1523" t="str">
            <v>6206-J/C3</v>
          </cell>
          <cell r="AO1523" t="str">
            <v>B</v>
          </cell>
          <cell r="AP1523" t="str">
            <v>J</v>
          </cell>
          <cell r="AQ1523" t="str">
            <v>F</v>
          </cell>
          <cell r="AR1523" t="str">
            <v>87</v>
          </cell>
          <cell r="AS1523" t="str">
            <v>1.15</v>
          </cell>
          <cell r="AT1523" t="str">
            <v>89.5</v>
          </cell>
          <cell r="AV1523" t="b">
            <v>0</v>
          </cell>
          <cell r="AW1523" t="str">
            <v>12.6/6.3</v>
          </cell>
          <cell r="EW1523" t="str">
            <v>C5P1B</v>
          </cell>
          <cell r="EX1523" t="str">
            <v>W 07 7625070-0013 M 0002</v>
          </cell>
          <cell r="HD1523" t="str">
            <v>Repair Shop</v>
          </cell>
          <cell r="HT1523" t="b">
            <v>0</v>
          </cell>
          <cell r="HU1523" t="str">
            <v>VALERO REFINING CO. BENICIA</v>
          </cell>
        </row>
        <row r="1524">
          <cell r="A1524">
            <v>1210</v>
          </cell>
          <cell r="B1524" t="str">
            <v>VEM0183</v>
          </cell>
          <cell r="D1524" t="str">
            <v>CONHAGEN</v>
          </cell>
          <cell r="F1524" t="str">
            <v>Baldor</v>
          </cell>
          <cell r="H1524" t="str">
            <v>W16030743??</v>
          </cell>
          <cell r="I1524" t="str">
            <v>56C</v>
          </cell>
          <cell r="K1524" t="str">
            <v>.5</v>
          </cell>
          <cell r="L1524" t="str">
            <v>1725</v>
          </cell>
          <cell r="O1524" t="str">
            <v>Full no Cord</v>
          </cell>
          <cell r="P1524" t="str">
            <v>EXP</v>
          </cell>
          <cell r="R1524" t="str">
            <v>Continuous</v>
          </cell>
          <cell r="T1524" t="str">
            <v>NONE</v>
          </cell>
          <cell r="U1524" t="str">
            <v>40</v>
          </cell>
          <cell r="V1524" t="str">
            <v>3</v>
          </cell>
          <cell r="W1524" t="str">
            <v>60</v>
          </cell>
          <cell r="X1524" t="str">
            <v>115/208-230</v>
          </cell>
          <cell r="Y1524" t="str">
            <v>7.4/3.9-3.7</v>
          </cell>
          <cell r="AD1524" t="str">
            <v>0</v>
          </cell>
          <cell r="AG1524" t="str">
            <v>HP</v>
          </cell>
          <cell r="AO1524" t="str">
            <v>N</v>
          </cell>
          <cell r="AP1524" t="str">
            <v>J</v>
          </cell>
          <cell r="AQ1524" t="str">
            <v>B</v>
          </cell>
          <cell r="AR1524" t="str">
            <v>66%</v>
          </cell>
          <cell r="AS1524" t="str">
            <v>1.00</v>
          </cell>
          <cell r="AT1524" t="str">
            <v>64%</v>
          </cell>
          <cell r="AU1524" t="str">
            <v>34-5335W369</v>
          </cell>
          <cell r="AV1524" t="b">
            <v>0</v>
          </cell>
          <cell r="EW1524" t="str">
            <v>VL5004A</v>
          </cell>
          <cell r="GK1524" t="str">
            <v>NAMEPLATE NO.B54337675.</v>
          </cell>
          <cell r="HD1524" t="str">
            <v>Repair Shop</v>
          </cell>
          <cell r="HT1524" t="b">
            <v>0</v>
          </cell>
          <cell r="HU1524" t="str">
            <v>ALFRED CONHAGEN CO. OF CA</v>
          </cell>
        </row>
        <row r="1525">
          <cell r="A1525">
            <v>1209</v>
          </cell>
          <cell r="B1525" t="str">
            <v>VEM0182</v>
          </cell>
          <cell r="D1525" t="str">
            <v>JACKSON</v>
          </cell>
          <cell r="F1525" t="str">
            <v>WEG</v>
          </cell>
          <cell r="G1525" t="str">
            <v>Q-06018ET3E364TSCF2W22</v>
          </cell>
          <cell r="I1525" t="str">
            <v>364/5TSC</v>
          </cell>
          <cell r="K1525" t="str">
            <v>60</v>
          </cell>
          <cell r="L1525" t="str">
            <v>1775</v>
          </cell>
          <cell r="N1525" t="str">
            <v>929</v>
          </cell>
          <cell r="O1525" t="str">
            <v>Half no Cord</v>
          </cell>
          <cell r="R1525" t="str">
            <v>Continuous</v>
          </cell>
          <cell r="T1525" t="str">
            <v>YES</v>
          </cell>
          <cell r="V1525" t="str">
            <v>3</v>
          </cell>
          <cell r="W1525" t="str">
            <v>60</v>
          </cell>
          <cell r="X1525" t="str">
            <v>230/460</v>
          </cell>
          <cell r="Y1525" t="str">
            <v>137/68.3</v>
          </cell>
          <cell r="AG1525" t="str">
            <v>HP</v>
          </cell>
          <cell r="AI1525" t="str">
            <v>6314</v>
          </cell>
          <cell r="AJ1525" t="str">
            <v>6314</v>
          </cell>
          <cell r="AO1525" t="str">
            <v>B</v>
          </cell>
          <cell r="AP1525" t="str">
            <v>G</v>
          </cell>
          <cell r="AS1525" t="str">
            <v>1.25</v>
          </cell>
          <cell r="AV1525" t="b">
            <v>0</v>
          </cell>
          <cell r="HD1525" t="str">
            <v>Repair Shop</v>
          </cell>
          <cell r="HT1525" t="b">
            <v>0</v>
          </cell>
          <cell r="HU1525" t="str">
            <v>JACKSON FAMILY WINES</v>
          </cell>
        </row>
        <row r="1526">
          <cell r="A1526">
            <v>1208</v>
          </cell>
          <cell r="B1526" t="str">
            <v>VEM0181</v>
          </cell>
          <cell r="D1526" t="str">
            <v>CASHSALES</v>
          </cell>
          <cell r="F1526" t="str">
            <v>NOT SURE</v>
          </cell>
          <cell r="G1526" t="str">
            <v>NOT SURE</v>
          </cell>
          <cell r="H1526" t="str">
            <v>NOT SURE</v>
          </cell>
          <cell r="I1526" t="str">
            <v>364/5TSC</v>
          </cell>
          <cell r="K1526" t="str">
            <v>60</v>
          </cell>
          <cell r="L1526" t="str">
            <v>1800</v>
          </cell>
          <cell r="P1526" t="str">
            <v>TEFC</v>
          </cell>
          <cell r="X1526" t="str">
            <v>460</v>
          </cell>
          <cell r="AG1526" t="str">
            <v>HP</v>
          </cell>
          <cell r="AV1526" t="b">
            <v>0</v>
          </cell>
          <cell r="AX1526" t="str">
            <v>4</v>
          </cell>
          <cell r="HD1526" t="str">
            <v>Repair Shop</v>
          </cell>
          <cell r="HT1526" t="b">
            <v>0</v>
          </cell>
          <cell r="HU1526" t="str">
            <v>CASH SALES</v>
          </cell>
        </row>
        <row r="1527">
          <cell r="A1527">
            <v>1206</v>
          </cell>
          <cell r="B1527" t="str">
            <v>VEM0179</v>
          </cell>
          <cell r="D1527" t="str">
            <v>CONHAGEN</v>
          </cell>
          <cell r="F1527" t="str">
            <v>Baldor</v>
          </cell>
          <cell r="H1527" t="str">
            <v>391C</v>
          </cell>
          <cell r="I1527" t="str">
            <v>254LP</v>
          </cell>
          <cell r="K1527" t="str">
            <v>15</v>
          </cell>
          <cell r="L1527" t="str">
            <v>3525</v>
          </cell>
          <cell r="O1527" t="str">
            <v>Full no Cord</v>
          </cell>
          <cell r="R1527" t="str">
            <v>Continuous</v>
          </cell>
          <cell r="T1527" t="str">
            <v>NONE</v>
          </cell>
          <cell r="U1527" t="str">
            <v>40</v>
          </cell>
          <cell r="V1527" t="str">
            <v>3</v>
          </cell>
          <cell r="W1527" t="str">
            <v>60</v>
          </cell>
          <cell r="X1527" t="str">
            <v>208-230/460</v>
          </cell>
          <cell r="Y1527" t="str">
            <v>38-36/18</v>
          </cell>
          <cell r="AG1527" t="str">
            <v>HP</v>
          </cell>
          <cell r="AO1527" t="str">
            <v>B</v>
          </cell>
          <cell r="AP1527" t="str">
            <v>G</v>
          </cell>
          <cell r="AS1527" t="str">
            <v>1.15</v>
          </cell>
          <cell r="AU1527" t="str">
            <v>09T01W306</v>
          </cell>
          <cell r="AV1527" t="b">
            <v>0</v>
          </cell>
          <cell r="EW1527" t="str">
            <v>VLCP2394T</v>
          </cell>
          <cell r="HD1527" t="str">
            <v>Repair Shop</v>
          </cell>
          <cell r="HT1527" t="b">
            <v>0</v>
          </cell>
          <cell r="HU1527" t="str">
            <v>ALFRED CONHAGEN CO. OF CA</v>
          </cell>
        </row>
        <row r="1528">
          <cell r="A1528">
            <v>1205</v>
          </cell>
          <cell r="B1528" t="str">
            <v>VEM0178</v>
          </cell>
          <cell r="D1528" t="str">
            <v>CONHAGEN</v>
          </cell>
          <cell r="F1528" t="str">
            <v>Siemens</v>
          </cell>
          <cell r="H1528" t="str">
            <v>E1210093BP</v>
          </cell>
          <cell r="I1528" t="str">
            <v>364LP</v>
          </cell>
          <cell r="K1528" t="str">
            <v>60</v>
          </cell>
          <cell r="L1528" t="str">
            <v>3565</v>
          </cell>
          <cell r="O1528" t="str">
            <v>Full no Cord</v>
          </cell>
          <cell r="R1528" t="str">
            <v>Continuous</v>
          </cell>
          <cell r="T1528" t="str">
            <v>NONE</v>
          </cell>
          <cell r="V1528" t="str">
            <v>3</v>
          </cell>
          <cell r="W1528" t="str">
            <v>60</v>
          </cell>
          <cell r="X1528" t="str">
            <v>460</v>
          </cell>
          <cell r="Y1528" t="str">
            <v>68</v>
          </cell>
          <cell r="AG1528" t="str">
            <v>HP</v>
          </cell>
          <cell r="AO1528" t="str">
            <v>B</v>
          </cell>
          <cell r="AP1528" t="str">
            <v>G</v>
          </cell>
          <cell r="AT1528" t="str">
            <v>92.4</v>
          </cell>
          <cell r="AV1528" t="b">
            <v>0</v>
          </cell>
          <cell r="HD1528" t="str">
            <v>Repair Shop</v>
          </cell>
          <cell r="HT1528" t="b">
            <v>0</v>
          </cell>
          <cell r="HU1528" t="str">
            <v>ALFRED CONHAGEN CO. OF CA</v>
          </cell>
        </row>
        <row r="1529">
          <cell r="A1529">
            <v>1204</v>
          </cell>
          <cell r="B1529" t="str">
            <v>VEM0177</v>
          </cell>
          <cell r="D1529" t="str">
            <v>CONHAGEN</v>
          </cell>
          <cell r="F1529" t="str">
            <v>Westinghouse</v>
          </cell>
          <cell r="G1529" t="str">
            <v>ABFC</v>
          </cell>
          <cell r="H1529" t="str">
            <v>3</v>
          </cell>
          <cell r="I1529" t="str">
            <v>326UP</v>
          </cell>
          <cell r="K1529" t="str">
            <v>40</v>
          </cell>
          <cell r="L1529" t="str">
            <v>1770</v>
          </cell>
          <cell r="O1529" t="str">
            <v>Full no Cord</v>
          </cell>
          <cell r="R1529" t="str">
            <v>Continuous</v>
          </cell>
          <cell r="T1529" t="str">
            <v>NONE</v>
          </cell>
          <cell r="V1529" t="str">
            <v>3</v>
          </cell>
          <cell r="W1529" t="str">
            <v>60</v>
          </cell>
          <cell r="X1529" t="str">
            <v>460</v>
          </cell>
          <cell r="Y1529" t="str">
            <v>47</v>
          </cell>
          <cell r="AG1529" t="str">
            <v>HP</v>
          </cell>
          <cell r="AV1529" t="b">
            <v>0</v>
          </cell>
          <cell r="HD1529" t="str">
            <v>Repair Shop</v>
          </cell>
          <cell r="HT1529" t="b">
            <v>0</v>
          </cell>
          <cell r="HU1529" t="str">
            <v>ALFRED CONHAGEN CO. OF CA</v>
          </cell>
        </row>
        <row r="1530">
          <cell r="A1530">
            <v>1203</v>
          </cell>
          <cell r="B1530" t="str">
            <v>VEM0176</v>
          </cell>
          <cell r="D1530" t="str">
            <v>CORK</v>
          </cell>
          <cell r="F1530" t="str">
            <v>PUJOL MANTALA</v>
          </cell>
          <cell r="H1530" t="str">
            <v>3604062020-23191038</v>
          </cell>
          <cell r="K1530" t="str">
            <v>0.44</v>
          </cell>
          <cell r="L1530" t="str">
            <v>1680</v>
          </cell>
          <cell r="O1530" t="str">
            <v>Full no Cord</v>
          </cell>
          <cell r="V1530" t="str">
            <v>3</v>
          </cell>
          <cell r="W1530" t="str">
            <v>60</v>
          </cell>
          <cell r="X1530" t="str">
            <v>250-280/440-480</v>
          </cell>
          <cell r="Y1530" t="str">
            <v>1.9/1.1</v>
          </cell>
          <cell r="AG1530" t="str">
            <v>KW</v>
          </cell>
          <cell r="AV1530" t="b">
            <v>0</v>
          </cell>
          <cell r="HD1530" t="str">
            <v>Repair Shop</v>
          </cell>
          <cell r="HT1530" t="b">
            <v>0</v>
          </cell>
          <cell r="HU1530" t="str">
            <v>CORK SUPPY USA, INC.</v>
          </cell>
        </row>
        <row r="1531">
          <cell r="A1531">
            <v>1202</v>
          </cell>
          <cell r="B1531" t="str">
            <v>VEM0175</v>
          </cell>
          <cell r="D1531" t="str">
            <v>EECO</v>
          </cell>
          <cell r="AG1531" t="str">
            <v>HP</v>
          </cell>
          <cell r="AV1531" t="b">
            <v>0</v>
          </cell>
          <cell r="HD1531" t="str">
            <v>Repair Shop</v>
          </cell>
          <cell r="HT1531" t="b">
            <v>0</v>
          </cell>
          <cell r="HU1531" t="str">
            <v>ELECTRICAL EQUIPMENT CO.</v>
          </cell>
        </row>
        <row r="1532">
          <cell r="A1532">
            <v>1201</v>
          </cell>
          <cell r="B1532" t="str">
            <v>VEM0174</v>
          </cell>
          <cell r="D1532" t="str">
            <v>P66</v>
          </cell>
          <cell r="F1532" t="str">
            <v>Reliance</v>
          </cell>
          <cell r="G1532" t="str">
            <v>SUNDYNE</v>
          </cell>
          <cell r="I1532" t="str">
            <v>184HPZ</v>
          </cell>
          <cell r="K1532" t="str">
            <v>5</v>
          </cell>
          <cell r="L1532" t="str">
            <v>3505</v>
          </cell>
          <cell r="O1532" t="str">
            <v>Full no Cord</v>
          </cell>
          <cell r="R1532" t="str">
            <v>Continuous</v>
          </cell>
          <cell r="T1532" t="str">
            <v>NONE</v>
          </cell>
          <cell r="U1532" t="str">
            <v>40</v>
          </cell>
          <cell r="V1532" t="str">
            <v>3</v>
          </cell>
          <cell r="W1532" t="str">
            <v>60</v>
          </cell>
          <cell r="X1532" t="str">
            <v>460</v>
          </cell>
          <cell r="Y1532" t="str">
            <v>6</v>
          </cell>
          <cell r="AG1532" t="str">
            <v>HP</v>
          </cell>
          <cell r="AO1532" t="str">
            <v>B</v>
          </cell>
          <cell r="AP1532" t="str">
            <v>J</v>
          </cell>
          <cell r="AR1532" t="str">
            <v>87.7</v>
          </cell>
          <cell r="AT1532" t="str">
            <v>88.5</v>
          </cell>
          <cell r="AV1532" t="b">
            <v>0</v>
          </cell>
          <cell r="EX1532" t="str">
            <v>7357526-001-EK-T1</v>
          </cell>
          <cell r="HD1532" t="str">
            <v>Repair Shop</v>
          </cell>
          <cell r="HT1532" t="b">
            <v>0</v>
          </cell>
          <cell r="HU1532" t="str">
            <v>PHILLIPS 66</v>
          </cell>
        </row>
        <row r="1533">
          <cell r="A1533">
            <v>1200</v>
          </cell>
          <cell r="B1533" t="str">
            <v>VEM0173</v>
          </cell>
          <cell r="D1533" t="str">
            <v>KAISERP</v>
          </cell>
          <cell r="F1533" t="str">
            <v>US Motors</v>
          </cell>
          <cell r="I1533" t="str">
            <v>286T</v>
          </cell>
          <cell r="K1533" t="str">
            <v>20</v>
          </cell>
          <cell r="L1533" t="str">
            <v>1180</v>
          </cell>
          <cell r="M1533" t="str">
            <v>CTI</v>
          </cell>
          <cell r="O1533" t="str">
            <v>Full no Cord</v>
          </cell>
          <cell r="P1533" t="str">
            <v>TEFC</v>
          </cell>
          <cell r="Q1533" t="str">
            <v>No</v>
          </cell>
          <cell r="R1533" t="str">
            <v>Continuous</v>
          </cell>
          <cell r="S1533" t="str">
            <v>Yes</v>
          </cell>
          <cell r="T1533" t="str">
            <v>NONE</v>
          </cell>
          <cell r="U1533" t="str">
            <v>40C</v>
          </cell>
          <cell r="V1533" t="str">
            <v>3</v>
          </cell>
          <cell r="W1533" t="str">
            <v>60</v>
          </cell>
          <cell r="X1533" t="str">
            <v>230/460</v>
          </cell>
          <cell r="Z1533" t="str">
            <v>ENPRO</v>
          </cell>
          <cell r="AA1533" t="str">
            <v>F1</v>
          </cell>
          <cell r="AD1533" t="str">
            <v>0</v>
          </cell>
          <cell r="AG1533" t="str">
            <v>HP</v>
          </cell>
          <cell r="AI1533" t="str">
            <v>6310-2RS-JC3</v>
          </cell>
          <cell r="AJ1533" t="str">
            <v>6310-2RS-JC3</v>
          </cell>
          <cell r="AO1533" t="str">
            <v>B</v>
          </cell>
          <cell r="AP1533" t="str">
            <v>G</v>
          </cell>
          <cell r="AQ1533" t="str">
            <v>F</v>
          </cell>
          <cell r="AR1533" t="str">
            <v>83.3</v>
          </cell>
          <cell r="AS1533" t="str">
            <v>1.15</v>
          </cell>
          <cell r="AT1533" t="str">
            <v>91.7</v>
          </cell>
          <cell r="AV1533" t="b">
            <v>0</v>
          </cell>
          <cell r="AW1533" t="str">
            <v>49/24.5</v>
          </cell>
          <cell r="EW1533" t="str">
            <v>HW20V3E-F1</v>
          </cell>
          <cell r="EX1533" t="str">
            <v>L06-30170406-100-LT-04</v>
          </cell>
          <cell r="HD1533" t="str">
            <v>Repair Shop</v>
          </cell>
          <cell r="HT1533" t="b">
            <v>0</v>
          </cell>
          <cell r="HU1533" t="str">
            <v>KAISERPERMANENTE</v>
          </cell>
        </row>
        <row r="1534">
          <cell r="A1534">
            <v>1199</v>
          </cell>
          <cell r="B1534" t="str">
            <v>VEM0172</v>
          </cell>
          <cell r="D1534" t="str">
            <v>CLEANHARBORS</v>
          </cell>
          <cell r="F1534" t="str">
            <v>UNITEC</v>
          </cell>
          <cell r="H1534" t="str">
            <v>141196</v>
          </cell>
          <cell r="K1534" t="str">
            <v>18.5</v>
          </cell>
          <cell r="L1534" t="str">
            <v>1764</v>
          </cell>
          <cell r="M1534" t="str">
            <v>SSKG180M4</v>
          </cell>
          <cell r="O1534" t="str">
            <v>Half no Cord</v>
          </cell>
          <cell r="R1534" t="str">
            <v>Continuous</v>
          </cell>
          <cell r="T1534" t="str">
            <v>KEY ONLY</v>
          </cell>
          <cell r="V1534" t="str">
            <v>3</v>
          </cell>
          <cell r="W1534" t="str">
            <v>60</v>
          </cell>
          <cell r="X1534" t="str">
            <v>480</v>
          </cell>
          <cell r="Y1534" t="str">
            <v>32.8</v>
          </cell>
          <cell r="AG1534" t="str">
            <v>KW</v>
          </cell>
          <cell r="AV1534" t="b">
            <v>0</v>
          </cell>
          <cell r="HD1534" t="str">
            <v>Repair Shop</v>
          </cell>
          <cell r="HT1534" t="b">
            <v>0</v>
          </cell>
          <cell r="HU1534" t="str">
            <v>CLEAN HARBORS</v>
          </cell>
        </row>
        <row r="1535">
          <cell r="A1535">
            <v>1198</v>
          </cell>
          <cell r="B1535" t="str">
            <v>VEM0171</v>
          </cell>
          <cell r="D1535" t="str">
            <v>CONHAGEN</v>
          </cell>
          <cell r="F1535" t="str">
            <v>Reliance</v>
          </cell>
          <cell r="I1535" t="str">
            <v>284LPH</v>
          </cell>
          <cell r="K1535" t="str">
            <v>25</v>
          </cell>
          <cell r="L1535" t="str">
            <v>1765</v>
          </cell>
          <cell r="M1535" t="str">
            <v>P</v>
          </cell>
          <cell r="O1535" t="str">
            <v>Full no Cord</v>
          </cell>
          <cell r="R1535" t="str">
            <v>Continuous</v>
          </cell>
          <cell r="T1535" t="str">
            <v>NONE</v>
          </cell>
          <cell r="U1535" t="str">
            <v>40</v>
          </cell>
          <cell r="V1535" t="str">
            <v>3</v>
          </cell>
          <cell r="W1535" t="str">
            <v>60</v>
          </cell>
          <cell r="X1535" t="str">
            <v>230/460</v>
          </cell>
          <cell r="Y1535" t="str">
            <v>64/32</v>
          </cell>
          <cell r="AG1535" t="str">
            <v>HP</v>
          </cell>
          <cell r="AO1535" t="str">
            <v>B</v>
          </cell>
          <cell r="AP1535" t="str">
            <v>F</v>
          </cell>
          <cell r="AS1535" t="str">
            <v>1.0</v>
          </cell>
          <cell r="AV1535" t="b">
            <v>0</v>
          </cell>
          <cell r="EX1535" t="str">
            <v>P28G-1350A-G37K-MN6733</v>
          </cell>
          <cell r="HD1535" t="str">
            <v>Repair Shop</v>
          </cell>
          <cell r="HT1535" t="b">
            <v>0</v>
          </cell>
          <cell r="HU1535" t="str">
            <v>ALFRED CONHAGEN CO. OF CA</v>
          </cell>
        </row>
        <row r="1536">
          <cell r="A1536">
            <v>1197</v>
          </cell>
          <cell r="B1536" t="str">
            <v>VEM0170</v>
          </cell>
          <cell r="D1536" t="str">
            <v>TURBO</v>
          </cell>
          <cell r="F1536" t="str">
            <v>US Motors</v>
          </cell>
          <cell r="I1536" t="str">
            <v>182VP</v>
          </cell>
          <cell r="K1536" t="str">
            <v>3</v>
          </cell>
          <cell r="L1536" t="str">
            <v>1740</v>
          </cell>
          <cell r="M1536" t="str">
            <v>LVCE</v>
          </cell>
          <cell r="O1536" t="str">
            <v>Full no Cord</v>
          </cell>
          <cell r="P1536" t="str">
            <v>TEFC</v>
          </cell>
          <cell r="R1536" t="str">
            <v>Continuous</v>
          </cell>
          <cell r="T1536" t="str">
            <v>NONE</v>
          </cell>
          <cell r="U1536" t="str">
            <v>40</v>
          </cell>
          <cell r="V1536" t="str">
            <v>3</v>
          </cell>
          <cell r="W1536" t="str">
            <v>60</v>
          </cell>
          <cell r="X1536" t="str">
            <v>460</v>
          </cell>
          <cell r="Y1536" t="str">
            <v>4.5</v>
          </cell>
          <cell r="AA1536" t="str">
            <v>Vertical</v>
          </cell>
          <cell r="AD1536" t="str">
            <v>-1</v>
          </cell>
          <cell r="AG1536" t="str">
            <v>HP</v>
          </cell>
          <cell r="AH1536" t="str">
            <v>Overloads</v>
          </cell>
          <cell r="AI1536" t="str">
            <v>6308</v>
          </cell>
          <cell r="AJ1536" t="str">
            <v>6205</v>
          </cell>
          <cell r="AO1536" t="str">
            <v>B</v>
          </cell>
          <cell r="AP1536" t="str">
            <v>K</v>
          </cell>
          <cell r="AQ1536" t="str">
            <v>F</v>
          </cell>
          <cell r="AS1536" t="str">
            <v>1.0</v>
          </cell>
          <cell r="AT1536" t="str">
            <v>84.0</v>
          </cell>
          <cell r="AV1536" t="b">
            <v>0</v>
          </cell>
          <cell r="EX1536" t="str">
            <v>G42688/T11T2690223F</v>
          </cell>
          <cell r="HD1536" t="str">
            <v>Repair Shop</v>
          </cell>
          <cell r="HT1536" t="b">
            <v>0</v>
          </cell>
          <cell r="HU1536" t="str">
            <v>TURBO MACHINE</v>
          </cell>
        </row>
        <row r="1537">
          <cell r="A1537">
            <v>1196</v>
          </cell>
          <cell r="B1537" t="str">
            <v>VEM0169</v>
          </cell>
          <cell r="D1537" t="str">
            <v>P66</v>
          </cell>
          <cell r="F1537" t="str">
            <v>Westinghouse</v>
          </cell>
          <cell r="H1537" t="str">
            <v>16G5105</v>
          </cell>
          <cell r="I1537" t="str">
            <v>404S</v>
          </cell>
          <cell r="K1537" t="str">
            <v>30</v>
          </cell>
          <cell r="L1537" t="str">
            <v>3500</v>
          </cell>
          <cell r="O1537" t="str">
            <v>Full no Cord</v>
          </cell>
          <cell r="R1537" t="str">
            <v>Continuous</v>
          </cell>
          <cell r="T1537" t="str">
            <v>flush</v>
          </cell>
          <cell r="V1537" t="str">
            <v>3</v>
          </cell>
          <cell r="W1537" t="str">
            <v>60</v>
          </cell>
          <cell r="X1537" t="str">
            <v>220/440</v>
          </cell>
          <cell r="Y1537" t="str">
            <v>72/36</v>
          </cell>
          <cell r="AG1537" t="str">
            <v>HP</v>
          </cell>
          <cell r="AV1537" t="b">
            <v>0</v>
          </cell>
          <cell r="EY1537" t="str">
            <v>1071231</v>
          </cell>
          <cell r="HD1537" t="str">
            <v>Repair Shop</v>
          </cell>
          <cell r="HT1537" t="b">
            <v>0</v>
          </cell>
          <cell r="HU1537" t="str">
            <v>PHILLIPS 66</v>
          </cell>
        </row>
        <row r="1538">
          <cell r="A1538">
            <v>1195</v>
          </cell>
          <cell r="B1538" t="str">
            <v>VEM0168</v>
          </cell>
          <cell r="D1538" t="str">
            <v>CONHAGEN</v>
          </cell>
          <cell r="F1538" t="str">
            <v>Westinghouse</v>
          </cell>
          <cell r="G1538" t="str">
            <v>TBFC</v>
          </cell>
          <cell r="H1538" t="str">
            <v>6712</v>
          </cell>
          <cell r="I1538" t="str">
            <v>254TP</v>
          </cell>
          <cell r="K1538" t="str">
            <v>15</v>
          </cell>
          <cell r="L1538" t="str">
            <v>3505</v>
          </cell>
          <cell r="O1538" t="str">
            <v>Full no Cord</v>
          </cell>
          <cell r="R1538" t="str">
            <v>Continuous</v>
          </cell>
          <cell r="T1538" t="str">
            <v>yes</v>
          </cell>
          <cell r="V1538" t="str">
            <v>3</v>
          </cell>
          <cell r="W1538" t="str">
            <v>60</v>
          </cell>
          <cell r="X1538" t="str">
            <v>230/460</v>
          </cell>
          <cell r="Y1538" t="str">
            <v>36/18</v>
          </cell>
          <cell r="AG1538" t="str">
            <v>HP</v>
          </cell>
          <cell r="AS1538" t="str">
            <v>1.0</v>
          </cell>
          <cell r="AV1538" t="b">
            <v>0</v>
          </cell>
          <cell r="HD1538" t="str">
            <v>Repair Shop</v>
          </cell>
          <cell r="HT1538" t="b">
            <v>0</v>
          </cell>
          <cell r="HU1538" t="str">
            <v>ALFRED CONHAGEN CO. OF CA</v>
          </cell>
        </row>
        <row r="1539">
          <cell r="A1539">
            <v>1193</v>
          </cell>
          <cell r="B1539" t="str">
            <v>VEM0166</v>
          </cell>
          <cell r="D1539" t="str">
            <v>ALAMILLOSTEEL</v>
          </cell>
          <cell r="F1539" t="str">
            <v>SEW EURO DRIVE</v>
          </cell>
          <cell r="K1539" t="str">
            <v>0.55</v>
          </cell>
          <cell r="L1539" t="str">
            <v>1360/13</v>
          </cell>
          <cell r="M1539" t="str">
            <v>KA47DI80K4/BMG/TF/ES1S</v>
          </cell>
          <cell r="P1539" t="str">
            <v>TEFC</v>
          </cell>
          <cell r="X1539" t="str">
            <v>230/400</v>
          </cell>
          <cell r="AG1539" t="str">
            <v>KW</v>
          </cell>
          <cell r="AV1539" t="b">
            <v>0</v>
          </cell>
          <cell r="AW1539" t="str">
            <v>3</v>
          </cell>
          <cell r="GK1539" t="str">
            <v>BRAKE230</v>
          </cell>
          <cell r="HD1539" t="str">
            <v>Repair Shop</v>
          </cell>
          <cell r="HT1539" t="b">
            <v>0</v>
          </cell>
          <cell r="HU1539" t="str">
            <v>ALAMILLO STEEL</v>
          </cell>
        </row>
        <row r="1540">
          <cell r="A1540">
            <v>1192</v>
          </cell>
          <cell r="B1540" t="str">
            <v>VEM0165</v>
          </cell>
          <cell r="D1540" t="str">
            <v>LIPSEYS</v>
          </cell>
          <cell r="F1540" t="str">
            <v>Dayton</v>
          </cell>
          <cell r="G1540" t="str">
            <v>9AXT6</v>
          </cell>
          <cell r="I1540" t="str">
            <v>56Y</v>
          </cell>
          <cell r="K1540" t="str">
            <v>5</v>
          </cell>
          <cell r="L1540" t="str">
            <v>3450</v>
          </cell>
          <cell r="P1540" t="str">
            <v>ODP</v>
          </cell>
          <cell r="R1540" t="str">
            <v>Continuous</v>
          </cell>
          <cell r="V1540" t="str">
            <v>1</v>
          </cell>
          <cell r="X1540" t="str">
            <v>230</v>
          </cell>
          <cell r="Y1540" t="str">
            <v>21.5</v>
          </cell>
          <cell r="AD1540" t="str">
            <v>0</v>
          </cell>
          <cell r="AG1540" t="str">
            <v>HP</v>
          </cell>
          <cell r="AQ1540" t="str">
            <v>B</v>
          </cell>
          <cell r="AS1540" t="str">
            <v>1.15</v>
          </cell>
          <cell r="AV1540" t="b">
            <v>0</v>
          </cell>
          <cell r="GK1540" t="str">
            <v>MFG NO A502B</v>
          </cell>
          <cell r="HD1540" t="str">
            <v>Repair Shop</v>
          </cell>
          <cell r="HT1540" t="b">
            <v>0</v>
          </cell>
          <cell r="HU1540" t="str">
            <v>LIPSEYS MUFFLER &amp; TIRE</v>
          </cell>
        </row>
        <row r="1541">
          <cell r="A1541">
            <v>1191</v>
          </cell>
          <cell r="B1541" t="str">
            <v>VEM0164</v>
          </cell>
          <cell r="D1541" t="str">
            <v>P66</v>
          </cell>
          <cell r="F1541" t="str">
            <v>U.S.</v>
          </cell>
          <cell r="G1541" t="str">
            <v>RD-391-00-271</v>
          </cell>
          <cell r="H1541" t="str">
            <v>R2039809</v>
          </cell>
          <cell r="I1541" t="str">
            <v>324HP</v>
          </cell>
          <cell r="K1541" t="str">
            <v>40</v>
          </cell>
          <cell r="L1541" t="str">
            <v>3500</v>
          </cell>
          <cell r="M1541" t="str">
            <v>TV-9</v>
          </cell>
          <cell r="O1541" t="str">
            <v>None</v>
          </cell>
          <cell r="P1541" t="str">
            <v>TEFC</v>
          </cell>
          <cell r="Q1541" t="str">
            <v>No</v>
          </cell>
          <cell r="R1541" t="str">
            <v>Continuous</v>
          </cell>
          <cell r="S1541" t="str">
            <v>Yes</v>
          </cell>
          <cell r="T1541" t="str">
            <v>NONE</v>
          </cell>
          <cell r="U1541" t="str">
            <v>40C</v>
          </cell>
          <cell r="V1541" t="str">
            <v>3</v>
          </cell>
          <cell r="W1541" t="str">
            <v>60</v>
          </cell>
          <cell r="X1541" t="str">
            <v>230/460</v>
          </cell>
          <cell r="AA1541" t="str">
            <v>Vertical</v>
          </cell>
          <cell r="AG1541" t="str">
            <v>HP</v>
          </cell>
          <cell r="AI1541" t="str">
            <v>5312</v>
          </cell>
          <cell r="AJ1541" t="str">
            <v>6211</v>
          </cell>
          <cell r="AO1541" t="str">
            <v>B</v>
          </cell>
          <cell r="AP1541" t="str">
            <v>G</v>
          </cell>
          <cell r="AQ1541" t="str">
            <v>B</v>
          </cell>
          <cell r="AS1541" t="str">
            <v>1.0</v>
          </cell>
          <cell r="AV1541" t="b">
            <v>0</v>
          </cell>
          <cell r="AW1541" t="str">
            <v>95/47.5</v>
          </cell>
          <cell r="HD1541" t="str">
            <v>Repair Shop</v>
          </cell>
          <cell r="HT1541" t="b">
            <v>0</v>
          </cell>
          <cell r="HU1541" t="str">
            <v>PHILLIPS 66</v>
          </cell>
        </row>
        <row r="1542">
          <cell r="A1542">
            <v>1190</v>
          </cell>
          <cell r="B1542" t="str">
            <v>VEM0163</v>
          </cell>
          <cell r="D1542" t="str">
            <v>PICTUREPERFECT</v>
          </cell>
          <cell r="AD1542" t="str">
            <v>0</v>
          </cell>
          <cell r="AG1542" t="str">
            <v>HP</v>
          </cell>
          <cell r="AV1542" t="b">
            <v>0</v>
          </cell>
          <cell r="HD1542" t="str">
            <v>Repair Shop</v>
          </cell>
          <cell r="HT1542" t="b">
            <v>0</v>
          </cell>
          <cell r="HU1542" t="str">
            <v>PICTURE PERFECT POOLS</v>
          </cell>
        </row>
        <row r="1543">
          <cell r="A1543">
            <v>1189</v>
          </cell>
          <cell r="B1543" t="str">
            <v>VEM0162</v>
          </cell>
          <cell r="D1543" t="str">
            <v>EECO</v>
          </cell>
          <cell r="AV1543" t="b">
            <v>0</v>
          </cell>
          <cell r="HD1543" t="str">
            <v>Repair Shop</v>
          </cell>
          <cell r="HT1543" t="b">
            <v>0</v>
          </cell>
          <cell r="HU1543" t="str">
            <v>ELECTRICAL EQUIPMENT CO.</v>
          </cell>
        </row>
        <row r="1544">
          <cell r="A1544">
            <v>1188</v>
          </cell>
          <cell r="B1544" t="str">
            <v>VEM0161</v>
          </cell>
          <cell r="D1544" t="str">
            <v>VALLEJOSCHOOLS</v>
          </cell>
          <cell r="F1544" t="str">
            <v>Leroy-Somer</v>
          </cell>
          <cell r="I1544" t="str">
            <v>LS80L1</v>
          </cell>
          <cell r="K1544" t="str">
            <v>0.37</v>
          </cell>
          <cell r="L1544" t="str">
            <v>1145</v>
          </cell>
          <cell r="P1544" t="str">
            <v>TEFC</v>
          </cell>
          <cell r="U1544" t="str">
            <v>40 C</v>
          </cell>
          <cell r="V1544" t="str">
            <v>3</v>
          </cell>
          <cell r="W1544" t="str">
            <v>60</v>
          </cell>
          <cell r="X1544" t="str">
            <v>220/440</v>
          </cell>
          <cell r="AD1544" t="str">
            <v>0</v>
          </cell>
          <cell r="AG1544" t="str">
            <v>KW</v>
          </cell>
          <cell r="AQ1544" t="str">
            <v>E</v>
          </cell>
          <cell r="AV1544" t="b">
            <v>0</v>
          </cell>
          <cell r="AW1544" t="str">
            <v>2.22/1.11</v>
          </cell>
          <cell r="HD1544" t="str">
            <v>Repair Shop</v>
          </cell>
          <cell r="HT1544" t="b">
            <v>0</v>
          </cell>
          <cell r="HU1544" t="str">
            <v>VALLEJO UNIFIED SCHOOL DIST.</v>
          </cell>
        </row>
        <row r="1545">
          <cell r="A1545">
            <v>1187</v>
          </cell>
          <cell r="B1545" t="str">
            <v>VEM0160</v>
          </cell>
          <cell r="D1545" t="str">
            <v>TURBO</v>
          </cell>
          <cell r="F1545" t="str">
            <v>GE</v>
          </cell>
          <cell r="G1545" t="str">
            <v>5K6276XK203A</v>
          </cell>
          <cell r="H1545" t="str">
            <v>GEJ750176</v>
          </cell>
          <cell r="I1545" t="str">
            <v>405TP16</v>
          </cell>
          <cell r="K1545" t="str">
            <v>75</v>
          </cell>
          <cell r="L1545" t="str">
            <v>1775</v>
          </cell>
          <cell r="M1545" t="str">
            <v>K</v>
          </cell>
          <cell r="O1545" t="str">
            <v>Full no Cord</v>
          </cell>
          <cell r="P1545" t="str">
            <v>TEFC</v>
          </cell>
          <cell r="Q1545" t="str">
            <v>No</v>
          </cell>
          <cell r="R1545" t="str">
            <v>Continuous</v>
          </cell>
          <cell r="S1545" t="str">
            <v>No</v>
          </cell>
          <cell r="T1545" t="str">
            <v>NONE</v>
          </cell>
          <cell r="U1545" t="str">
            <v>40C</v>
          </cell>
          <cell r="V1545" t="str">
            <v>3</v>
          </cell>
          <cell r="W1545" t="str">
            <v>60</v>
          </cell>
          <cell r="X1545" t="str">
            <v>230/460</v>
          </cell>
          <cell r="AA1545" t="str">
            <v>Vertical</v>
          </cell>
          <cell r="AF1545" t="str">
            <v>BY366270</v>
          </cell>
          <cell r="AG1545" t="str">
            <v>HP</v>
          </cell>
          <cell r="AI1545" t="str">
            <v>MRC 5218 2Z C3</v>
          </cell>
          <cell r="AJ1545" t="str">
            <v>SKF 6312</v>
          </cell>
          <cell r="AO1545" t="str">
            <v>B</v>
          </cell>
          <cell r="AP1545" t="str">
            <v>G</v>
          </cell>
          <cell r="AQ1545" t="str">
            <v>B</v>
          </cell>
          <cell r="AS1545" t="str">
            <v>1.15</v>
          </cell>
          <cell r="AV1545" t="b">
            <v>0</v>
          </cell>
          <cell r="AW1545" t="str">
            <v>175/97.5</v>
          </cell>
          <cell r="GZ1545" t="str">
            <v>D</v>
          </cell>
          <cell r="HA1545" t="str">
            <v>1</v>
          </cell>
          <cell r="HD1545" t="str">
            <v>Repair Shop</v>
          </cell>
          <cell r="HT1545" t="b">
            <v>0</v>
          </cell>
          <cell r="HU1545" t="str">
            <v>TURBO MACHINE</v>
          </cell>
        </row>
        <row r="1546">
          <cell r="A1546">
            <v>1186</v>
          </cell>
          <cell r="B1546" t="str">
            <v>VEM0159</v>
          </cell>
          <cell r="D1546" t="str">
            <v>C&amp;H</v>
          </cell>
          <cell r="F1546" t="str">
            <v>VEM</v>
          </cell>
          <cell r="G1546" t="str">
            <v>313320001F</v>
          </cell>
          <cell r="H1546" t="str">
            <v>KPR280S4PTWS SW</v>
          </cell>
          <cell r="K1546" t="str">
            <v>100</v>
          </cell>
          <cell r="L1546" t="str">
            <v>1775</v>
          </cell>
          <cell r="O1546" t="str">
            <v>None</v>
          </cell>
          <cell r="P1546" t="str">
            <v>TEFC</v>
          </cell>
          <cell r="Q1546" t="str">
            <v>NONE</v>
          </cell>
          <cell r="R1546" t="str">
            <v>Continuous</v>
          </cell>
          <cell r="S1546" t="str">
            <v>NONE</v>
          </cell>
          <cell r="T1546" t="str">
            <v>NONE</v>
          </cell>
          <cell r="V1546" t="str">
            <v>3</v>
          </cell>
          <cell r="W1546" t="str">
            <v>60</v>
          </cell>
          <cell r="X1546" t="str">
            <v>208-230/460</v>
          </cell>
          <cell r="Z1546" t="str">
            <v>NONE</v>
          </cell>
          <cell r="AA1546" t="str">
            <v>Top</v>
          </cell>
          <cell r="AD1546" t="str">
            <v>-1</v>
          </cell>
          <cell r="AG1546" t="str">
            <v>HP</v>
          </cell>
          <cell r="AV1546" t="b">
            <v>0</v>
          </cell>
          <cell r="AW1546" t="str">
            <v>118</v>
          </cell>
          <cell r="GK1546" t="str">
            <v>MFG P/N :VED0530117791</v>
          </cell>
          <cell r="HD1546" t="str">
            <v>Repair Shop</v>
          </cell>
          <cell r="HT1546" t="b">
            <v>0</v>
          </cell>
          <cell r="HU1546" t="str">
            <v>C &amp; H SUGAR CO.</v>
          </cell>
        </row>
        <row r="1547">
          <cell r="A1547">
            <v>1185</v>
          </cell>
          <cell r="B1547" t="str">
            <v>VEM0158</v>
          </cell>
          <cell r="D1547" t="str">
            <v>C&amp;H</v>
          </cell>
          <cell r="F1547" t="str">
            <v>REULAND</v>
          </cell>
          <cell r="G1547" t="str">
            <v>0300C-1AEN-000</v>
          </cell>
          <cell r="H1547" t="str">
            <v>880183B-3</v>
          </cell>
          <cell r="I1547" t="str">
            <v>365U</v>
          </cell>
          <cell r="K1547" t="str">
            <v>30</v>
          </cell>
          <cell r="L1547" t="str">
            <v>1800</v>
          </cell>
          <cell r="M1547" t="str">
            <v>A000</v>
          </cell>
          <cell r="O1547" t="str">
            <v>None</v>
          </cell>
          <cell r="P1547" t="str">
            <v>ODP</v>
          </cell>
          <cell r="Q1547" t="str">
            <v>NONE</v>
          </cell>
          <cell r="R1547" t="str">
            <v>SPL</v>
          </cell>
          <cell r="S1547" t="str">
            <v>Yes</v>
          </cell>
          <cell r="T1547" t="str">
            <v>NONE</v>
          </cell>
          <cell r="U1547" t="str">
            <v>40C</v>
          </cell>
          <cell r="V1547" t="str">
            <v>3</v>
          </cell>
          <cell r="W1547" t="str">
            <v>60</v>
          </cell>
          <cell r="X1547" t="str">
            <v>460</v>
          </cell>
          <cell r="Z1547" t="str">
            <v>No</v>
          </cell>
          <cell r="AA1547" t="str">
            <v>F1</v>
          </cell>
          <cell r="AG1547" t="str">
            <v>HP</v>
          </cell>
          <cell r="AQ1547" t="str">
            <v>H</v>
          </cell>
          <cell r="AV1547" t="b">
            <v>0</v>
          </cell>
          <cell r="AW1547" t="str">
            <v>32.6/34.9</v>
          </cell>
          <cell r="HD1547" t="str">
            <v>Repair Shop</v>
          </cell>
          <cell r="HO1547" t="str">
            <v>300</v>
          </cell>
          <cell r="HT1547" t="b">
            <v>0</v>
          </cell>
          <cell r="HU1547" t="str">
            <v>C &amp; H SUGAR CO.</v>
          </cell>
        </row>
        <row r="1548">
          <cell r="A1548">
            <v>1184</v>
          </cell>
          <cell r="B1548" t="str">
            <v>VEM0157</v>
          </cell>
          <cell r="D1548" t="str">
            <v>VALERO</v>
          </cell>
          <cell r="F1548" t="str">
            <v>Westinghouse</v>
          </cell>
          <cell r="G1548" t="str">
            <v>AAFC</v>
          </cell>
          <cell r="H1548" t="str">
            <v>69F40047</v>
          </cell>
          <cell r="I1548" t="str">
            <v>509US</v>
          </cell>
          <cell r="K1548" t="str">
            <v>200</v>
          </cell>
          <cell r="L1548" t="str">
            <v>3570</v>
          </cell>
          <cell r="O1548" t="str">
            <v>Full no Cord</v>
          </cell>
          <cell r="R1548" t="str">
            <v>Continuous</v>
          </cell>
          <cell r="S1548" t="str">
            <v>Yes</v>
          </cell>
          <cell r="U1548" t="str">
            <v>40C</v>
          </cell>
          <cell r="V1548" t="str">
            <v>3</v>
          </cell>
          <cell r="W1548" t="str">
            <v>60</v>
          </cell>
          <cell r="X1548" t="str">
            <v>4000</v>
          </cell>
          <cell r="Y1548" t="str">
            <v>25.5</v>
          </cell>
          <cell r="AG1548" t="str">
            <v>HP</v>
          </cell>
          <cell r="AI1548" t="str">
            <v>4109D41G02</v>
          </cell>
          <cell r="AJ1548" t="str">
            <v>4109D41G02</v>
          </cell>
          <cell r="AQ1548" t="str">
            <v>B</v>
          </cell>
          <cell r="AS1548" t="str">
            <v>1.0</v>
          </cell>
          <cell r="AV1548" t="b">
            <v>0</v>
          </cell>
          <cell r="HD1548" t="str">
            <v>Repair Shop</v>
          </cell>
          <cell r="HT1548" t="b">
            <v>0</v>
          </cell>
          <cell r="HU1548" t="str">
            <v>VALERO REFINING CO. BENICIA</v>
          </cell>
        </row>
        <row r="1549">
          <cell r="A1549">
            <v>1182</v>
          </cell>
          <cell r="B1549" t="str">
            <v>VEM0155</v>
          </cell>
          <cell r="D1549" t="str">
            <v>FAIRFIELDMAINT</v>
          </cell>
          <cell r="F1549" t="str">
            <v>AQUAMASTER</v>
          </cell>
          <cell r="G1549" t="str">
            <v>5422</v>
          </cell>
          <cell r="H1549" t="str">
            <v>28725</v>
          </cell>
          <cell r="K1549" t="str">
            <v>2</v>
          </cell>
          <cell r="V1549" t="str">
            <v>1</v>
          </cell>
          <cell r="W1549" t="str">
            <v>60</v>
          </cell>
          <cell r="X1549" t="str">
            <v>208-240</v>
          </cell>
          <cell r="Y1549" t="str">
            <v>12.5</v>
          </cell>
          <cell r="AG1549" t="str">
            <v>HP</v>
          </cell>
          <cell r="AV1549" t="b">
            <v>0</v>
          </cell>
          <cell r="HD1549" t="str">
            <v>Repair Shop</v>
          </cell>
          <cell r="HT1549" t="b">
            <v>0</v>
          </cell>
          <cell r="HU1549" t="str">
            <v>CITY OF FAIRFIELD</v>
          </cell>
        </row>
        <row r="1550">
          <cell r="A1550">
            <v>1181</v>
          </cell>
          <cell r="B1550" t="str">
            <v>VEM0154</v>
          </cell>
          <cell r="D1550" t="str">
            <v>BAYVALVE</v>
          </cell>
          <cell r="AG1550" t="str">
            <v>HP</v>
          </cell>
          <cell r="AV1550" t="b">
            <v>0</v>
          </cell>
          <cell r="HD1550" t="str">
            <v>Repair Shop</v>
          </cell>
          <cell r="HT1550" t="b">
            <v>0</v>
          </cell>
          <cell r="HU1550" t="str">
            <v>BAY VALVE SERVICE</v>
          </cell>
        </row>
        <row r="1551">
          <cell r="A1551">
            <v>1180</v>
          </cell>
          <cell r="B1551" t="str">
            <v>VEM0153</v>
          </cell>
          <cell r="D1551" t="str">
            <v>BAYVALVE</v>
          </cell>
          <cell r="AG1551" t="str">
            <v>HP</v>
          </cell>
          <cell r="AV1551" t="b">
            <v>0</v>
          </cell>
          <cell r="HD1551" t="str">
            <v>Repair Shop</v>
          </cell>
          <cell r="HT1551" t="b">
            <v>0</v>
          </cell>
          <cell r="HU1551" t="str">
            <v>BAY VALVE SERVICE</v>
          </cell>
        </row>
        <row r="1552">
          <cell r="A1552">
            <v>1178</v>
          </cell>
          <cell r="B1552" t="str">
            <v>VEM0151</v>
          </cell>
          <cell r="D1552" t="str">
            <v>RODEO</v>
          </cell>
          <cell r="F1552" t="str">
            <v>Reliance</v>
          </cell>
          <cell r="H1552" t="str">
            <v>Y128475A1</v>
          </cell>
          <cell r="I1552" t="str">
            <v>213CZ</v>
          </cell>
          <cell r="K1552" t="str">
            <v>5</v>
          </cell>
          <cell r="L1552" t="str">
            <v>3520</v>
          </cell>
          <cell r="M1552" t="str">
            <v>ODP</v>
          </cell>
          <cell r="O1552" t="str">
            <v>Half no Cord</v>
          </cell>
          <cell r="R1552" t="str">
            <v>Continuous</v>
          </cell>
          <cell r="V1552" t="str">
            <v>3</v>
          </cell>
          <cell r="W1552" t="str">
            <v>60</v>
          </cell>
          <cell r="X1552" t="str">
            <v>220/440</v>
          </cell>
          <cell r="Y1552" t="str">
            <v>14.4/7.2</v>
          </cell>
          <cell r="AD1552" t="str">
            <v>0</v>
          </cell>
          <cell r="AG1552" t="str">
            <v>HP</v>
          </cell>
          <cell r="AV1552" t="b">
            <v>0</v>
          </cell>
          <cell r="GK1552" t="str">
            <v>WITH PUMP</v>
          </cell>
          <cell r="HD1552" t="str">
            <v>Repair Shop</v>
          </cell>
          <cell r="HT1552" t="b">
            <v>0</v>
          </cell>
          <cell r="HU1552" t="str">
            <v>RODEO SANITARY DISTRICT</v>
          </cell>
        </row>
        <row r="1553">
          <cell r="A1553">
            <v>1177</v>
          </cell>
          <cell r="B1553" t="str">
            <v>VEM0150</v>
          </cell>
          <cell r="D1553" t="str">
            <v>CONHAGEN</v>
          </cell>
          <cell r="F1553" t="str">
            <v>Reliance</v>
          </cell>
          <cell r="I1553" t="str">
            <v>324HPZ</v>
          </cell>
          <cell r="K1553" t="str">
            <v>40</v>
          </cell>
          <cell r="L1553" t="str">
            <v>3555</v>
          </cell>
          <cell r="M1553" t="str">
            <v>P</v>
          </cell>
          <cell r="O1553" t="str">
            <v>Full no Cord</v>
          </cell>
          <cell r="P1553" t="str">
            <v>TEFC</v>
          </cell>
          <cell r="Q1553" t="str">
            <v>NONE</v>
          </cell>
          <cell r="R1553" t="str">
            <v>Continuous</v>
          </cell>
          <cell r="S1553" t="str">
            <v>NONE</v>
          </cell>
          <cell r="T1553" t="str">
            <v>NONE</v>
          </cell>
          <cell r="U1553" t="str">
            <v>40C</v>
          </cell>
          <cell r="V1553" t="str">
            <v>3</v>
          </cell>
          <cell r="W1553" t="str">
            <v>60</v>
          </cell>
          <cell r="X1553" t="str">
            <v>460</v>
          </cell>
          <cell r="Z1553" t="str">
            <v>NONE</v>
          </cell>
          <cell r="AA1553" t="str">
            <v>Vertical</v>
          </cell>
          <cell r="AG1553" t="str">
            <v>HP</v>
          </cell>
          <cell r="AO1553" t="str">
            <v>B</v>
          </cell>
          <cell r="AP1553" t="str">
            <v>G</v>
          </cell>
          <cell r="AQ1553" t="str">
            <v>F</v>
          </cell>
          <cell r="AR1553" t="str">
            <v>85.4</v>
          </cell>
          <cell r="AS1553" t="str">
            <v>1.15</v>
          </cell>
          <cell r="AT1553" t="str">
            <v>93</v>
          </cell>
          <cell r="AV1553" t="b">
            <v>0</v>
          </cell>
          <cell r="AW1553" t="str">
            <v>47</v>
          </cell>
          <cell r="EX1553" t="str">
            <v>1MAF62365</v>
          </cell>
          <cell r="HD1553" t="str">
            <v>Repair Shop</v>
          </cell>
          <cell r="HT1553" t="b">
            <v>0</v>
          </cell>
          <cell r="HU1553" t="str">
            <v>ALFRED CONHAGEN CO. OF CA</v>
          </cell>
        </row>
        <row r="1554">
          <cell r="A1554">
            <v>1176</v>
          </cell>
          <cell r="B1554" t="str">
            <v>VEM0149</v>
          </cell>
          <cell r="D1554" t="str">
            <v>P66</v>
          </cell>
          <cell r="F1554" t="str">
            <v>Siemens</v>
          </cell>
          <cell r="G1554" t="str">
            <v>1MB21211CA316LG3</v>
          </cell>
          <cell r="H1554" t="str">
            <v>D13T2374XPE 5</v>
          </cell>
          <cell r="I1554" t="str">
            <v>184TCV</v>
          </cell>
          <cell r="K1554" t="str">
            <v>5</v>
          </cell>
          <cell r="L1554" t="str">
            <v>3505</v>
          </cell>
          <cell r="N1554" t="str">
            <v>104</v>
          </cell>
          <cell r="O1554" t="str">
            <v>Full no Cord</v>
          </cell>
          <cell r="P1554" t="str">
            <v>EXP</v>
          </cell>
          <cell r="R1554" t="str">
            <v>Continuous</v>
          </cell>
          <cell r="V1554" t="str">
            <v>3</v>
          </cell>
          <cell r="W1554" t="str">
            <v>60</v>
          </cell>
          <cell r="X1554" t="str">
            <v>230/460</v>
          </cell>
          <cell r="AA1554" t="str">
            <v>Vertical</v>
          </cell>
          <cell r="AG1554" t="str">
            <v>HP</v>
          </cell>
          <cell r="AO1554" t="str">
            <v>B</v>
          </cell>
          <cell r="AP1554" t="str">
            <v>H</v>
          </cell>
          <cell r="AQ1554" t="str">
            <v>F</v>
          </cell>
          <cell r="AS1554" t="str">
            <v>1.0</v>
          </cell>
          <cell r="AT1554" t="str">
            <v>88.5</v>
          </cell>
          <cell r="AV1554" t="b">
            <v>0</v>
          </cell>
          <cell r="AW1554" t="str">
            <v>12/6</v>
          </cell>
          <cell r="HD1554" t="str">
            <v>Repair Shop</v>
          </cell>
          <cell r="HT1554" t="b">
            <v>0</v>
          </cell>
          <cell r="HU1554" t="str">
            <v>PHILLIPS 66</v>
          </cell>
        </row>
        <row r="1555">
          <cell r="A1555">
            <v>1175</v>
          </cell>
          <cell r="B1555" t="str">
            <v>VEM0148</v>
          </cell>
          <cell r="D1555" t="str">
            <v>P66</v>
          </cell>
          <cell r="F1555" t="str">
            <v>US Motors</v>
          </cell>
          <cell r="G1555" t="str">
            <v>S028A</v>
          </cell>
          <cell r="I1555" t="str">
            <v>284T</v>
          </cell>
          <cell r="K1555" t="str">
            <v>25</v>
          </cell>
          <cell r="L1555" t="str">
            <v>1775</v>
          </cell>
          <cell r="M1555" t="str">
            <v>CE</v>
          </cell>
          <cell r="N1555" t="str">
            <v>390</v>
          </cell>
          <cell r="O1555" t="str">
            <v>None</v>
          </cell>
          <cell r="P1555" t="str">
            <v>TEFC</v>
          </cell>
          <cell r="R1555" t="str">
            <v>Continuous</v>
          </cell>
          <cell r="S1555" t="str">
            <v>Yes</v>
          </cell>
          <cell r="T1555" t="str">
            <v>YES</v>
          </cell>
          <cell r="U1555" t="str">
            <v>40C</v>
          </cell>
          <cell r="V1555" t="str">
            <v>3</v>
          </cell>
          <cell r="W1555" t="str">
            <v>60</v>
          </cell>
          <cell r="X1555" t="str">
            <v>460</v>
          </cell>
          <cell r="Z1555" t="str">
            <v>Yes</v>
          </cell>
          <cell r="AA1555" t="str">
            <v>F1</v>
          </cell>
          <cell r="AD1555" t="str">
            <v>0</v>
          </cell>
          <cell r="AG1555" t="str">
            <v>HP</v>
          </cell>
          <cell r="AH1555" t="str">
            <v>RAINGUARD</v>
          </cell>
          <cell r="AO1555" t="str">
            <v>B</v>
          </cell>
          <cell r="AP1555" t="str">
            <v>G</v>
          </cell>
          <cell r="AR1555" t="str">
            <v>85.5</v>
          </cell>
          <cell r="AS1555" t="str">
            <v>1.15</v>
          </cell>
          <cell r="AT1555" t="str">
            <v>94</v>
          </cell>
          <cell r="AV1555" t="b">
            <v>0</v>
          </cell>
          <cell r="AW1555" t="str">
            <v>30.2</v>
          </cell>
          <cell r="EX1555" t="str">
            <v>D12-S028A-M SP25P2C</v>
          </cell>
          <cell r="HD1555" t="str">
            <v>Repair Shop</v>
          </cell>
          <cell r="HT1555" t="b">
            <v>0</v>
          </cell>
          <cell r="HU1555" t="str">
            <v>PHILLIPS 66</v>
          </cell>
        </row>
        <row r="1556">
          <cell r="A1556">
            <v>1174</v>
          </cell>
          <cell r="B1556" t="str">
            <v>VEM0147</v>
          </cell>
          <cell r="D1556" t="str">
            <v>P66</v>
          </cell>
          <cell r="F1556" t="str">
            <v>US Motors</v>
          </cell>
          <cell r="I1556" t="str">
            <v>256T</v>
          </cell>
          <cell r="K1556" t="str">
            <v>20</v>
          </cell>
          <cell r="L1556" t="str">
            <v>1750</v>
          </cell>
          <cell r="M1556" t="str">
            <v>CT</v>
          </cell>
          <cell r="O1556" t="str">
            <v>None</v>
          </cell>
          <cell r="P1556" t="str">
            <v>TEFC</v>
          </cell>
          <cell r="R1556" t="str">
            <v>Continuous</v>
          </cell>
          <cell r="S1556" t="str">
            <v>Yes</v>
          </cell>
          <cell r="T1556" t="str">
            <v>NO</v>
          </cell>
          <cell r="U1556" t="str">
            <v>40C</v>
          </cell>
          <cell r="V1556" t="str">
            <v>3</v>
          </cell>
          <cell r="W1556" t="str">
            <v>60</v>
          </cell>
          <cell r="X1556" t="str">
            <v>230/460</v>
          </cell>
          <cell r="AA1556" t="str">
            <v>F1</v>
          </cell>
          <cell r="AD1556" t="str">
            <v>-1</v>
          </cell>
          <cell r="AG1556" t="str">
            <v>HP</v>
          </cell>
          <cell r="AI1556" t="str">
            <v>6307</v>
          </cell>
          <cell r="AJ1556" t="str">
            <v>6207</v>
          </cell>
          <cell r="AO1556" t="str">
            <v>B</v>
          </cell>
          <cell r="AP1556" t="str">
            <v>G</v>
          </cell>
          <cell r="AQ1556" t="str">
            <v>F</v>
          </cell>
          <cell r="AS1556" t="str">
            <v>1.15</v>
          </cell>
          <cell r="AT1556" t="str">
            <v>90.2</v>
          </cell>
          <cell r="AV1556" t="b">
            <v>0</v>
          </cell>
          <cell r="AW1556" t="str">
            <v>49.4/24.7</v>
          </cell>
          <cell r="EX1556" t="str">
            <v>E409-210Z2360533A</v>
          </cell>
          <cell r="HD1556" t="str">
            <v>Repair Shop</v>
          </cell>
          <cell r="HT1556" t="b">
            <v>0</v>
          </cell>
          <cell r="HU1556" t="str">
            <v>PHILLIPS 66</v>
          </cell>
        </row>
        <row r="1557">
          <cell r="A1557">
            <v>1173</v>
          </cell>
          <cell r="B1557" t="str">
            <v>VEM0146</v>
          </cell>
          <cell r="D1557" t="str">
            <v>P66</v>
          </cell>
          <cell r="F1557" t="str">
            <v>Reliance</v>
          </cell>
          <cell r="I1557" t="str">
            <v>365t</v>
          </cell>
          <cell r="K1557" t="str">
            <v>75</v>
          </cell>
          <cell r="L1557" t="str">
            <v>1780</v>
          </cell>
          <cell r="M1557" t="str">
            <v>P</v>
          </cell>
          <cell r="O1557" t="str">
            <v>None</v>
          </cell>
          <cell r="P1557" t="str">
            <v>TEFC</v>
          </cell>
          <cell r="Q1557" t="str">
            <v>Yes</v>
          </cell>
          <cell r="R1557" t="str">
            <v>Continuous</v>
          </cell>
          <cell r="S1557" t="str">
            <v>No</v>
          </cell>
          <cell r="T1557" t="str">
            <v>KEY</v>
          </cell>
          <cell r="U1557" t="str">
            <v>40C</v>
          </cell>
          <cell r="V1557" t="str">
            <v>3</v>
          </cell>
          <cell r="W1557" t="str">
            <v>60</v>
          </cell>
          <cell r="X1557" t="str">
            <v>460</v>
          </cell>
          <cell r="AA1557" t="str">
            <v>F1</v>
          </cell>
          <cell r="AG1557" t="str">
            <v>HP</v>
          </cell>
          <cell r="AO1557" t="str">
            <v>B</v>
          </cell>
          <cell r="AP1557" t="str">
            <v>G</v>
          </cell>
          <cell r="AQ1557" t="str">
            <v>F</v>
          </cell>
          <cell r="AR1557" t="str">
            <v>86.6</v>
          </cell>
          <cell r="AS1557" t="str">
            <v>1.0</v>
          </cell>
          <cell r="AT1557" t="str">
            <v>95</v>
          </cell>
          <cell r="AV1557" t="b">
            <v>0</v>
          </cell>
          <cell r="AW1557" t="str">
            <v>85.54</v>
          </cell>
          <cell r="EX1557" t="str">
            <v>2MLF37002-C1-SP</v>
          </cell>
          <cell r="HD1557" t="str">
            <v>Repair Shop</v>
          </cell>
          <cell r="HT1557" t="b">
            <v>0</v>
          </cell>
          <cell r="HU1557" t="str">
            <v>PHILLIPS 66</v>
          </cell>
        </row>
        <row r="1558">
          <cell r="A1558">
            <v>1172</v>
          </cell>
          <cell r="B1558" t="str">
            <v>VEM0145</v>
          </cell>
          <cell r="D1558" t="str">
            <v>WOODLINE</v>
          </cell>
          <cell r="F1558" t="str">
            <v>Baldor</v>
          </cell>
          <cell r="H1558" t="str">
            <v>f1097</v>
          </cell>
          <cell r="I1558" t="str">
            <v>184C</v>
          </cell>
          <cell r="K1558" t="str">
            <v>5</v>
          </cell>
          <cell r="L1558" t="str">
            <v>3450</v>
          </cell>
          <cell r="O1558" t="str">
            <v>Full no Cord</v>
          </cell>
          <cell r="R1558" t="str">
            <v>Continuous</v>
          </cell>
          <cell r="T1558" t="str">
            <v>NO</v>
          </cell>
          <cell r="U1558" t="str">
            <v>40</v>
          </cell>
          <cell r="V1558" t="str">
            <v>3</v>
          </cell>
          <cell r="X1558" t="str">
            <v>230/460</v>
          </cell>
          <cell r="Y1558" t="str">
            <v>13/6.5</v>
          </cell>
          <cell r="AG1558" t="str">
            <v>HP</v>
          </cell>
          <cell r="AO1558" t="str">
            <v>B</v>
          </cell>
          <cell r="AQ1558" t="str">
            <v>H</v>
          </cell>
          <cell r="AR1558" t="str">
            <v>86%</v>
          </cell>
          <cell r="AS1558" t="str">
            <v>1.00</v>
          </cell>
          <cell r="AT1558" t="str">
            <v>82%</v>
          </cell>
          <cell r="AU1558" t="str">
            <v>36F628W556</v>
          </cell>
          <cell r="AV1558" t="b">
            <v>0</v>
          </cell>
          <cell r="EW1558" t="str">
            <v>vm3613SAW</v>
          </cell>
          <cell r="HD1558" t="str">
            <v>Repair Shop</v>
          </cell>
          <cell r="HT1558" t="b">
            <v>0</v>
          </cell>
          <cell r="HU1558" t="str">
            <v>WOODLINE CABINETS</v>
          </cell>
        </row>
        <row r="1559">
          <cell r="A1559">
            <v>1171</v>
          </cell>
          <cell r="B1559" t="str">
            <v>VEM0144</v>
          </cell>
          <cell r="D1559" t="str">
            <v>VALLEJOWATER</v>
          </cell>
          <cell r="F1559" t="str">
            <v>General Electric</v>
          </cell>
          <cell r="H1559" t="str">
            <v>fag43460a</v>
          </cell>
          <cell r="I1559" t="str">
            <v>449VP20</v>
          </cell>
          <cell r="K1559" t="str">
            <v>250</v>
          </cell>
          <cell r="L1559" t="str">
            <v>1190</v>
          </cell>
          <cell r="M1559" t="str">
            <v>KS</v>
          </cell>
          <cell r="N1559" t="str">
            <v>2790</v>
          </cell>
          <cell r="O1559" t="str">
            <v>Full no Cord</v>
          </cell>
          <cell r="R1559" t="str">
            <v>Continuous</v>
          </cell>
          <cell r="T1559" t="str">
            <v>Yes</v>
          </cell>
          <cell r="U1559" t="str">
            <v>40C</v>
          </cell>
          <cell r="V1559" t="str">
            <v>3 phase</v>
          </cell>
          <cell r="X1559" t="str">
            <v>460</v>
          </cell>
          <cell r="AA1559" t="str">
            <v>Vertical</v>
          </cell>
          <cell r="AD1559" t="str">
            <v>0</v>
          </cell>
          <cell r="AG1559" t="str">
            <v>HP</v>
          </cell>
          <cell r="AO1559" t="str">
            <v>B</v>
          </cell>
          <cell r="AP1559" t="str">
            <v>G</v>
          </cell>
          <cell r="AR1559" t="str">
            <v>85.5</v>
          </cell>
          <cell r="AS1559" t="str">
            <v>1.15</v>
          </cell>
          <cell r="AT1559" t="str">
            <v>95</v>
          </cell>
          <cell r="AV1559" t="b">
            <v>0</v>
          </cell>
          <cell r="AW1559" t="str">
            <v>288</v>
          </cell>
          <cell r="HD1559" t="str">
            <v>Repair Shop</v>
          </cell>
          <cell r="HT1559" t="b">
            <v>0</v>
          </cell>
          <cell r="HU1559" t="str">
            <v>CITY OF VALLEJO WATER TREATMENT</v>
          </cell>
        </row>
        <row r="1560">
          <cell r="A1560">
            <v>1170</v>
          </cell>
          <cell r="B1560" t="str">
            <v>VEM0143</v>
          </cell>
          <cell r="D1560" t="str">
            <v>VALERO</v>
          </cell>
          <cell r="F1560" t="str">
            <v>GE</v>
          </cell>
          <cell r="H1560" t="str">
            <v>TS6261025</v>
          </cell>
          <cell r="I1560" t="str">
            <v>L444LP16</v>
          </cell>
          <cell r="K1560" t="str">
            <v>125</v>
          </cell>
          <cell r="L1560" t="str">
            <v>3570</v>
          </cell>
          <cell r="P1560" t="str">
            <v>TEFC</v>
          </cell>
          <cell r="X1560" t="str">
            <v>460</v>
          </cell>
          <cell r="AD1560" t="str">
            <v>-1</v>
          </cell>
          <cell r="AG1560" t="str">
            <v>HP</v>
          </cell>
          <cell r="AV1560" t="b">
            <v>0</v>
          </cell>
          <cell r="AW1560" t="str">
            <v>149</v>
          </cell>
          <cell r="AX1560" t="str">
            <v>2</v>
          </cell>
          <cell r="GK1560" t="str">
            <v>2 heaters 120 volt 100 watt</v>
          </cell>
          <cell r="HD1560" t="str">
            <v>Repair Shop</v>
          </cell>
          <cell r="HT1560" t="b">
            <v>0</v>
          </cell>
          <cell r="HU1560" t="str">
            <v>VALERO REFINING CO. BENICIA</v>
          </cell>
        </row>
        <row r="1561">
          <cell r="A1561">
            <v>1169</v>
          </cell>
          <cell r="B1561" t="str">
            <v>VEM0142</v>
          </cell>
          <cell r="D1561" t="str">
            <v>VALERO</v>
          </cell>
          <cell r="F1561" t="str">
            <v>MOV</v>
          </cell>
          <cell r="AD1561" t="str">
            <v>0</v>
          </cell>
          <cell r="AV1561" t="b">
            <v>0</v>
          </cell>
          <cell r="GK1561" t="str">
            <v>leads need to be 25 inch</v>
          </cell>
          <cell r="GL1561" t="str">
            <v>2 ols 3 motor leads</v>
          </cell>
          <cell r="HD1561" t="str">
            <v>Repair Shop</v>
          </cell>
          <cell r="HT1561" t="b">
            <v>0</v>
          </cell>
          <cell r="HU1561" t="str">
            <v>VALERO REFINING CO. BENICIA</v>
          </cell>
        </row>
        <row r="1562">
          <cell r="A1562">
            <v>1168</v>
          </cell>
          <cell r="B1562" t="str">
            <v>VEM0141</v>
          </cell>
          <cell r="D1562" t="str">
            <v>VALERO</v>
          </cell>
          <cell r="F1562" t="str">
            <v>Limitorque</v>
          </cell>
          <cell r="I1562" t="str">
            <v>42</v>
          </cell>
          <cell r="L1562" t="str">
            <v>1725</v>
          </cell>
          <cell r="M1562" t="str">
            <v>XP</v>
          </cell>
          <cell r="R1562" t="str">
            <v>1.5 min</v>
          </cell>
          <cell r="T1562" t="str">
            <v>gear</v>
          </cell>
          <cell r="U1562" t="str">
            <v>40 C</v>
          </cell>
          <cell r="V1562" t="str">
            <v>3</v>
          </cell>
          <cell r="W1562" t="str">
            <v>60</v>
          </cell>
          <cell r="X1562" t="str">
            <v>460</v>
          </cell>
          <cell r="AD1562" t="str">
            <v>-1</v>
          </cell>
          <cell r="AG1562" t="str">
            <v>.5</v>
          </cell>
          <cell r="AQ1562" t="str">
            <v>F</v>
          </cell>
          <cell r="AS1562" t="str">
            <v>1.0</v>
          </cell>
          <cell r="AV1562" t="b">
            <v>0</v>
          </cell>
          <cell r="AW1562" t="str">
            <v>3.0/1.50</v>
          </cell>
          <cell r="AX1562" t="str">
            <v>4</v>
          </cell>
          <cell r="HD1562" t="str">
            <v>Repair Shop</v>
          </cell>
          <cell r="HT1562" t="b">
            <v>0</v>
          </cell>
          <cell r="HU1562" t="str">
            <v>VALERO REFINING CO. BENICIA</v>
          </cell>
        </row>
        <row r="1563">
          <cell r="A1563">
            <v>1167</v>
          </cell>
          <cell r="B1563" t="str">
            <v>FE1002</v>
          </cell>
          <cell r="D1563" t="str">
            <v>GIBSON</v>
          </cell>
          <cell r="AG1563" t="str">
            <v>HP</v>
          </cell>
          <cell r="AV1563" t="b">
            <v>0</v>
          </cell>
          <cell r="HD1563" t="str">
            <v>Field Service</v>
          </cell>
          <cell r="HT1563" t="b">
            <v>0</v>
          </cell>
          <cell r="HU1563" t="str">
            <v>Gibson Printing &amp; Publishing</v>
          </cell>
        </row>
        <row r="1564">
          <cell r="A1564">
            <v>1166</v>
          </cell>
          <cell r="B1564" t="str">
            <v>VEM0140</v>
          </cell>
          <cell r="D1564" t="str">
            <v>PANPACIFIC</v>
          </cell>
          <cell r="F1564" t="str">
            <v>US Motors</v>
          </cell>
          <cell r="G1564" t="str">
            <v>DT79</v>
          </cell>
          <cell r="I1564" t="str">
            <v>404TP</v>
          </cell>
          <cell r="K1564" t="str">
            <v>100</v>
          </cell>
          <cell r="L1564" t="str">
            <v>1785</v>
          </cell>
          <cell r="M1564" t="str">
            <v>RUSI</v>
          </cell>
          <cell r="N1564" t="str">
            <v>1110</v>
          </cell>
          <cell r="O1564" t="str">
            <v>None</v>
          </cell>
          <cell r="P1564" t="str">
            <v>ODP</v>
          </cell>
          <cell r="R1564" t="str">
            <v>Continuous</v>
          </cell>
          <cell r="S1564" t="str">
            <v>No</v>
          </cell>
          <cell r="U1564" t="str">
            <v>40C</v>
          </cell>
          <cell r="V1564" t="str">
            <v>3</v>
          </cell>
          <cell r="W1564" t="str">
            <v>60</v>
          </cell>
          <cell r="X1564" t="str">
            <v>460</v>
          </cell>
          <cell r="AA1564" t="str">
            <v>Vertical</v>
          </cell>
          <cell r="AD1564" t="str">
            <v>-1</v>
          </cell>
          <cell r="AG1564" t="str">
            <v>HP</v>
          </cell>
          <cell r="AI1564" t="str">
            <v>6212-J</v>
          </cell>
          <cell r="AJ1564" t="str">
            <v>7222-BEM</v>
          </cell>
          <cell r="AO1564" t="str">
            <v>B</v>
          </cell>
          <cell r="AP1564" t="str">
            <v>G</v>
          </cell>
          <cell r="AQ1564" t="str">
            <v>F</v>
          </cell>
          <cell r="AR1564" t="str">
            <v>86.3</v>
          </cell>
          <cell r="AS1564" t="str">
            <v>1.15</v>
          </cell>
          <cell r="AT1564" t="str">
            <v>95.4</v>
          </cell>
          <cell r="AV1564" t="b">
            <v>0</v>
          </cell>
          <cell r="AW1564" t="str">
            <v>114</v>
          </cell>
          <cell r="EW1564" t="str">
            <v>H0100V2SL6</v>
          </cell>
          <cell r="EX1564" t="str">
            <v>T 06 7526358-0002 R 00 01</v>
          </cell>
          <cell r="GK1564" t="str">
            <v>HEATER 120 VOLT 120 WATT</v>
          </cell>
          <cell r="HD1564" t="str">
            <v>Repair Shop</v>
          </cell>
          <cell r="HT1564" t="b">
            <v>0</v>
          </cell>
          <cell r="HU1564" t="str">
            <v>PAN PACIFIC SUPPLY CO.</v>
          </cell>
        </row>
        <row r="1565">
          <cell r="A1565">
            <v>1164</v>
          </cell>
          <cell r="B1565" t="str">
            <v>VEM0138</v>
          </cell>
          <cell r="D1565" t="str">
            <v>VALLEJOWATER</v>
          </cell>
          <cell r="F1565" t="str">
            <v>General Electric</v>
          </cell>
          <cell r="H1565" t="str">
            <v>FAG43460A</v>
          </cell>
          <cell r="I1565" t="str">
            <v>449VP20 Type KS Code G</v>
          </cell>
          <cell r="K1565" t="str">
            <v>250</v>
          </cell>
          <cell r="L1565" t="str">
            <v>1190</v>
          </cell>
          <cell r="P1565" t="str">
            <v>TEFC</v>
          </cell>
          <cell r="R1565" t="str">
            <v>Continuous</v>
          </cell>
          <cell r="V1565" t="str">
            <v>3</v>
          </cell>
          <cell r="W1565" t="str">
            <v>60</v>
          </cell>
          <cell r="X1565" t="str">
            <v>460</v>
          </cell>
          <cell r="AA1565" t="str">
            <v>Vertical</v>
          </cell>
          <cell r="AG1565" t="str">
            <v>HP</v>
          </cell>
          <cell r="AO1565" t="str">
            <v>B WPI</v>
          </cell>
          <cell r="AQ1565" t="str">
            <v>F</v>
          </cell>
          <cell r="AV1565" t="b">
            <v>0</v>
          </cell>
          <cell r="HD1565" t="str">
            <v>Repair Shop</v>
          </cell>
          <cell r="HT1565" t="b">
            <v>0</v>
          </cell>
          <cell r="HU1565" t="str">
            <v>CITY OF VALLEJO WATER TREATMENT</v>
          </cell>
        </row>
        <row r="1566">
          <cell r="A1566">
            <v>1163</v>
          </cell>
          <cell r="B1566" t="str">
            <v>VEM0137</v>
          </cell>
          <cell r="D1566" t="str">
            <v>VALERO</v>
          </cell>
          <cell r="F1566" t="str">
            <v>Emerson</v>
          </cell>
          <cell r="G1566" t="str">
            <v>ELT15E2D</v>
          </cell>
          <cell r="I1566" t="str">
            <v>254T</v>
          </cell>
          <cell r="K1566" t="str">
            <v>15</v>
          </cell>
          <cell r="L1566" t="str">
            <v>1750</v>
          </cell>
          <cell r="O1566" t="str">
            <v>Full no Cord</v>
          </cell>
          <cell r="P1566" t="str">
            <v>TEFC</v>
          </cell>
          <cell r="S1566" t="str">
            <v>Yes</v>
          </cell>
          <cell r="T1566" t="str">
            <v>yes</v>
          </cell>
          <cell r="X1566" t="str">
            <v>208-230/460</v>
          </cell>
          <cell r="AG1566" t="str">
            <v>HP</v>
          </cell>
          <cell r="AR1566" t="str">
            <v>.83</v>
          </cell>
          <cell r="AS1566" t="str">
            <v>1.0</v>
          </cell>
          <cell r="AV1566" t="b">
            <v>0</v>
          </cell>
          <cell r="AW1566" t="str">
            <v>42.2-38.3/19.4</v>
          </cell>
          <cell r="HD1566" t="str">
            <v>Repair Shop</v>
          </cell>
          <cell r="HT1566" t="b">
            <v>0</v>
          </cell>
          <cell r="HU1566" t="str">
            <v>VALERO REFINING CO. BENICIA</v>
          </cell>
        </row>
        <row r="1567">
          <cell r="A1567">
            <v>1162</v>
          </cell>
          <cell r="B1567" t="str">
            <v>VEM0136</v>
          </cell>
          <cell r="D1567" t="str">
            <v>VALERO</v>
          </cell>
          <cell r="F1567" t="str">
            <v>MOV MOTOR</v>
          </cell>
          <cell r="AD1567" t="str">
            <v>-1</v>
          </cell>
          <cell r="AV1567" t="b">
            <v>0</v>
          </cell>
          <cell r="EX1567" t="str">
            <v>22077-06-40.1-KPG-3483</v>
          </cell>
          <cell r="GK1567" t="str">
            <v>HAD A BALL</v>
          </cell>
          <cell r="GL1567" t="str">
            <v>9 LEADS 3 JUMPERS CONNECTED UVW NUMBERS</v>
          </cell>
          <cell r="GM1567" t="str">
            <v>2 RED OLS</v>
          </cell>
          <cell r="GN1567" t="str">
            <v>LEADS MEASURED FROM CASE 24 INCHES LONG</v>
          </cell>
          <cell r="HD1567" t="str">
            <v>Repair Shop</v>
          </cell>
          <cell r="HT1567" t="b">
            <v>0</v>
          </cell>
          <cell r="HU1567" t="str">
            <v>VALERO REFINING CO. BENICIA</v>
          </cell>
        </row>
        <row r="1568">
          <cell r="A1568">
            <v>1161</v>
          </cell>
          <cell r="B1568" t="str">
            <v>VEM0135</v>
          </cell>
          <cell r="D1568" t="str">
            <v>SUPERSTORES</v>
          </cell>
          <cell r="AG1568" t="str">
            <v>HP</v>
          </cell>
          <cell r="AV1568" t="b">
            <v>0</v>
          </cell>
          <cell r="HD1568" t="str">
            <v>Repair Shop</v>
          </cell>
          <cell r="HT1568" t="b">
            <v>0</v>
          </cell>
          <cell r="HU1568" t="str">
            <v>Producers Dairy Foods</v>
          </cell>
        </row>
        <row r="1569">
          <cell r="A1569">
            <v>1160</v>
          </cell>
          <cell r="B1569" t="str">
            <v>VEM0134</v>
          </cell>
          <cell r="D1569" t="str">
            <v>VALERO</v>
          </cell>
          <cell r="F1569" t="str">
            <v>Westinghouse</v>
          </cell>
          <cell r="G1569" t="str">
            <v>TBFC</v>
          </cell>
          <cell r="H1569" t="str">
            <v>6708</v>
          </cell>
          <cell r="I1569" t="str">
            <v>256T</v>
          </cell>
          <cell r="K1569" t="str">
            <v>20</v>
          </cell>
          <cell r="L1569" t="str">
            <v>1755</v>
          </cell>
          <cell r="O1569" t="str">
            <v>Full no Cord</v>
          </cell>
          <cell r="P1569" t="str">
            <v>TEFC</v>
          </cell>
          <cell r="Q1569" t="str">
            <v>No</v>
          </cell>
          <cell r="R1569" t="str">
            <v>Continuous</v>
          </cell>
          <cell r="S1569" t="str">
            <v>No</v>
          </cell>
          <cell r="T1569" t="str">
            <v>YES</v>
          </cell>
          <cell r="U1569" t="str">
            <v>40C</v>
          </cell>
          <cell r="V1569" t="str">
            <v>3</v>
          </cell>
          <cell r="W1569" t="str">
            <v>60</v>
          </cell>
          <cell r="X1569" t="str">
            <v>230/460</v>
          </cell>
          <cell r="AA1569" t="str">
            <v>F1</v>
          </cell>
          <cell r="AD1569" t="str">
            <v>0</v>
          </cell>
          <cell r="AG1569" t="str">
            <v>HP</v>
          </cell>
          <cell r="AP1569" t="str">
            <v>F</v>
          </cell>
          <cell r="AQ1569" t="str">
            <v>B</v>
          </cell>
          <cell r="AS1569" t="str">
            <v>1.0</v>
          </cell>
          <cell r="AV1569" t="b">
            <v>0</v>
          </cell>
          <cell r="AW1569" t="str">
            <v>49/24.5</v>
          </cell>
          <cell r="AX1569" t="str">
            <v>4</v>
          </cell>
          <cell r="EW1569" t="str">
            <v>06-20H4TBFC-SKB</v>
          </cell>
          <cell r="EY1569" t="str">
            <v>660B103G53</v>
          </cell>
          <cell r="HD1569" t="str">
            <v>Repair Shop</v>
          </cell>
          <cell r="HT1569" t="b">
            <v>0</v>
          </cell>
          <cell r="HU1569" t="str">
            <v>VALERO REFINING CO. BENICIA</v>
          </cell>
        </row>
        <row r="1570">
          <cell r="A1570">
            <v>1159</v>
          </cell>
          <cell r="B1570" t="str">
            <v>VEM0133</v>
          </cell>
          <cell r="D1570" t="str">
            <v>COUNTYASPHALT</v>
          </cell>
          <cell r="F1570" t="str">
            <v>Baldor</v>
          </cell>
          <cell r="H1570" t="str">
            <v>Z0201030363</v>
          </cell>
          <cell r="I1570" t="str">
            <v>365T</v>
          </cell>
          <cell r="K1570" t="str">
            <v>75</v>
          </cell>
          <cell r="L1570" t="str">
            <v>1770</v>
          </cell>
          <cell r="O1570" t="str">
            <v>None</v>
          </cell>
          <cell r="P1570" t="str">
            <v>ODP</v>
          </cell>
          <cell r="Q1570" t="str">
            <v>No</v>
          </cell>
          <cell r="R1570" t="str">
            <v>Continuous</v>
          </cell>
          <cell r="S1570" t="str">
            <v>No</v>
          </cell>
          <cell r="T1570" t="str">
            <v>NO</v>
          </cell>
          <cell r="U1570" t="str">
            <v>40C</v>
          </cell>
          <cell r="V1570" t="str">
            <v>3</v>
          </cell>
          <cell r="W1570" t="str">
            <v>60</v>
          </cell>
          <cell r="X1570" t="str">
            <v>230/460</v>
          </cell>
          <cell r="Z1570" t="str">
            <v>No</v>
          </cell>
          <cell r="AA1570" t="str">
            <v>F1</v>
          </cell>
          <cell r="AG1570" t="str">
            <v>HP</v>
          </cell>
          <cell r="AI1570" t="str">
            <v>6313</v>
          </cell>
          <cell r="AJ1570" t="str">
            <v>6311</v>
          </cell>
          <cell r="AO1570" t="str">
            <v>B</v>
          </cell>
          <cell r="AP1570" t="str">
            <v>G</v>
          </cell>
          <cell r="AQ1570" t="str">
            <v>B</v>
          </cell>
          <cell r="AR1570" t="str">
            <v>86</v>
          </cell>
          <cell r="AS1570" t="str">
            <v>1.15</v>
          </cell>
          <cell r="AT1570" t="str">
            <v>94.1</v>
          </cell>
          <cell r="AU1570" t="str">
            <v>42F099W584H1</v>
          </cell>
          <cell r="AV1570" t="b">
            <v>0</v>
          </cell>
          <cell r="AW1570" t="str">
            <v>174/87</v>
          </cell>
          <cell r="EW1570" t="str">
            <v>M2551T</v>
          </cell>
          <cell r="HD1570" t="str">
            <v>Repair Shop</v>
          </cell>
          <cell r="HT1570" t="b">
            <v>0</v>
          </cell>
          <cell r="HU1570" t="str">
            <v>COUNTY ASPHALT</v>
          </cell>
        </row>
        <row r="1571">
          <cell r="A1571">
            <v>1158</v>
          </cell>
          <cell r="B1571" t="str">
            <v>VEM0132</v>
          </cell>
          <cell r="D1571" t="str">
            <v>VALLEJOSAN</v>
          </cell>
          <cell r="F1571" t="str">
            <v>Emerson</v>
          </cell>
          <cell r="G1571" t="str">
            <v>10708416-100</v>
          </cell>
          <cell r="I1571" t="str">
            <v>324TP</v>
          </cell>
          <cell r="K1571" t="str">
            <v>50</v>
          </cell>
          <cell r="L1571" t="str">
            <v>3565</v>
          </cell>
          <cell r="M1571" t="str">
            <v>RUS</v>
          </cell>
          <cell r="N1571" t="str">
            <v>635</v>
          </cell>
          <cell r="O1571" t="str">
            <v>Full no Cord</v>
          </cell>
          <cell r="P1571" t="str">
            <v>TEFC</v>
          </cell>
          <cell r="Q1571" t="str">
            <v>No</v>
          </cell>
          <cell r="R1571" t="str">
            <v>Continuous</v>
          </cell>
          <cell r="S1571" t="str">
            <v>No</v>
          </cell>
          <cell r="T1571" t="str">
            <v>NONE</v>
          </cell>
          <cell r="U1571" t="str">
            <v>40C</v>
          </cell>
          <cell r="V1571" t="str">
            <v>3</v>
          </cell>
          <cell r="W1571" t="str">
            <v>60</v>
          </cell>
          <cell r="X1571" t="str">
            <v>230/460</v>
          </cell>
          <cell r="Z1571" t="str">
            <v>No</v>
          </cell>
          <cell r="AA1571" t="str">
            <v>Vertical</v>
          </cell>
          <cell r="AD1571" t="str">
            <v>0</v>
          </cell>
          <cell r="AG1571" t="str">
            <v>HP</v>
          </cell>
          <cell r="AI1571" t="str">
            <v>6211-J</v>
          </cell>
          <cell r="AJ1571" t="str">
            <v>7220-BECBM</v>
          </cell>
          <cell r="AO1571" t="str">
            <v>B</v>
          </cell>
          <cell r="AP1571" t="str">
            <v>G</v>
          </cell>
          <cell r="AQ1571" t="str">
            <v>F</v>
          </cell>
          <cell r="AR1571" t="str">
            <v>88.3</v>
          </cell>
          <cell r="AS1571" t="str">
            <v>1.15</v>
          </cell>
          <cell r="AT1571" t="str">
            <v>91.7</v>
          </cell>
          <cell r="AV1571" t="b">
            <v>0</v>
          </cell>
          <cell r="AW1571" t="str">
            <v>116/58</v>
          </cell>
          <cell r="EX1571" t="str">
            <v>10708416-0001 M 0001</v>
          </cell>
          <cell r="GK1571" t="str">
            <v>WITH TOP HAT AND ANTI-REVERSE WITH BALLS</v>
          </cell>
          <cell r="HD1571" t="str">
            <v>Repair Shop</v>
          </cell>
          <cell r="HT1571" t="b">
            <v>0</v>
          </cell>
          <cell r="HU1571" t="str">
            <v>VALLEJO FLOOD &amp; WASTEWATER DISTRICT</v>
          </cell>
        </row>
        <row r="1572">
          <cell r="A1572">
            <v>1157</v>
          </cell>
          <cell r="B1572" t="str">
            <v>VEM0131</v>
          </cell>
          <cell r="D1572" t="str">
            <v>COUNTYASPHALT</v>
          </cell>
          <cell r="F1572" t="str">
            <v>Lincoln</v>
          </cell>
          <cell r="G1572" t="str">
            <v>SD2P60T6TY</v>
          </cell>
          <cell r="H1572" t="str">
            <v>766929702/19-01</v>
          </cell>
          <cell r="I1572" t="str">
            <v>326T</v>
          </cell>
          <cell r="K1572" t="str">
            <v>60</v>
          </cell>
          <cell r="L1572" t="str">
            <v>3550</v>
          </cell>
          <cell r="O1572" t="str">
            <v>None</v>
          </cell>
          <cell r="P1572" t="str">
            <v>ODP</v>
          </cell>
          <cell r="Q1572" t="str">
            <v>No</v>
          </cell>
          <cell r="R1572" t="str">
            <v>Continuous</v>
          </cell>
          <cell r="S1572" t="str">
            <v>No</v>
          </cell>
          <cell r="T1572" t="str">
            <v>NO</v>
          </cell>
          <cell r="U1572" t="str">
            <v>40C</v>
          </cell>
          <cell r="V1572" t="str">
            <v>3</v>
          </cell>
          <cell r="W1572" t="str">
            <v>60/50</v>
          </cell>
          <cell r="X1572" t="str">
            <v>230/460</v>
          </cell>
          <cell r="Z1572" t="str">
            <v>No</v>
          </cell>
          <cell r="AA1572" t="str">
            <v>F1</v>
          </cell>
          <cell r="AG1572" t="str">
            <v>HP</v>
          </cell>
          <cell r="AI1572" t="str">
            <v>6311</v>
          </cell>
          <cell r="AJ1572" t="str">
            <v>6309</v>
          </cell>
          <cell r="AO1572" t="str">
            <v>BC</v>
          </cell>
          <cell r="AP1572" t="str">
            <v>F</v>
          </cell>
          <cell r="AQ1572" t="str">
            <v>F</v>
          </cell>
          <cell r="AR1572" t="str">
            <v>91.5</v>
          </cell>
          <cell r="AS1572" t="str">
            <v>1.25</v>
          </cell>
          <cell r="AT1572" t="str">
            <v>93</v>
          </cell>
          <cell r="AV1572" t="b">
            <v>0</v>
          </cell>
          <cell r="AW1572" t="str">
            <v>131/65.5</v>
          </cell>
          <cell r="EX1572" t="str">
            <v>FVB-LM18543BA-R</v>
          </cell>
          <cell r="HD1572" t="str">
            <v>Repair Shop</v>
          </cell>
          <cell r="HT1572" t="b">
            <v>0</v>
          </cell>
          <cell r="HU1572" t="str">
            <v>COUNTY ASPHALT</v>
          </cell>
        </row>
        <row r="1573">
          <cell r="A1573">
            <v>1156</v>
          </cell>
          <cell r="B1573" t="str">
            <v>VEM0130</v>
          </cell>
          <cell r="D1573" t="str">
            <v>P66</v>
          </cell>
          <cell r="F1573" t="str">
            <v>Reliance</v>
          </cell>
          <cell r="G1573" t="str">
            <v>P25G0403J</v>
          </cell>
          <cell r="I1573" t="str">
            <v>254T</v>
          </cell>
          <cell r="K1573" t="str">
            <v>15</v>
          </cell>
          <cell r="L1573" t="str">
            <v>3525</v>
          </cell>
          <cell r="M1573" t="str">
            <v>P</v>
          </cell>
          <cell r="N1573" t="str">
            <v>322</v>
          </cell>
          <cell r="O1573" t="str">
            <v>None</v>
          </cell>
          <cell r="P1573" t="str">
            <v>TEFC</v>
          </cell>
          <cell r="Q1573" t="str">
            <v>No</v>
          </cell>
          <cell r="R1573" t="str">
            <v>Continuous</v>
          </cell>
          <cell r="S1573" t="str">
            <v>Yes</v>
          </cell>
          <cell r="T1573" t="str">
            <v>NO</v>
          </cell>
          <cell r="U1573" t="str">
            <v>40C</v>
          </cell>
          <cell r="V1573" t="str">
            <v>3</v>
          </cell>
          <cell r="W1573" t="str">
            <v>60</v>
          </cell>
          <cell r="X1573" t="str">
            <v>230/460</v>
          </cell>
          <cell r="Z1573" t="str">
            <v>LIP SEAL</v>
          </cell>
          <cell r="AA1573" t="str">
            <v>F1</v>
          </cell>
          <cell r="AG1573" t="str">
            <v>HP</v>
          </cell>
          <cell r="AO1573" t="str">
            <v>B</v>
          </cell>
          <cell r="AP1573" t="str">
            <v>G</v>
          </cell>
          <cell r="AQ1573" t="str">
            <v>F</v>
          </cell>
          <cell r="AR1573" t="str">
            <v>90.9</v>
          </cell>
          <cell r="AS1573" t="str">
            <v>1.15</v>
          </cell>
          <cell r="AT1573" t="str">
            <v>91.7</v>
          </cell>
          <cell r="AV1573" t="b">
            <v>0</v>
          </cell>
          <cell r="AW1573" t="str">
            <v>33.8/16.9</v>
          </cell>
          <cell r="EX1573" t="str">
            <v>04GP250403 G 2 PX</v>
          </cell>
          <cell r="HD1573" t="str">
            <v>Repair Shop</v>
          </cell>
          <cell r="HT1573" t="b">
            <v>0</v>
          </cell>
          <cell r="HU1573" t="str">
            <v>PHILLIPS 66</v>
          </cell>
        </row>
        <row r="1574">
          <cell r="A1574">
            <v>1155</v>
          </cell>
          <cell r="B1574" t="str">
            <v>VEM0129</v>
          </cell>
          <cell r="D1574" t="str">
            <v>GODFATHER</v>
          </cell>
          <cell r="F1574" t="str">
            <v>UNKNOWN</v>
          </cell>
          <cell r="G1574" t="str">
            <v>MA-AL90L24-4</v>
          </cell>
          <cell r="H1574" t="str">
            <v>T532/9102</v>
          </cell>
          <cell r="K1574" t="str">
            <v>1.5</v>
          </cell>
          <cell r="L1574" t="str">
            <v>1410/1690</v>
          </cell>
          <cell r="X1574" t="str">
            <v>230/400</v>
          </cell>
          <cell r="AD1574" t="str">
            <v>-1</v>
          </cell>
          <cell r="AG1574" t="str">
            <v>HP</v>
          </cell>
          <cell r="AV1574" t="b">
            <v>0</v>
          </cell>
          <cell r="HD1574" t="str">
            <v>Repair Shop</v>
          </cell>
          <cell r="HT1574" t="b">
            <v>0</v>
          </cell>
          <cell r="HU1574" t="str">
            <v>GODFATHER WINERY</v>
          </cell>
        </row>
        <row r="1575">
          <cell r="A1575">
            <v>1154</v>
          </cell>
          <cell r="B1575" t="str">
            <v>VEM0128</v>
          </cell>
          <cell r="D1575" t="str">
            <v>ALLEN</v>
          </cell>
          <cell r="AG1575" t="str">
            <v>HP</v>
          </cell>
          <cell r="AV1575" t="b">
            <v>0</v>
          </cell>
          <cell r="HD1575" t="str">
            <v>Repair Shop</v>
          </cell>
          <cell r="HT1575" t="b">
            <v>0</v>
          </cell>
          <cell r="HU1575" t="str">
            <v>ALLEN-SIMMONS HEATING &amp; SHEET METAL</v>
          </cell>
        </row>
        <row r="1576">
          <cell r="A1576">
            <v>1153</v>
          </cell>
          <cell r="B1576" t="str">
            <v>VEM0127</v>
          </cell>
          <cell r="D1576" t="str">
            <v>ALLEN</v>
          </cell>
          <cell r="AG1576" t="str">
            <v>HP</v>
          </cell>
          <cell r="AV1576" t="b">
            <v>0</v>
          </cell>
          <cell r="HD1576" t="str">
            <v>Repair Shop</v>
          </cell>
          <cell r="HT1576" t="b">
            <v>0</v>
          </cell>
          <cell r="HU1576" t="str">
            <v>ALLEN-SIMMONS HEATING &amp; SHEET METAL</v>
          </cell>
        </row>
        <row r="1577">
          <cell r="A1577">
            <v>1152</v>
          </cell>
          <cell r="B1577" t="str">
            <v>VEM0126</v>
          </cell>
          <cell r="D1577" t="str">
            <v>ALLBAY</v>
          </cell>
          <cell r="AG1577" t="str">
            <v>HP</v>
          </cell>
          <cell r="AV1577" t="b">
            <v>0</v>
          </cell>
          <cell r="HD1577" t="str">
            <v>Repair Shop</v>
          </cell>
          <cell r="HT1577" t="b">
            <v>0</v>
          </cell>
          <cell r="HU1577" t="str">
            <v>ALL BAY LUMBER</v>
          </cell>
        </row>
        <row r="1578">
          <cell r="A1578">
            <v>1151</v>
          </cell>
          <cell r="B1578" t="str">
            <v>VEM0125</v>
          </cell>
          <cell r="D1578" t="str">
            <v>VALLEJOSCHOOLS</v>
          </cell>
          <cell r="F1578" t="str">
            <v>TACO</v>
          </cell>
          <cell r="G1578" t="str">
            <v>F12009E2EAJ1L0A</v>
          </cell>
          <cell r="AD1578" t="str">
            <v>-1</v>
          </cell>
          <cell r="AG1578" t="str">
            <v>HP</v>
          </cell>
          <cell r="AV1578" t="b">
            <v>0</v>
          </cell>
          <cell r="BB1578" t="str">
            <v>8.4</v>
          </cell>
          <cell r="BC1578" t="str">
            <v>75</v>
          </cell>
          <cell r="BE1578" t="str">
            <v>110</v>
          </cell>
          <cell r="HD1578" t="str">
            <v>Repair Shop</v>
          </cell>
          <cell r="HT1578" t="b">
            <v>0</v>
          </cell>
          <cell r="HU1578" t="str">
            <v>VALLEJO UNIFIED SCHOOL DIST.</v>
          </cell>
        </row>
        <row r="1579">
          <cell r="A1579">
            <v>1150</v>
          </cell>
          <cell r="B1579" t="str">
            <v>VEM0124</v>
          </cell>
          <cell r="D1579" t="str">
            <v>NAPAVALLEY</v>
          </cell>
          <cell r="F1579" t="str">
            <v>Emerson</v>
          </cell>
          <cell r="G1579" t="str">
            <v>S484</v>
          </cell>
          <cell r="I1579" t="str">
            <v>284JP</v>
          </cell>
          <cell r="K1579" t="str">
            <v>30</v>
          </cell>
          <cell r="L1579" t="str">
            <v>3560</v>
          </cell>
          <cell r="M1579" t="str">
            <v>FD1</v>
          </cell>
          <cell r="N1579" t="str">
            <v>225</v>
          </cell>
          <cell r="O1579" t="str">
            <v>Half no Cord</v>
          </cell>
          <cell r="P1579" t="str">
            <v>ODP</v>
          </cell>
          <cell r="Q1579" t="str">
            <v>No</v>
          </cell>
          <cell r="R1579" t="str">
            <v>Continuous</v>
          </cell>
          <cell r="S1579" t="str">
            <v>No</v>
          </cell>
          <cell r="T1579" t="str">
            <v>BUSHING</v>
          </cell>
          <cell r="U1579" t="str">
            <v>40C</v>
          </cell>
          <cell r="V1579" t="str">
            <v>3</v>
          </cell>
          <cell r="W1579" t="str">
            <v>60</v>
          </cell>
          <cell r="X1579" t="str">
            <v>208-230/460</v>
          </cell>
          <cell r="AA1579" t="str">
            <v>F1</v>
          </cell>
          <cell r="AD1579" t="str">
            <v>0</v>
          </cell>
          <cell r="AG1579" t="str">
            <v>HP</v>
          </cell>
          <cell r="AI1579" t="str">
            <v>6311-2ZJC3</v>
          </cell>
          <cell r="AJ1579" t="str">
            <v>6210-2ZJC3</v>
          </cell>
          <cell r="AO1579" t="str">
            <v>B</v>
          </cell>
          <cell r="AP1579" t="str">
            <v>F</v>
          </cell>
          <cell r="AQ1579" t="str">
            <v>F</v>
          </cell>
          <cell r="AR1579" t="str">
            <v>88.6</v>
          </cell>
          <cell r="AS1579" t="str">
            <v>1.15</v>
          </cell>
          <cell r="AT1579" t="str">
            <v>91</v>
          </cell>
          <cell r="AV1579" t="b">
            <v>0</v>
          </cell>
          <cell r="AW1579" t="str">
            <v>80-70/35</v>
          </cell>
          <cell r="AX1579" t="str">
            <v>2</v>
          </cell>
          <cell r="EW1579" t="str">
            <v>DJ30E1DP</v>
          </cell>
          <cell r="EX1579" t="str">
            <v>S 07 7493661-0017 M 0002</v>
          </cell>
          <cell r="HD1579" t="str">
            <v>Repair Shop</v>
          </cell>
          <cell r="HT1579" t="b">
            <v>0</v>
          </cell>
          <cell r="HU1579" t="str">
            <v>NAPA VALLEY UNIFIED SCHOOL DIST</v>
          </cell>
        </row>
        <row r="1580">
          <cell r="A1580">
            <v>1149</v>
          </cell>
          <cell r="B1580" t="str">
            <v>VEM0123</v>
          </cell>
          <cell r="D1580" t="str">
            <v>P66</v>
          </cell>
          <cell r="F1580" t="str">
            <v>Reliance</v>
          </cell>
          <cell r="G1580" t="str">
            <v>6330001</v>
          </cell>
          <cell r="I1580" t="str">
            <v>254HPZ</v>
          </cell>
          <cell r="K1580" t="str">
            <v>15</v>
          </cell>
          <cell r="L1580" t="str">
            <v>3530</v>
          </cell>
          <cell r="O1580" t="str">
            <v>None</v>
          </cell>
          <cell r="P1580" t="str">
            <v>TEFC</v>
          </cell>
          <cell r="V1580" t="str">
            <v>3</v>
          </cell>
          <cell r="W1580" t="str">
            <v>60</v>
          </cell>
          <cell r="X1580" t="str">
            <v>460</v>
          </cell>
          <cell r="Z1580" t="str">
            <v>Yes</v>
          </cell>
          <cell r="AD1580" t="str">
            <v>0</v>
          </cell>
          <cell r="AG1580" t="str">
            <v>HP</v>
          </cell>
          <cell r="AV1580" t="b">
            <v>0</v>
          </cell>
          <cell r="AW1580" t="str">
            <v>16.8</v>
          </cell>
          <cell r="HD1580" t="str">
            <v>Repair Shop</v>
          </cell>
          <cell r="HT1580" t="b">
            <v>0</v>
          </cell>
          <cell r="HU1580" t="str">
            <v>PHILLIPS 66</v>
          </cell>
        </row>
        <row r="1581">
          <cell r="A1581">
            <v>1148</v>
          </cell>
          <cell r="B1581" t="str">
            <v>VEM0122</v>
          </cell>
          <cell r="D1581" t="str">
            <v>P66</v>
          </cell>
          <cell r="F1581" t="str">
            <v>Baldor</v>
          </cell>
          <cell r="G1581" t="str">
            <v>35E964-0863G5</v>
          </cell>
          <cell r="I1581" t="str">
            <v>56CZ</v>
          </cell>
          <cell r="K1581" t="str">
            <v>3</v>
          </cell>
          <cell r="L1581" t="str">
            <v>3450</v>
          </cell>
          <cell r="O1581" t="str">
            <v>Full no Cord</v>
          </cell>
          <cell r="P1581" t="str">
            <v>TEFC</v>
          </cell>
          <cell r="X1581" t="str">
            <v>230/460</v>
          </cell>
          <cell r="AG1581" t="str">
            <v>HP</v>
          </cell>
          <cell r="AV1581" t="b">
            <v>0</v>
          </cell>
          <cell r="AW1581" t="str">
            <v>7.4/3.7</v>
          </cell>
          <cell r="GK1581" t="str">
            <v>CAME WITH NUT</v>
          </cell>
          <cell r="HD1581" t="str">
            <v>Repair Shop</v>
          </cell>
          <cell r="HT1581" t="b">
            <v>0</v>
          </cell>
          <cell r="HU1581" t="str">
            <v>PHILLIPS 66</v>
          </cell>
        </row>
        <row r="1582">
          <cell r="A1582">
            <v>1147</v>
          </cell>
          <cell r="B1582" t="str">
            <v>VEM0121</v>
          </cell>
          <cell r="D1582" t="str">
            <v>C&amp;H</v>
          </cell>
          <cell r="F1582" t="str">
            <v>US Motors</v>
          </cell>
          <cell r="G1582" t="str">
            <v>GO5133/R12R2220Z14</v>
          </cell>
          <cell r="I1582" t="str">
            <v>256TD</v>
          </cell>
          <cell r="K1582" t="str">
            <v>20</v>
          </cell>
          <cell r="M1582" t="str">
            <v>ED</v>
          </cell>
          <cell r="R1582" t="str">
            <v>Continuous</v>
          </cell>
          <cell r="V1582" t="str">
            <v>3</v>
          </cell>
          <cell r="W1582" t="str">
            <v>60</v>
          </cell>
          <cell r="X1582" t="str">
            <v>230/460</v>
          </cell>
          <cell r="Y1582" t="str">
            <v>49/24.5</v>
          </cell>
          <cell r="AG1582" t="str">
            <v>HP</v>
          </cell>
          <cell r="AV1582" t="b">
            <v>0</v>
          </cell>
          <cell r="GK1582" t="str">
            <v>TACH VOLTS 42AC</v>
          </cell>
          <cell r="HD1582" t="str">
            <v>Repair Shop</v>
          </cell>
          <cell r="HT1582" t="b">
            <v>0</v>
          </cell>
          <cell r="HU1582" t="str">
            <v>C &amp; H SUGAR CO.</v>
          </cell>
        </row>
        <row r="1583">
          <cell r="A1583">
            <v>1145</v>
          </cell>
          <cell r="B1583" t="str">
            <v>VEM0119</v>
          </cell>
          <cell r="D1583" t="str">
            <v>C&amp;H</v>
          </cell>
          <cell r="F1583" t="str">
            <v>Westinghouse</v>
          </cell>
          <cell r="G1583" t="str">
            <v>TBFC</v>
          </cell>
          <cell r="H1583" t="str">
            <v>8302</v>
          </cell>
          <cell r="I1583" t="str">
            <v>215TY</v>
          </cell>
          <cell r="K1583" t="str">
            <v>10</v>
          </cell>
          <cell r="L1583" t="str">
            <v>1760</v>
          </cell>
          <cell r="P1583" t="str">
            <v>TEFC</v>
          </cell>
          <cell r="Q1583" t="str">
            <v>NONE</v>
          </cell>
          <cell r="R1583" t="str">
            <v>Continuous</v>
          </cell>
          <cell r="S1583" t="str">
            <v>NONE</v>
          </cell>
          <cell r="T1583" t="str">
            <v>NONE</v>
          </cell>
          <cell r="U1583" t="str">
            <v>40</v>
          </cell>
          <cell r="V1583" t="str">
            <v>3</v>
          </cell>
          <cell r="W1583" t="str">
            <v>60</v>
          </cell>
          <cell r="X1583" t="str">
            <v>460</v>
          </cell>
          <cell r="AA1583" t="str">
            <v>Vertical</v>
          </cell>
          <cell r="AD1583" t="str">
            <v>-1</v>
          </cell>
          <cell r="AG1583" t="str">
            <v>HP</v>
          </cell>
          <cell r="AI1583" t="str">
            <v>6207</v>
          </cell>
          <cell r="AJ1583" t="str">
            <v>6206</v>
          </cell>
          <cell r="AO1583" t="str">
            <v>B</v>
          </cell>
          <cell r="AP1583" t="str">
            <v>H</v>
          </cell>
          <cell r="AQ1583" t="str">
            <v>F</v>
          </cell>
          <cell r="AS1583" t="str">
            <v>1.15</v>
          </cell>
          <cell r="AT1583" t="str">
            <v>88.5</v>
          </cell>
          <cell r="AV1583" t="b">
            <v>0</v>
          </cell>
          <cell r="AW1583" t="str">
            <v>13</v>
          </cell>
          <cell r="BY1583" t="str">
            <v>20.9</v>
          </cell>
          <cell r="CE1583" t="str">
            <v>10</v>
          </cell>
          <cell r="CH1583" t="str">
            <v>NO</v>
          </cell>
          <cell r="EY1583" t="str">
            <v>82D65984</v>
          </cell>
          <cell r="HD1583" t="str">
            <v>Repair Shop</v>
          </cell>
          <cell r="HT1583" t="b">
            <v>0</v>
          </cell>
          <cell r="HU1583" t="str">
            <v>C &amp; H SUGAR CO.</v>
          </cell>
        </row>
        <row r="1584">
          <cell r="A1584">
            <v>1144</v>
          </cell>
          <cell r="B1584" t="str">
            <v>VEM0118</v>
          </cell>
          <cell r="D1584" t="str">
            <v>C&amp;H</v>
          </cell>
          <cell r="F1584" t="str">
            <v>Baldor-Reliance</v>
          </cell>
          <cell r="H1584" t="str">
            <v>F1306106613</v>
          </cell>
          <cell r="I1584" t="str">
            <v>184TC</v>
          </cell>
          <cell r="K1584" t="str">
            <v>5</v>
          </cell>
          <cell r="L1584" t="str">
            <v>3450</v>
          </cell>
          <cell r="O1584" t="str">
            <v>Full no Cord</v>
          </cell>
          <cell r="P1584" t="str">
            <v>TEFC</v>
          </cell>
          <cell r="Q1584" t="str">
            <v>NONE</v>
          </cell>
          <cell r="R1584" t="str">
            <v>Continuous</v>
          </cell>
          <cell r="S1584" t="str">
            <v>NONE</v>
          </cell>
          <cell r="T1584" t="str">
            <v>NUT`</v>
          </cell>
          <cell r="U1584" t="str">
            <v>40C</v>
          </cell>
          <cell r="V1584" t="str">
            <v>3</v>
          </cell>
          <cell r="W1584" t="str">
            <v>60</v>
          </cell>
          <cell r="X1584" t="str">
            <v>460</v>
          </cell>
          <cell r="Z1584" t="str">
            <v>No</v>
          </cell>
          <cell r="AA1584" t="str">
            <v>F1</v>
          </cell>
          <cell r="AG1584" t="str">
            <v>HP</v>
          </cell>
          <cell r="AI1584" t="str">
            <v>6206</v>
          </cell>
          <cell r="AJ1584" t="str">
            <v>6206</v>
          </cell>
          <cell r="AO1584" t="str">
            <v>B</v>
          </cell>
          <cell r="AP1584" t="str">
            <v>J</v>
          </cell>
          <cell r="AQ1584" t="str">
            <v>F</v>
          </cell>
          <cell r="AR1584" t="str">
            <v>93</v>
          </cell>
          <cell r="AS1584" t="str">
            <v>1.15</v>
          </cell>
          <cell r="AT1584" t="str">
            <v>89.5</v>
          </cell>
          <cell r="AU1584" t="str">
            <v>06H770W800</v>
          </cell>
          <cell r="AV1584" t="b">
            <v>0</v>
          </cell>
          <cell r="AW1584" t="str">
            <v>5.6</v>
          </cell>
          <cell r="AX1584" t="str">
            <v>2</v>
          </cell>
          <cell r="EW1584" t="str">
            <v>CECP3363T-4</v>
          </cell>
          <cell r="HD1584" t="str">
            <v>Repair Shop</v>
          </cell>
          <cell r="HT1584" t="b">
            <v>0</v>
          </cell>
          <cell r="HU1584" t="str">
            <v>C &amp; H SUGAR CO.</v>
          </cell>
        </row>
        <row r="1585">
          <cell r="A1585">
            <v>1143</v>
          </cell>
          <cell r="B1585" t="str">
            <v>VEM0117</v>
          </cell>
          <cell r="D1585" t="str">
            <v>P66</v>
          </cell>
          <cell r="F1585" t="str">
            <v>Westinghouse</v>
          </cell>
          <cell r="H1585" t="str">
            <v>7001</v>
          </cell>
          <cell r="I1585" t="str">
            <v>364TS</v>
          </cell>
          <cell r="K1585" t="str">
            <v>60</v>
          </cell>
          <cell r="L1585" t="str">
            <v>3555</v>
          </cell>
          <cell r="P1585" t="str">
            <v>TBFC</v>
          </cell>
          <cell r="R1585" t="str">
            <v>Continuous</v>
          </cell>
          <cell r="U1585" t="str">
            <v>40C</v>
          </cell>
          <cell r="V1585" t="str">
            <v>3</v>
          </cell>
          <cell r="W1585" t="str">
            <v>60</v>
          </cell>
          <cell r="X1585" t="str">
            <v>460</v>
          </cell>
          <cell r="Y1585" t="str">
            <v>68</v>
          </cell>
          <cell r="AG1585" t="str">
            <v>HP</v>
          </cell>
          <cell r="AI1585" t="str">
            <v>2736D30C03</v>
          </cell>
          <cell r="AJ1585" t="str">
            <v>2736D30C03</v>
          </cell>
          <cell r="AQ1585" t="str">
            <v>F</v>
          </cell>
          <cell r="AS1585" t="str">
            <v>1.0</v>
          </cell>
          <cell r="AV1585" t="b">
            <v>0</v>
          </cell>
          <cell r="EY1585" t="str">
            <v>69C51543</v>
          </cell>
          <cell r="HD1585" t="str">
            <v>Repair Shop</v>
          </cell>
          <cell r="HT1585" t="b">
            <v>0</v>
          </cell>
          <cell r="HU1585" t="str">
            <v>PHILLIPS 66</v>
          </cell>
        </row>
        <row r="1586">
          <cell r="A1586">
            <v>1142</v>
          </cell>
          <cell r="B1586" t="str">
            <v>VEM0116</v>
          </cell>
          <cell r="D1586" t="str">
            <v>BENICIAWASTE</v>
          </cell>
          <cell r="F1586" t="str">
            <v>Sew-Eurodrive</v>
          </cell>
          <cell r="G1586" t="str">
            <v>KAF87 DRE132M4</v>
          </cell>
          <cell r="H1586" t="str">
            <v>87.7296708601.0001.16.60</v>
          </cell>
          <cell r="K1586" t="str">
            <v>7.5</v>
          </cell>
          <cell r="L1586" t="str">
            <v>1755</v>
          </cell>
          <cell r="N1586" t="str">
            <v>336</v>
          </cell>
          <cell r="O1586" t="str">
            <v>Full no Cord</v>
          </cell>
          <cell r="P1586" t="str">
            <v>TEFC</v>
          </cell>
          <cell r="Q1586" t="str">
            <v>No</v>
          </cell>
          <cell r="R1586" t="str">
            <v>Continuous</v>
          </cell>
          <cell r="S1586" t="str">
            <v>No</v>
          </cell>
          <cell r="U1586" t="str">
            <v>-20c To 40C</v>
          </cell>
          <cell r="V1586" t="str">
            <v>3</v>
          </cell>
          <cell r="W1586" t="str">
            <v>60</v>
          </cell>
          <cell r="X1586" t="str">
            <v>230/460</v>
          </cell>
          <cell r="Z1586" t="str">
            <v>FLINGER</v>
          </cell>
          <cell r="AA1586" t="str">
            <v>Vertical</v>
          </cell>
          <cell r="AG1586" t="str">
            <v>HP</v>
          </cell>
          <cell r="AO1586" t="str">
            <v>A</v>
          </cell>
          <cell r="AP1586" t="str">
            <v>J</v>
          </cell>
          <cell r="AR1586" t="str">
            <v>85</v>
          </cell>
          <cell r="AS1586" t="str">
            <v>1.15</v>
          </cell>
          <cell r="AT1586" t="str">
            <v>89.5</v>
          </cell>
          <cell r="AV1586" t="b">
            <v>0</v>
          </cell>
          <cell r="AW1586" t="str">
            <v>18/9</v>
          </cell>
          <cell r="HD1586" t="str">
            <v>Repair Shop</v>
          </cell>
          <cell r="HO1586" t="str">
            <v>300-1800</v>
          </cell>
          <cell r="HT1586" t="b">
            <v>0</v>
          </cell>
          <cell r="HU1586" t="str">
            <v>CITY OF BENICIA WASTE WATER</v>
          </cell>
        </row>
        <row r="1587">
          <cell r="A1587">
            <v>1141</v>
          </cell>
          <cell r="B1587" t="str">
            <v>VEM0115</v>
          </cell>
          <cell r="D1587" t="str">
            <v>UNICO</v>
          </cell>
          <cell r="F1587" t="str">
            <v>US Motors</v>
          </cell>
          <cell r="G1587" t="str">
            <v>NON HYDRO</v>
          </cell>
          <cell r="H1587" t="str">
            <v>P4184627</v>
          </cell>
          <cell r="I1587" t="str">
            <v>364TS</v>
          </cell>
          <cell r="K1587" t="str">
            <v>40</v>
          </cell>
          <cell r="L1587" t="str">
            <v>1170</v>
          </cell>
          <cell r="M1587" t="str">
            <v>P</v>
          </cell>
          <cell r="O1587" t="str">
            <v>Full no Cord</v>
          </cell>
          <cell r="P1587" t="str">
            <v>ODP</v>
          </cell>
          <cell r="R1587" t="str">
            <v>Continuous</v>
          </cell>
          <cell r="S1587" t="str">
            <v>Yes</v>
          </cell>
          <cell r="V1587" t="str">
            <v>3</v>
          </cell>
          <cell r="W1587" t="str">
            <v>60</v>
          </cell>
          <cell r="X1587" t="str">
            <v>230/460</v>
          </cell>
          <cell r="Y1587" t="str">
            <v>95/47.5</v>
          </cell>
          <cell r="AD1587" t="str">
            <v>0</v>
          </cell>
          <cell r="AG1587" t="str">
            <v>HP</v>
          </cell>
          <cell r="AO1587" t="str">
            <v>B</v>
          </cell>
          <cell r="AP1587" t="str">
            <v>G</v>
          </cell>
          <cell r="AQ1587" t="str">
            <v>B</v>
          </cell>
          <cell r="AS1587" t="str">
            <v>1.15</v>
          </cell>
          <cell r="AV1587" t="b">
            <v>0</v>
          </cell>
          <cell r="HD1587" t="str">
            <v>Repair Shop</v>
          </cell>
          <cell r="HT1587" t="b">
            <v>0</v>
          </cell>
          <cell r="HU1587" t="str">
            <v>UNICO MECHANICAL CORP.</v>
          </cell>
        </row>
        <row r="1588">
          <cell r="A1588">
            <v>1140</v>
          </cell>
          <cell r="B1588" t="str">
            <v>VEM0114</v>
          </cell>
          <cell r="D1588" t="str">
            <v>INTEGRATED</v>
          </cell>
          <cell r="F1588" t="str">
            <v>GE</v>
          </cell>
          <cell r="G1588" t="str">
            <v>5K6226XJ286A</v>
          </cell>
          <cell r="H1588" t="str">
            <v>JEJ910432</v>
          </cell>
          <cell r="I1588" t="str">
            <v>213TP10</v>
          </cell>
          <cell r="K1588" t="str">
            <v>5</v>
          </cell>
          <cell r="L1588" t="str">
            <v>3510</v>
          </cell>
          <cell r="M1588" t="str">
            <v>K</v>
          </cell>
          <cell r="O1588" t="str">
            <v>Full no Cord</v>
          </cell>
          <cell r="P1588" t="str">
            <v>TEFC</v>
          </cell>
          <cell r="Q1588" t="str">
            <v>NONE</v>
          </cell>
          <cell r="R1588" t="str">
            <v>Continuous</v>
          </cell>
          <cell r="S1588" t="str">
            <v>2</v>
          </cell>
          <cell r="T1588" t="str">
            <v>NONE</v>
          </cell>
          <cell r="U1588" t="str">
            <v>40C</v>
          </cell>
          <cell r="V1588" t="str">
            <v>3</v>
          </cell>
          <cell r="W1588" t="str">
            <v>60</v>
          </cell>
          <cell r="X1588" t="str">
            <v>230/460</v>
          </cell>
          <cell r="Y1588" t="str">
            <v>13.8/6.9</v>
          </cell>
          <cell r="Z1588" t="str">
            <v>FLINGER</v>
          </cell>
          <cell r="AA1588" t="str">
            <v>Vertical</v>
          </cell>
          <cell r="AG1588" t="str">
            <v>HP</v>
          </cell>
          <cell r="AO1588" t="str">
            <v>B</v>
          </cell>
          <cell r="AP1588" t="str">
            <v>H</v>
          </cell>
          <cell r="AQ1588" t="str">
            <v>B</v>
          </cell>
          <cell r="AS1588" t="str">
            <v>1.0</v>
          </cell>
          <cell r="AV1588" t="b">
            <v>0</v>
          </cell>
          <cell r="AW1588" t="str">
            <v>13.8/6.9</v>
          </cell>
          <cell r="AX1588" t="str">
            <v>2</v>
          </cell>
          <cell r="HD1588" t="str">
            <v>Repair Shop</v>
          </cell>
          <cell r="HT1588" t="b">
            <v>0</v>
          </cell>
          <cell r="HU1588" t="str">
            <v>INTEGRATED TURBO MACHINERY, INC.</v>
          </cell>
        </row>
        <row r="1589">
          <cell r="A1589">
            <v>1139</v>
          </cell>
          <cell r="B1589" t="str">
            <v>VEM0113</v>
          </cell>
          <cell r="D1589" t="str">
            <v>BARRY</v>
          </cell>
          <cell r="F1589" t="str">
            <v>FIMET</v>
          </cell>
          <cell r="G1589" t="str">
            <v>MD 225 M4</v>
          </cell>
          <cell r="H1589" t="str">
            <v>1730604</v>
          </cell>
          <cell r="K1589" t="str">
            <v>45</v>
          </cell>
          <cell r="L1589" t="str">
            <v>1765</v>
          </cell>
          <cell r="W1589" t="str">
            <v>60</v>
          </cell>
          <cell r="X1589" t="str">
            <v>795/460</v>
          </cell>
          <cell r="Y1589" t="str">
            <v>45.5/78</v>
          </cell>
          <cell r="AD1589" t="str">
            <v>-1</v>
          </cell>
          <cell r="AG1589" t="str">
            <v>KW</v>
          </cell>
          <cell r="AV1589" t="b">
            <v>0</v>
          </cell>
          <cell r="HD1589" t="str">
            <v>Repair Shop</v>
          </cell>
          <cell r="HT1589" t="b">
            <v>0</v>
          </cell>
          <cell r="HU1589" t="str">
            <v>BARRY CALLEBAUT</v>
          </cell>
        </row>
        <row r="1590">
          <cell r="A1590">
            <v>1138</v>
          </cell>
          <cell r="B1590" t="str">
            <v>VEM0112</v>
          </cell>
          <cell r="D1590" t="str">
            <v>AMCOR</v>
          </cell>
          <cell r="AG1590" t="str">
            <v>HP</v>
          </cell>
          <cell r="AV1590" t="b">
            <v>0</v>
          </cell>
          <cell r="HD1590" t="str">
            <v>Repair Shop</v>
          </cell>
          <cell r="HT1590" t="b">
            <v>0</v>
          </cell>
          <cell r="HU1590" t="str">
            <v>AMCOR FLEXIBLES</v>
          </cell>
        </row>
        <row r="1591">
          <cell r="A1591">
            <v>1137</v>
          </cell>
          <cell r="B1591" t="str">
            <v>VEM0111</v>
          </cell>
          <cell r="D1591" t="str">
            <v>VALERO</v>
          </cell>
          <cell r="F1591" t="str">
            <v>Reliance</v>
          </cell>
          <cell r="H1591" t="str">
            <v>1MQF16621</v>
          </cell>
          <cell r="I1591" t="str">
            <v>286T</v>
          </cell>
          <cell r="K1591" t="str">
            <v>30</v>
          </cell>
          <cell r="L1591" t="str">
            <v>1770</v>
          </cell>
          <cell r="M1591" t="str">
            <v>P</v>
          </cell>
          <cell r="O1591" t="str">
            <v>None</v>
          </cell>
          <cell r="P1591" t="str">
            <v>TEFC</v>
          </cell>
          <cell r="Q1591" t="str">
            <v>No</v>
          </cell>
          <cell r="R1591" t="str">
            <v>Continuous</v>
          </cell>
          <cell r="S1591" t="str">
            <v>Yes</v>
          </cell>
          <cell r="T1591" t="str">
            <v>NO</v>
          </cell>
          <cell r="U1591" t="str">
            <v>40C</v>
          </cell>
          <cell r="V1591" t="str">
            <v>3</v>
          </cell>
          <cell r="W1591" t="str">
            <v>60</v>
          </cell>
          <cell r="X1591" t="str">
            <v>460</v>
          </cell>
          <cell r="Y1591" t="str">
            <v>35.6</v>
          </cell>
          <cell r="Z1591" t="str">
            <v>ISOMAG</v>
          </cell>
          <cell r="AA1591" t="str">
            <v>F1</v>
          </cell>
          <cell r="AG1591" t="str">
            <v>HP</v>
          </cell>
          <cell r="AI1591" t="str">
            <v>6310</v>
          </cell>
          <cell r="AJ1591" t="str">
            <v>6310</v>
          </cell>
          <cell r="AO1591" t="str">
            <v>B</v>
          </cell>
          <cell r="AP1591" t="str">
            <v>G</v>
          </cell>
          <cell r="AQ1591" t="str">
            <v>F</v>
          </cell>
          <cell r="AR1591" t="str">
            <v>84.5</v>
          </cell>
          <cell r="AS1591" t="str">
            <v>1.15</v>
          </cell>
          <cell r="AT1591" t="str">
            <v>93</v>
          </cell>
          <cell r="AV1591" t="b">
            <v>0</v>
          </cell>
          <cell r="AW1591" t="str">
            <v>35.6</v>
          </cell>
          <cell r="AX1591" t="str">
            <v>4</v>
          </cell>
          <cell r="EX1591" t="str">
            <v>P28G3314F-G24-WK</v>
          </cell>
          <cell r="HD1591" t="str">
            <v>Repair Shop</v>
          </cell>
          <cell r="HT1591" t="b">
            <v>0</v>
          </cell>
          <cell r="HU1591" t="str">
            <v>VALERO REFINING CO. BENICIA</v>
          </cell>
        </row>
        <row r="1592">
          <cell r="A1592">
            <v>1136</v>
          </cell>
          <cell r="B1592" t="str">
            <v>VEM0110</v>
          </cell>
          <cell r="D1592" t="str">
            <v>VALERO</v>
          </cell>
          <cell r="F1592" t="str">
            <v>BALDOR-RELIANCE</v>
          </cell>
          <cell r="H1592" t="str">
            <v>C1004080238</v>
          </cell>
          <cell r="I1592" t="str">
            <v>286T</v>
          </cell>
          <cell r="K1592" t="str">
            <v>30</v>
          </cell>
          <cell r="L1592" t="str">
            <v>1770</v>
          </cell>
          <cell r="O1592" t="str">
            <v>Full no Cord</v>
          </cell>
          <cell r="P1592" t="str">
            <v>TEFC</v>
          </cell>
          <cell r="Q1592" t="str">
            <v>No</v>
          </cell>
          <cell r="R1592" t="str">
            <v>Continuous</v>
          </cell>
          <cell r="S1592" t="str">
            <v>Yes</v>
          </cell>
          <cell r="T1592" t="str">
            <v>NO</v>
          </cell>
          <cell r="U1592" t="str">
            <v>40C</v>
          </cell>
          <cell r="V1592" t="str">
            <v>3</v>
          </cell>
          <cell r="W1592" t="str">
            <v>60</v>
          </cell>
          <cell r="X1592" t="str">
            <v>460</v>
          </cell>
          <cell r="Y1592" t="str">
            <v>38</v>
          </cell>
          <cell r="Z1592" t="str">
            <v>V-RING</v>
          </cell>
          <cell r="AA1592" t="str">
            <v>F1</v>
          </cell>
          <cell r="AG1592" t="str">
            <v>HP</v>
          </cell>
          <cell r="AI1592" t="str">
            <v>6311</v>
          </cell>
          <cell r="AJ1592" t="str">
            <v>6311</v>
          </cell>
          <cell r="AO1592" t="str">
            <v>B</v>
          </cell>
          <cell r="AP1592" t="str">
            <v>H</v>
          </cell>
          <cell r="AQ1592" t="str">
            <v>F</v>
          </cell>
          <cell r="AR1592" t="str">
            <v>83</v>
          </cell>
          <cell r="AS1592" t="str">
            <v>1.15</v>
          </cell>
          <cell r="AT1592" t="str">
            <v>94.1</v>
          </cell>
          <cell r="AU1592" t="str">
            <v>10G414X452</v>
          </cell>
          <cell r="AV1592" t="b">
            <v>0</v>
          </cell>
          <cell r="AW1592" t="str">
            <v>38</v>
          </cell>
          <cell r="AX1592" t="str">
            <v>4</v>
          </cell>
          <cell r="EW1592" t="str">
            <v>ECP4104-T</v>
          </cell>
          <cell r="HD1592" t="str">
            <v>Repair Shop</v>
          </cell>
          <cell r="HT1592" t="b">
            <v>0</v>
          </cell>
          <cell r="HU1592" t="str">
            <v>VALERO REFINING CO. BENICIA</v>
          </cell>
        </row>
        <row r="1593">
          <cell r="A1593">
            <v>1135</v>
          </cell>
          <cell r="B1593" t="str">
            <v>VEM0109</v>
          </cell>
          <cell r="D1593" t="str">
            <v>VALERO</v>
          </cell>
          <cell r="F1593" t="str">
            <v>Reliance</v>
          </cell>
          <cell r="I1593" t="str">
            <v>286T</v>
          </cell>
          <cell r="K1593" t="str">
            <v>30</v>
          </cell>
          <cell r="L1593" t="str">
            <v>1770</v>
          </cell>
          <cell r="O1593" t="str">
            <v>Full no Cord</v>
          </cell>
          <cell r="P1593" t="str">
            <v>TEFC</v>
          </cell>
          <cell r="Q1593" t="str">
            <v>No</v>
          </cell>
          <cell r="R1593" t="str">
            <v>Continuous</v>
          </cell>
          <cell r="S1593" t="str">
            <v>Yes</v>
          </cell>
          <cell r="T1593" t="str">
            <v>NO</v>
          </cell>
          <cell r="U1593" t="str">
            <v>40C</v>
          </cell>
          <cell r="V1593" t="str">
            <v>3</v>
          </cell>
          <cell r="W1593" t="str">
            <v>60</v>
          </cell>
          <cell r="X1593" t="str">
            <v>460</v>
          </cell>
          <cell r="Y1593" t="str">
            <v>35.6</v>
          </cell>
          <cell r="Z1593" t="str">
            <v>Yes</v>
          </cell>
          <cell r="AA1593" t="str">
            <v>F1</v>
          </cell>
          <cell r="AD1593" t="str">
            <v>0</v>
          </cell>
          <cell r="AG1593" t="str">
            <v>HP</v>
          </cell>
          <cell r="AI1593" t="str">
            <v>6310</v>
          </cell>
          <cell r="AJ1593" t="str">
            <v>6310</v>
          </cell>
          <cell r="AO1593" t="str">
            <v>B</v>
          </cell>
          <cell r="AP1593" t="str">
            <v>G</v>
          </cell>
          <cell r="AQ1593" t="str">
            <v>F</v>
          </cell>
          <cell r="AR1593" t="str">
            <v>84.5</v>
          </cell>
          <cell r="AS1593" t="str">
            <v>1.15</v>
          </cell>
          <cell r="AT1593" t="str">
            <v>93</v>
          </cell>
          <cell r="AV1593" t="b">
            <v>0</v>
          </cell>
          <cell r="AW1593" t="str">
            <v>35.6</v>
          </cell>
          <cell r="AX1593" t="str">
            <v>4</v>
          </cell>
          <cell r="EX1593" t="str">
            <v>P28G3314F-G16-VK</v>
          </cell>
          <cell r="HD1593" t="str">
            <v>Repair Shop</v>
          </cell>
          <cell r="HT1593" t="b">
            <v>0</v>
          </cell>
          <cell r="HU1593" t="str">
            <v>VALERO REFINING CO. BENICIA</v>
          </cell>
        </row>
        <row r="1594">
          <cell r="A1594">
            <v>1134</v>
          </cell>
          <cell r="B1594" t="str">
            <v>VEM0108</v>
          </cell>
          <cell r="D1594" t="str">
            <v>VALERO</v>
          </cell>
          <cell r="F1594" t="str">
            <v>Reliance</v>
          </cell>
          <cell r="G1594" t="str">
            <v>P2865279C</v>
          </cell>
          <cell r="I1594" t="str">
            <v>286T</v>
          </cell>
          <cell r="K1594" t="str">
            <v>30</v>
          </cell>
          <cell r="L1594" t="str">
            <v>1765</v>
          </cell>
          <cell r="N1594" t="str">
            <v>443</v>
          </cell>
          <cell r="O1594" t="str">
            <v>Full no Cord</v>
          </cell>
          <cell r="P1594" t="str">
            <v>TEFC</v>
          </cell>
          <cell r="Q1594" t="str">
            <v>No</v>
          </cell>
          <cell r="R1594" t="str">
            <v>Continuous</v>
          </cell>
          <cell r="S1594" t="str">
            <v>Yes</v>
          </cell>
          <cell r="T1594" t="str">
            <v>NO</v>
          </cell>
          <cell r="U1594" t="str">
            <v>40C</v>
          </cell>
          <cell r="V1594" t="str">
            <v>3</v>
          </cell>
          <cell r="W1594" t="str">
            <v>60</v>
          </cell>
          <cell r="X1594" t="str">
            <v>460</v>
          </cell>
          <cell r="Y1594" t="str">
            <v>36.1</v>
          </cell>
          <cell r="Z1594" t="str">
            <v>ISOMAG</v>
          </cell>
          <cell r="AA1594" t="str">
            <v>F1</v>
          </cell>
          <cell r="AG1594" t="str">
            <v>HP</v>
          </cell>
          <cell r="AI1594" t="str">
            <v>6310</v>
          </cell>
          <cell r="AJ1594" t="str">
            <v>6310</v>
          </cell>
          <cell r="AO1594" t="str">
            <v>B</v>
          </cell>
          <cell r="AP1594" t="str">
            <v>G</v>
          </cell>
          <cell r="AQ1594" t="str">
            <v>F</v>
          </cell>
          <cell r="AR1594" t="str">
            <v>83.1</v>
          </cell>
          <cell r="AS1594" t="str">
            <v>1.15</v>
          </cell>
          <cell r="AT1594" t="str">
            <v>93.6</v>
          </cell>
          <cell r="AV1594" t="b">
            <v>0</v>
          </cell>
          <cell r="AW1594" t="str">
            <v>36.1</v>
          </cell>
          <cell r="AX1594" t="str">
            <v>4</v>
          </cell>
          <cell r="EX1594" t="str">
            <v>34GP28527901 5 HB</v>
          </cell>
          <cell r="HD1594" t="str">
            <v>Repair Shop</v>
          </cell>
          <cell r="HT1594" t="b">
            <v>0</v>
          </cell>
          <cell r="HU1594" t="str">
            <v>VALERO REFINING CO. BENICIA</v>
          </cell>
        </row>
        <row r="1595">
          <cell r="A1595">
            <v>1133</v>
          </cell>
          <cell r="B1595" t="str">
            <v>VEM0107</v>
          </cell>
          <cell r="D1595" t="str">
            <v>VALERO</v>
          </cell>
          <cell r="F1595" t="str">
            <v>Baldor-Reliance</v>
          </cell>
          <cell r="H1595" t="str">
            <v>C1105190852</v>
          </cell>
          <cell r="I1595" t="str">
            <v>286T</v>
          </cell>
          <cell r="K1595" t="str">
            <v>30</v>
          </cell>
          <cell r="L1595" t="str">
            <v>1770</v>
          </cell>
          <cell r="O1595" t="str">
            <v>Full no Cord</v>
          </cell>
          <cell r="P1595" t="str">
            <v>TEFC</v>
          </cell>
          <cell r="Q1595" t="str">
            <v>No</v>
          </cell>
          <cell r="R1595" t="str">
            <v>Continuous</v>
          </cell>
          <cell r="S1595" t="str">
            <v>Yes</v>
          </cell>
          <cell r="T1595" t="str">
            <v>No</v>
          </cell>
          <cell r="U1595" t="str">
            <v>40C</v>
          </cell>
          <cell r="V1595" t="str">
            <v>3</v>
          </cell>
          <cell r="W1595" t="str">
            <v>60</v>
          </cell>
          <cell r="X1595" t="str">
            <v>460</v>
          </cell>
          <cell r="Y1595" t="str">
            <v>36</v>
          </cell>
          <cell r="Z1595" t="str">
            <v>V-RING</v>
          </cell>
          <cell r="AA1595" t="str">
            <v>F1</v>
          </cell>
          <cell r="AD1595" t="str">
            <v>0</v>
          </cell>
          <cell r="AG1595" t="str">
            <v>HP</v>
          </cell>
          <cell r="AI1595" t="str">
            <v>6311</v>
          </cell>
          <cell r="AJ1595" t="str">
            <v>6311</v>
          </cell>
          <cell r="AO1595" t="str">
            <v>B</v>
          </cell>
          <cell r="AP1595" t="str">
            <v>H</v>
          </cell>
          <cell r="AQ1595" t="str">
            <v>F</v>
          </cell>
          <cell r="AR1595" t="str">
            <v>83</v>
          </cell>
          <cell r="AS1595" t="str">
            <v>1.15</v>
          </cell>
          <cell r="AT1595" t="str">
            <v>84.1</v>
          </cell>
          <cell r="AU1595" t="str">
            <v>10C414X452</v>
          </cell>
          <cell r="AV1595" t="b">
            <v>0</v>
          </cell>
          <cell r="AW1595" t="str">
            <v>36</v>
          </cell>
          <cell r="AX1595" t="str">
            <v>4</v>
          </cell>
          <cell r="EW1595" t="str">
            <v>ECP4104T-4</v>
          </cell>
          <cell r="HD1595" t="str">
            <v>Repair Shop</v>
          </cell>
          <cell r="HT1595" t="b">
            <v>0</v>
          </cell>
          <cell r="HU1595" t="str">
            <v>VALERO REFINING CO. BENICIA</v>
          </cell>
        </row>
        <row r="1596">
          <cell r="A1596">
            <v>1132</v>
          </cell>
          <cell r="B1596" t="str">
            <v>VEM0106</v>
          </cell>
          <cell r="D1596" t="str">
            <v>GRANITETRANS</v>
          </cell>
          <cell r="F1596" t="str">
            <v>NOT LISTED</v>
          </cell>
          <cell r="K1596" t="str">
            <v>0.75</v>
          </cell>
          <cell r="L1596" t="str">
            <v>1350</v>
          </cell>
          <cell r="V1596" t="str">
            <v>1</v>
          </cell>
          <cell r="W1596" t="str">
            <v>60</v>
          </cell>
          <cell r="X1596" t="str">
            <v>110</v>
          </cell>
          <cell r="Y1596" t="str">
            <v>14</v>
          </cell>
          <cell r="AG1596" t="str">
            <v>HP</v>
          </cell>
          <cell r="AV1596" t="b">
            <v>0</v>
          </cell>
          <cell r="HD1596" t="str">
            <v>Repair Shop</v>
          </cell>
          <cell r="HT1596" t="b">
            <v>0</v>
          </cell>
          <cell r="HU1596" t="str">
            <v>GRANITE TRANSFORMATIONS</v>
          </cell>
        </row>
        <row r="1597">
          <cell r="A1597">
            <v>1131</v>
          </cell>
          <cell r="B1597" t="str">
            <v>VEM0105</v>
          </cell>
          <cell r="D1597" t="str">
            <v>ALLPOINTS</v>
          </cell>
          <cell r="AG1597" t="str">
            <v>HP</v>
          </cell>
          <cell r="AV1597" t="b">
            <v>0</v>
          </cell>
          <cell r="HD1597" t="str">
            <v>Repair Shop</v>
          </cell>
          <cell r="HT1597" t="b">
            <v>0</v>
          </cell>
          <cell r="HU1597" t="str">
            <v>ALL POINTS MANUFACTURING</v>
          </cell>
        </row>
        <row r="1598">
          <cell r="A1598">
            <v>1130</v>
          </cell>
          <cell r="B1598" t="str">
            <v>VEM0104</v>
          </cell>
          <cell r="D1598" t="str">
            <v>GRACIE'S</v>
          </cell>
          <cell r="AG1598" t="str">
            <v>HP</v>
          </cell>
          <cell r="AV1598" t="b">
            <v>0</v>
          </cell>
          <cell r="HD1598" t="str">
            <v>Repair Shop</v>
          </cell>
          <cell r="HT1598" t="b">
            <v>0</v>
          </cell>
          <cell r="HU1598" t="str">
            <v>GRACIE'S</v>
          </cell>
        </row>
        <row r="1599">
          <cell r="A1599">
            <v>1129</v>
          </cell>
          <cell r="B1599" t="str">
            <v>VEM0103</v>
          </cell>
          <cell r="D1599" t="str">
            <v>CHASTAINELEC</v>
          </cell>
          <cell r="F1599" t="str">
            <v>US Motors</v>
          </cell>
          <cell r="H1599" t="str">
            <v>519</v>
          </cell>
          <cell r="I1599" t="str">
            <v>254-4</v>
          </cell>
          <cell r="K1599" t="str">
            <v>5</v>
          </cell>
          <cell r="L1599" t="str">
            <v>1800</v>
          </cell>
          <cell r="M1599" t="str">
            <v>SCU</v>
          </cell>
          <cell r="O1599" t="str">
            <v>None</v>
          </cell>
          <cell r="P1599" t="str">
            <v>Open</v>
          </cell>
          <cell r="Q1599" t="str">
            <v>No</v>
          </cell>
          <cell r="R1599" t="str">
            <v>Continuous</v>
          </cell>
          <cell r="S1599" t="str">
            <v>No</v>
          </cell>
          <cell r="T1599" t="str">
            <v>NO</v>
          </cell>
          <cell r="V1599" t="str">
            <v>3</v>
          </cell>
          <cell r="W1599" t="str">
            <v>60</v>
          </cell>
          <cell r="X1599" t="str">
            <v>220-440</v>
          </cell>
          <cell r="Y1599" t="str">
            <v>14/7</v>
          </cell>
          <cell r="Z1599" t="str">
            <v>No</v>
          </cell>
          <cell r="AA1599" t="str">
            <v>Vertical</v>
          </cell>
          <cell r="AD1599" t="str">
            <v>-1</v>
          </cell>
          <cell r="AG1599" t="str">
            <v>HP</v>
          </cell>
          <cell r="AP1599" t="str">
            <v>H</v>
          </cell>
          <cell r="AV1599" t="b">
            <v>0</v>
          </cell>
          <cell r="AW1599" t="str">
            <v>14/7</v>
          </cell>
          <cell r="HD1599" t="str">
            <v>Repair Shop</v>
          </cell>
          <cell r="HT1599" t="b">
            <v>0</v>
          </cell>
          <cell r="HU1599" t="str">
            <v>CHASTAIN ELECTRIC INC.</v>
          </cell>
        </row>
        <row r="1600">
          <cell r="A1600">
            <v>1128</v>
          </cell>
          <cell r="B1600" t="str">
            <v>VEM0102</v>
          </cell>
          <cell r="D1600" t="str">
            <v>CHASTAINELEC</v>
          </cell>
          <cell r="F1600" t="str">
            <v>GE</v>
          </cell>
          <cell r="G1600" t="str">
            <v>5K6316X021A</v>
          </cell>
          <cell r="H1600" t="str">
            <v>UVJ714007</v>
          </cell>
          <cell r="I1600" t="str">
            <v>6316PZ</v>
          </cell>
          <cell r="K1600" t="str">
            <v>125</v>
          </cell>
          <cell r="L1600" t="str">
            <v>1180</v>
          </cell>
          <cell r="M1600" t="str">
            <v>K</v>
          </cell>
          <cell r="O1600" t="str">
            <v>Half no Cord</v>
          </cell>
          <cell r="P1600" t="str">
            <v>OPEN</v>
          </cell>
          <cell r="Q1600" t="str">
            <v>No</v>
          </cell>
          <cell r="R1600" t="str">
            <v>Continuous</v>
          </cell>
          <cell r="S1600" t="str">
            <v>No</v>
          </cell>
          <cell r="T1600" t="str">
            <v>NO</v>
          </cell>
          <cell r="U1600" t="str">
            <v>40C</v>
          </cell>
          <cell r="V1600" t="str">
            <v>3</v>
          </cell>
          <cell r="W1600" t="str">
            <v>60</v>
          </cell>
          <cell r="X1600" t="str">
            <v>440</v>
          </cell>
          <cell r="Y1600" t="str">
            <v>153</v>
          </cell>
          <cell r="Z1600" t="str">
            <v>No</v>
          </cell>
          <cell r="AA1600" t="str">
            <v>Vertical</v>
          </cell>
          <cell r="AD1600" t="str">
            <v>0</v>
          </cell>
          <cell r="AG1600" t="str">
            <v>HP</v>
          </cell>
          <cell r="AO1600" t="str">
            <v>B</v>
          </cell>
          <cell r="AP1600" t="str">
            <v>F</v>
          </cell>
          <cell r="AQ1600" t="str">
            <v>B</v>
          </cell>
          <cell r="AS1600" t="str">
            <v>1.15</v>
          </cell>
          <cell r="AV1600" t="b">
            <v>0</v>
          </cell>
          <cell r="AW1600" t="str">
            <v>153</v>
          </cell>
          <cell r="GK1600" t="str">
            <v>Thermal Overloads</v>
          </cell>
          <cell r="HD1600" t="str">
            <v>Repair Shop</v>
          </cell>
          <cell r="HT1600" t="b">
            <v>0</v>
          </cell>
          <cell r="HU1600" t="str">
            <v>CHASTAIN ELECTRIC INC.</v>
          </cell>
        </row>
        <row r="1601">
          <cell r="A1601">
            <v>1127</v>
          </cell>
          <cell r="B1601" t="str">
            <v>VEM0101</v>
          </cell>
          <cell r="D1601" t="str">
            <v>CALMARITIME</v>
          </cell>
          <cell r="F1601" t="str">
            <v>Reliance</v>
          </cell>
          <cell r="I1601" t="str">
            <v>254TC</v>
          </cell>
          <cell r="K1601" t="str">
            <v>15</v>
          </cell>
          <cell r="L1601" t="str">
            <v>1770</v>
          </cell>
          <cell r="M1601" t="str">
            <v>P</v>
          </cell>
          <cell r="O1601" t="str">
            <v>None</v>
          </cell>
          <cell r="P1601" t="str">
            <v>TENV</v>
          </cell>
          <cell r="Q1601" t="str">
            <v>NONE</v>
          </cell>
          <cell r="R1601" t="str">
            <v>Continuous</v>
          </cell>
          <cell r="S1601" t="str">
            <v>Yes</v>
          </cell>
          <cell r="T1601" t="str">
            <v>NONE</v>
          </cell>
          <cell r="U1601" t="str">
            <v>50C</v>
          </cell>
          <cell r="V1601" t="str">
            <v>3</v>
          </cell>
          <cell r="W1601" t="str">
            <v>60</v>
          </cell>
          <cell r="X1601" t="str">
            <v>440</v>
          </cell>
          <cell r="Y1601" t="str">
            <v>19.2</v>
          </cell>
          <cell r="Z1601" t="str">
            <v>NONE</v>
          </cell>
          <cell r="AA1601" t="str">
            <v>Vertical</v>
          </cell>
          <cell r="AD1601" t="str">
            <v>-1</v>
          </cell>
          <cell r="AG1601" t="str">
            <v>HP</v>
          </cell>
          <cell r="AO1601" t="str">
            <v>B</v>
          </cell>
          <cell r="AP1601" t="str">
            <v>G</v>
          </cell>
          <cell r="AQ1601" t="str">
            <v>F</v>
          </cell>
          <cell r="AS1601" t="str">
            <v>1.0</v>
          </cell>
          <cell r="AV1601" t="b">
            <v>0</v>
          </cell>
          <cell r="AW1601" t="str">
            <v>19.2</v>
          </cell>
          <cell r="AX1601" t="str">
            <v>4</v>
          </cell>
          <cell r="EX1601" t="str">
            <v>1Y 894002A3 TM</v>
          </cell>
          <cell r="HD1601" t="str">
            <v>Repair Shop</v>
          </cell>
          <cell r="HT1601" t="b">
            <v>0</v>
          </cell>
          <cell r="HU1601" t="str">
            <v>CALIFORNIA MARTIME ACADEMY</v>
          </cell>
        </row>
        <row r="1602">
          <cell r="A1602">
            <v>1126</v>
          </cell>
          <cell r="B1602" t="str">
            <v>VEM0100</v>
          </cell>
          <cell r="D1602" t="str">
            <v>BAYVALVE</v>
          </cell>
          <cell r="AG1602" t="str">
            <v>HP</v>
          </cell>
          <cell r="AV1602" t="b">
            <v>0</v>
          </cell>
          <cell r="HD1602" t="str">
            <v>Repair Shop</v>
          </cell>
          <cell r="HT1602" t="b">
            <v>0</v>
          </cell>
          <cell r="HU1602" t="str">
            <v>BAY VALVE SERVICE</v>
          </cell>
        </row>
        <row r="1603">
          <cell r="A1603">
            <v>1125</v>
          </cell>
          <cell r="B1603" t="str">
            <v>VEM0099</v>
          </cell>
          <cell r="D1603" t="str">
            <v>BAYVALVE</v>
          </cell>
          <cell r="AG1603" t="str">
            <v>HP</v>
          </cell>
          <cell r="AV1603" t="b">
            <v>0</v>
          </cell>
          <cell r="HD1603" t="str">
            <v>Repair Shop</v>
          </cell>
          <cell r="HT1603" t="b">
            <v>0</v>
          </cell>
          <cell r="HU1603" t="str">
            <v>BAY VALVE SERVICE</v>
          </cell>
        </row>
        <row r="1604">
          <cell r="A1604">
            <v>1124</v>
          </cell>
          <cell r="B1604" t="str">
            <v>VEM0098</v>
          </cell>
          <cell r="D1604" t="str">
            <v>VALLEJOWATER</v>
          </cell>
          <cell r="F1604" t="str">
            <v>US Motors</v>
          </cell>
          <cell r="I1604" t="str">
            <v>444VP</v>
          </cell>
          <cell r="K1604" t="str">
            <v>150</v>
          </cell>
          <cell r="L1604" t="str">
            <v>1780</v>
          </cell>
          <cell r="M1604" t="str">
            <v>RVE4</v>
          </cell>
          <cell r="O1604" t="str">
            <v>None</v>
          </cell>
          <cell r="P1604" t="str">
            <v>TEFC</v>
          </cell>
          <cell r="Q1604" t="str">
            <v>No</v>
          </cell>
          <cell r="R1604" t="str">
            <v>Continuous</v>
          </cell>
          <cell r="S1604" t="str">
            <v>No</v>
          </cell>
          <cell r="T1604" t="str">
            <v>YES</v>
          </cell>
          <cell r="U1604" t="str">
            <v>40C</v>
          </cell>
          <cell r="V1604" t="str">
            <v>3</v>
          </cell>
          <cell r="W1604" t="str">
            <v>60</v>
          </cell>
          <cell r="X1604" t="str">
            <v>460</v>
          </cell>
          <cell r="Y1604" t="str">
            <v>176</v>
          </cell>
          <cell r="AA1604" t="str">
            <v>Vertical</v>
          </cell>
          <cell r="AD1604" t="str">
            <v>0</v>
          </cell>
          <cell r="AG1604" t="str">
            <v>HP</v>
          </cell>
          <cell r="AI1604" t="str">
            <v>6215-J</v>
          </cell>
          <cell r="AJ1604" t="str">
            <v>7322-M</v>
          </cell>
          <cell r="AO1604" t="str">
            <v>B</v>
          </cell>
          <cell r="AP1604" t="str">
            <v>G</v>
          </cell>
          <cell r="AQ1604" t="str">
            <v>F</v>
          </cell>
          <cell r="AR1604" t="str">
            <v>84.7</v>
          </cell>
          <cell r="AS1604" t="str">
            <v>1.15</v>
          </cell>
          <cell r="AT1604" t="str">
            <v>95.4</v>
          </cell>
          <cell r="AV1604" t="b">
            <v>0</v>
          </cell>
          <cell r="AW1604" t="str">
            <v>176</v>
          </cell>
          <cell r="AX1604" t="str">
            <v>4</v>
          </cell>
          <cell r="EX1604" t="str">
            <v>G25224 T09T1520335R -3</v>
          </cell>
          <cell r="GK1604" t="str">
            <v>120V 192W Heater</v>
          </cell>
          <cell r="GL1604" t="str">
            <v>REQUIRES ROYAL PURPLE OIL ISO 32 AND GREASE</v>
          </cell>
          <cell r="HD1604" t="str">
            <v>Repair Shop</v>
          </cell>
          <cell r="HT1604" t="b">
            <v>0</v>
          </cell>
          <cell r="HU1604" t="str">
            <v>CITY OF VALLEJO WATER TREATMENT</v>
          </cell>
        </row>
        <row r="1605">
          <cell r="A1605">
            <v>1123</v>
          </cell>
          <cell r="B1605" t="str">
            <v>VEM0097</v>
          </cell>
          <cell r="D1605" t="str">
            <v>VALLEJOWATER</v>
          </cell>
          <cell r="F1605" t="str">
            <v>US Motors</v>
          </cell>
          <cell r="I1605" t="str">
            <v>444VP</v>
          </cell>
          <cell r="K1605" t="str">
            <v>150</v>
          </cell>
          <cell r="L1605" t="str">
            <v>1780</v>
          </cell>
          <cell r="M1605" t="str">
            <v>RVE4</v>
          </cell>
          <cell r="P1605" t="str">
            <v>TEFC</v>
          </cell>
          <cell r="V1605" t="str">
            <v>3</v>
          </cell>
          <cell r="W1605" t="str">
            <v>60</v>
          </cell>
          <cell r="X1605" t="str">
            <v>460</v>
          </cell>
          <cell r="AD1605" t="str">
            <v>0</v>
          </cell>
          <cell r="AG1605" t="str">
            <v>HP</v>
          </cell>
          <cell r="AI1605" t="str">
            <v>6215-J</v>
          </cell>
          <cell r="AJ1605" t="str">
            <v>7322-M</v>
          </cell>
          <cell r="AV1605" t="b">
            <v>0</v>
          </cell>
          <cell r="AW1605" t="str">
            <v>176</v>
          </cell>
          <cell r="AX1605" t="str">
            <v>4</v>
          </cell>
          <cell r="EX1605" t="str">
            <v>G5224T09</v>
          </cell>
          <cell r="HD1605" t="str">
            <v>Repair Shop</v>
          </cell>
          <cell r="HT1605" t="b">
            <v>0</v>
          </cell>
          <cell r="HU1605" t="str">
            <v>CITY OF VALLEJO WATER TREATMENT</v>
          </cell>
        </row>
        <row r="1606">
          <cell r="A1606">
            <v>1122</v>
          </cell>
          <cell r="B1606" t="str">
            <v>VEM0096</v>
          </cell>
          <cell r="D1606" t="str">
            <v>SUPERSTORES</v>
          </cell>
          <cell r="F1606" t="str">
            <v>Reuland</v>
          </cell>
          <cell r="G1606" t="str">
            <v>8350V-AF5670A</v>
          </cell>
          <cell r="H1606" t="str">
            <v>8228448B-11</v>
          </cell>
          <cell r="I1606" t="str">
            <v>AVL-184</v>
          </cell>
          <cell r="K1606" t="str">
            <v>1.5</v>
          </cell>
          <cell r="L1606" t="str">
            <v>1800</v>
          </cell>
          <cell r="M1606" t="str">
            <v>A000</v>
          </cell>
          <cell r="O1606" t="str">
            <v>Full no Cord</v>
          </cell>
          <cell r="P1606" t="str">
            <v>OPEN</v>
          </cell>
          <cell r="Q1606" t="str">
            <v>NONE</v>
          </cell>
          <cell r="R1606" t="str">
            <v>Continuous</v>
          </cell>
          <cell r="S1606" t="str">
            <v>NONE</v>
          </cell>
          <cell r="T1606" t="str">
            <v>NONE</v>
          </cell>
          <cell r="U1606" t="str">
            <v>50C</v>
          </cell>
          <cell r="V1606" t="str">
            <v>3</v>
          </cell>
          <cell r="W1606" t="str">
            <v>60</v>
          </cell>
          <cell r="X1606" t="str">
            <v>230/460</v>
          </cell>
          <cell r="Y1606" t="str">
            <v>4.8/2.4</v>
          </cell>
          <cell r="Z1606" t="str">
            <v>NONE</v>
          </cell>
          <cell r="AA1606" t="str">
            <v>F1</v>
          </cell>
          <cell r="AG1606" t="str">
            <v>HP</v>
          </cell>
          <cell r="AP1606" t="str">
            <v>K</v>
          </cell>
          <cell r="AQ1606" t="str">
            <v>B</v>
          </cell>
          <cell r="AS1606" t="str">
            <v>1.</v>
          </cell>
          <cell r="AV1606" t="b">
            <v>0</v>
          </cell>
          <cell r="AW1606" t="str">
            <v>4.8/2.4</v>
          </cell>
          <cell r="AX1606" t="str">
            <v>4</v>
          </cell>
          <cell r="CJ1606" t="str">
            <v>REULAND</v>
          </cell>
          <cell r="CK1606" t="str">
            <v>29B2</v>
          </cell>
          <cell r="CL1606" t="str">
            <v>H05-5897A-1</v>
          </cell>
          <cell r="CM1606" t="str">
            <v>6</v>
          </cell>
          <cell r="CN1606" t="str">
            <v>230</v>
          </cell>
          <cell r="CO1606" t="str">
            <v>.56</v>
          </cell>
          <cell r="CQ1606" t="str">
            <v>60</v>
          </cell>
          <cell r="CR1606" t="str">
            <v>0ADA</v>
          </cell>
          <cell r="HD1606" t="str">
            <v>Repair Shop</v>
          </cell>
          <cell r="HT1606" t="b">
            <v>0</v>
          </cell>
          <cell r="HU1606" t="str">
            <v>Producers Dairy Foods</v>
          </cell>
        </row>
        <row r="1607">
          <cell r="A1607">
            <v>1121</v>
          </cell>
          <cell r="B1607" t="str">
            <v>FE1001</v>
          </cell>
          <cell r="D1607" t="str">
            <v>HANGERCLINIC</v>
          </cell>
          <cell r="AG1607" t="str">
            <v>HP</v>
          </cell>
          <cell r="AV1607" t="b">
            <v>0</v>
          </cell>
          <cell r="HD1607" t="str">
            <v>Field Service</v>
          </cell>
          <cell r="HT1607" t="b">
            <v>0</v>
          </cell>
          <cell r="HU1607" t="str">
            <v>HANGER CLINIC</v>
          </cell>
        </row>
        <row r="1608">
          <cell r="A1608">
            <v>1120</v>
          </cell>
          <cell r="B1608" t="str">
            <v>VEM0095</v>
          </cell>
          <cell r="D1608" t="str">
            <v>HANGERCLINIC</v>
          </cell>
          <cell r="AG1608" t="str">
            <v>HP</v>
          </cell>
          <cell r="AV1608" t="b">
            <v>0</v>
          </cell>
          <cell r="HD1608" t="str">
            <v>Repair Shop</v>
          </cell>
          <cell r="HT1608" t="b">
            <v>0</v>
          </cell>
          <cell r="HU1608" t="str">
            <v>HANGER CLINIC</v>
          </cell>
        </row>
        <row r="1609">
          <cell r="A1609">
            <v>1119</v>
          </cell>
          <cell r="B1609" t="str">
            <v>VEM0094</v>
          </cell>
          <cell r="D1609" t="str">
            <v>BAYVALVE</v>
          </cell>
          <cell r="AG1609" t="str">
            <v>HP</v>
          </cell>
          <cell r="AV1609" t="b">
            <v>0</v>
          </cell>
          <cell r="HD1609" t="str">
            <v>Repair Shop</v>
          </cell>
          <cell r="HT1609" t="b">
            <v>0</v>
          </cell>
          <cell r="HU1609" t="str">
            <v>BAY VALVE SERVICE</v>
          </cell>
        </row>
        <row r="1610">
          <cell r="A1610">
            <v>1118</v>
          </cell>
          <cell r="B1610" t="str">
            <v>VEM0093</v>
          </cell>
          <cell r="D1610" t="str">
            <v>VALERO</v>
          </cell>
          <cell r="F1610" t="str">
            <v>US Motors</v>
          </cell>
          <cell r="G1610" t="str">
            <v>C2882-00-168</v>
          </cell>
          <cell r="I1610" t="str">
            <v>1504</v>
          </cell>
          <cell r="K1610" t="str">
            <v>150</v>
          </cell>
          <cell r="L1610" t="str">
            <v>1777</v>
          </cell>
          <cell r="O1610" t="str">
            <v>None</v>
          </cell>
          <cell r="P1610" t="str">
            <v>EXP</v>
          </cell>
          <cell r="Q1610" t="str">
            <v>No</v>
          </cell>
          <cell r="S1610" t="str">
            <v>Yes</v>
          </cell>
          <cell r="X1610" t="str">
            <v>440</v>
          </cell>
          <cell r="Y1610" t="str">
            <v>180</v>
          </cell>
          <cell r="Z1610" t="str">
            <v>Yes</v>
          </cell>
          <cell r="AD1610" t="str">
            <v>0</v>
          </cell>
          <cell r="AG1610" t="str">
            <v>HP</v>
          </cell>
          <cell r="AV1610" t="b">
            <v>0</v>
          </cell>
          <cell r="AW1610" t="str">
            <v>180</v>
          </cell>
          <cell r="HD1610" t="str">
            <v>Repair Shop</v>
          </cell>
          <cell r="HT1610" t="b">
            <v>0</v>
          </cell>
          <cell r="HU1610" t="str">
            <v>VALERO REFINING CO. BENICIA</v>
          </cell>
        </row>
        <row r="1611">
          <cell r="A1611">
            <v>1117</v>
          </cell>
          <cell r="B1611" t="str">
            <v>VEM0092</v>
          </cell>
          <cell r="D1611" t="str">
            <v>VALLEJOWATER</v>
          </cell>
          <cell r="F1611" t="str">
            <v>US Motors</v>
          </cell>
          <cell r="I1611" t="str">
            <v>444VP</v>
          </cell>
          <cell r="K1611" t="str">
            <v>150</v>
          </cell>
          <cell r="L1611" t="str">
            <v>1760</v>
          </cell>
          <cell r="V1611" t="str">
            <v>3</v>
          </cell>
          <cell r="W1611" t="str">
            <v>60</v>
          </cell>
          <cell r="X1611" t="str">
            <v>460</v>
          </cell>
          <cell r="Y1611" t="str">
            <v>176</v>
          </cell>
          <cell r="AG1611" t="str">
            <v>HP</v>
          </cell>
          <cell r="AV1611" t="b">
            <v>0</v>
          </cell>
          <cell r="EX1611" t="str">
            <v>G25224 T09 T1520335R 3</v>
          </cell>
          <cell r="HD1611" t="str">
            <v>Repair Shop</v>
          </cell>
          <cell r="HT1611" t="b">
            <v>0</v>
          </cell>
          <cell r="HU1611" t="str">
            <v>CITY OF VALLEJO WATER TREATMENT</v>
          </cell>
        </row>
        <row r="1612">
          <cell r="A1612">
            <v>1116</v>
          </cell>
          <cell r="B1612" t="str">
            <v>VEM0091</v>
          </cell>
          <cell r="D1612" t="str">
            <v>ALLPOINTS</v>
          </cell>
          <cell r="AG1612" t="str">
            <v>HP</v>
          </cell>
          <cell r="AV1612" t="b">
            <v>0</v>
          </cell>
          <cell r="HD1612" t="str">
            <v>Repair Shop</v>
          </cell>
          <cell r="HT1612" t="b">
            <v>0</v>
          </cell>
          <cell r="HU1612" t="str">
            <v>ALL POINTS MANUFACTURING</v>
          </cell>
        </row>
        <row r="1613">
          <cell r="A1613">
            <v>1115</v>
          </cell>
          <cell r="B1613" t="str">
            <v>VEM0090</v>
          </cell>
          <cell r="D1613" t="str">
            <v>ALFBURTLESON</v>
          </cell>
          <cell r="AG1613" t="str">
            <v>HP</v>
          </cell>
          <cell r="AV1613" t="b">
            <v>0</v>
          </cell>
          <cell r="HD1613" t="str">
            <v>Repair Shop</v>
          </cell>
          <cell r="HT1613" t="b">
            <v>0</v>
          </cell>
          <cell r="HU1613" t="str">
            <v>ALF BURTLESON CONSTRUCTION CO.</v>
          </cell>
        </row>
        <row r="1614">
          <cell r="A1614">
            <v>1114</v>
          </cell>
          <cell r="B1614" t="str">
            <v>VEM0089</v>
          </cell>
          <cell r="D1614" t="str">
            <v>CONHAGEN</v>
          </cell>
          <cell r="F1614" t="str">
            <v>GE</v>
          </cell>
          <cell r="I1614" t="str">
            <v>L254TP</v>
          </cell>
          <cell r="K1614" t="str">
            <v>15</v>
          </cell>
          <cell r="L1614" t="str">
            <v>1760</v>
          </cell>
          <cell r="P1614" t="str">
            <v>TEFC</v>
          </cell>
          <cell r="X1614" t="str">
            <v>460</v>
          </cell>
          <cell r="AG1614" t="str">
            <v>HP</v>
          </cell>
          <cell r="AV1614" t="b">
            <v>0</v>
          </cell>
          <cell r="HD1614" t="str">
            <v>Repair Shop</v>
          </cell>
          <cell r="HT1614" t="b">
            <v>0</v>
          </cell>
          <cell r="HU1614" t="str">
            <v>ALFRED CONHAGEN CO. OF CA</v>
          </cell>
        </row>
        <row r="1615">
          <cell r="A1615">
            <v>1113</v>
          </cell>
          <cell r="B1615" t="str">
            <v>VEM0088</v>
          </cell>
          <cell r="D1615" t="str">
            <v>FRFLD-SUISUN</v>
          </cell>
          <cell r="F1615" t="str">
            <v>US Motors</v>
          </cell>
          <cell r="H1615" t="str">
            <v>C606641887-85-20904 PWS</v>
          </cell>
          <cell r="I1615" t="str">
            <v>580PH</v>
          </cell>
          <cell r="K1615" t="str">
            <v>300</v>
          </cell>
          <cell r="L1615" t="str">
            <v>880</v>
          </cell>
          <cell r="O1615" t="str">
            <v>None</v>
          </cell>
          <cell r="R1615" t="str">
            <v>Continuous</v>
          </cell>
          <cell r="T1615" t="str">
            <v>yes</v>
          </cell>
          <cell r="V1615" t="str">
            <v>3</v>
          </cell>
          <cell r="W1615" t="str">
            <v>60</v>
          </cell>
          <cell r="X1615" t="str">
            <v>460</v>
          </cell>
          <cell r="Y1615" t="str">
            <v>365</v>
          </cell>
          <cell r="AD1615" t="str">
            <v>0</v>
          </cell>
          <cell r="AG1615" t="str">
            <v>HP</v>
          </cell>
          <cell r="AI1615" t="str">
            <v>6222</v>
          </cell>
          <cell r="AJ1615" t="str">
            <v>2-7228 (not 7226!)</v>
          </cell>
          <cell r="AO1615" t="str">
            <v>B</v>
          </cell>
          <cell r="AP1615" t="str">
            <v>G</v>
          </cell>
          <cell r="AV1615" t="b">
            <v>0</v>
          </cell>
          <cell r="GK1615" t="str">
            <v>heater 460 volt 338 watt</v>
          </cell>
          <cell r="GL1615" t="str">
            <v>6 leads plus 2 overloads</v>
          </cell>
          <cell r="HD1615" t="str">
            <v>Repair Shop</v>
          </cell>
          <cell r="HT1615" t="b">
            <v>0</v>
          </cell>
          <cell r="HU1615" t="str">
            <v>FAIRFIELD-SUISUN SEWER DISTRICT</v>
          </cell>
        </row>
        <row r="1616">
          <cell r="A1616">
            <v>1112</v>
          </cell>
          <cell r="B1616" t="str">
            <v>VEM0087</v>
          </cell>
          <cell r="D1616" t="str">
            <v>INTEGRATED</v>
          </cell>
          <cell r="F1616" t="str">
            <v>GE</v>
          </cell>
          <cell r="G1616" t="str">
            <v>5K213GR105P</v>
          </cell>
          <cell r="H1616" t="str">
            <v>HR</v>
          </cell>
          <cell r="I1616" t="str">
            <v>L213HP10</v>
          </cell>
          <cell r="K1616" t="str">
            <v>7.5</v>
          </cell>
          <cell r="L1616" t="str">
            <v>3530</v>
          </cell>
          <cell r="M1616" t="str">
            <v>K</v>
          </cell>
          <cell r="O1616" t="str">
            <v>Full no Cord</v>
          </cell>
          <cell r="P1616" t="str">
            <v>TEFC</v>
          </cell>
          <cell r="R1616" t="str">
            <v>Continuous</v>
          </cell>
          <cell r="T1616" t="str">
            <v>None</v>
          </cell>
          <cell r="U1616" t="str">
            <v>40C</v>
          </cell>
          <cell r="V1616" t="str">
            <v>3</v>
          </cell>
          <cell r="W1616" t="str">
            <v>60</v>
          </cell>
          <cell r="X1616" t="str">
            <v>230/460</v>
          </cell>
          <cell r="Y1616" t="str">
            <v>19/9.5</v>
          </cell>
          <cell r="Z1616" t="str">
            <v>V-Ring</v>
          </cell>
          <cell r="AA1616" t="str">
            <v>Vertical</v>
          </cell>
          <cell r="AD1616" t="str">
            <v>-1</v>
          </cell>
          <cell r="AG1616" t="str">
            <v>HP</v>
          </cell>
          <cell r="AO1616" t="str">
            <v>B</v>
          </cell>
          <cell r="AP1616" t="str">
            <v>H</v>
          </cell>
          <cell r="AS1616" t="str">
            <v>1.0</v>
          </cell>
          <cell r="AV1616" t="b">
            <v>0</v>
          </cell>
          <cell r="AW1616" t="str">
            <v>19/9.5</v>
          </cell>
          <cell r="AX1616" t="str">
            <v>2</v>
          </cell>
          <cell r="HD1616" t="str">
            <v>Repair Shop</v>
          </cell>
          <cell r="HT1616" t="b">
            <v>0</v>
          </cell>
          <cell r="HU1616" t="str">
            <v>INTEGRATED TURBO MACHINERY, INC.</v>
          </cell>
        </row>
        <row r="1617">
          <cell r="A1617">
            <v>1111</v>
          </cell>
          <cell r="B1617" t="str">
            <v>VEM0086</v>
          </cell>
          <cell r="D1617" t="str">
            <v>INTEGRATED</v>
          </cell>
          <cell r="F1617" t="str">
            <v>GE</v>
          </cell>
          <cell r="G1617" t="str">
            <v>5K213GR105P</v>
          </cell>
          <cell r="H1617" t="str">
            <v>AV</v>
          </cell>
          <cell r="I1617" t="str">
            <v>L213HP10</v>
          </cell>
          <cell r="K1617" t="str">
            <v>7.5</v>
          </cell>
          <cell r="L1617" t="str">
            <v>3530</v>
          </cell>
          <cell r="M1617" t="str">
            <v>K</v>
          </cell>
          <cell r="O1617" t="str">
            <v>Full no Cord</v>
          </cell>
          <cell r="P1617" t="str">
            <v>TEFC</v>
          </cell>
          <cell r="R1617" t="str">
            <v>Continuous</v>
          </cell>
          <cell r="T1617" t="str">
            <v>None</v>
          </cell>
          <cell r="U1617" t="str">
            <v>40C</v>
          </cell>
          <cell r="V1617" t="str">
            <v>3</v>
          </cell>
          <cell r="W1617" t="str">
            <v>60</v>
          </cell>
          <cell r="X1617" t="str">
            <v>230/460</v>
          </cell>
          <cell r="Y1617" t="str">
            <v>19/9.5</v>
          </cell>
          <cell r="Z1617" t="str">
            <v>V-Ring</v>
          </cell>
          <cell r="AA1617" t="str">
            <v>Vertical</v>
          </cell>
          <cell r="AD1617" t="str">
            <v>0</v>
          </cell>
          <cell r="AG1617" t="str">
            <v>HP</v>
          </cell>
          <cell r="AO1617" t="str">
            <v>B</v>
          </cell>
          <cell r="AP1617" t="str">
            <v>H</v>
          </cell>
          <cell r="AS1617" t="str">
            <v>1.0</v>
          </cell>
          <cell r="AV1617" t="b">
            <v>0</v>
          </cell>
          <cell r="AW1617" t="str">
            <v>19/9.5</v>
          </cell>
          <cell r="AX1617" t="str">
            <v>2</v>
          </cell>
          <cell r="HD1617" t="str">
            <v>Repair Shop</v>
          </cell>
          <cell r="HT1617" t="b">
            <v>0</v>
          </cell>
          <cell r="HU1617" t="str">
            <v>INTEGRATED TURBO MACHINERY, INC.</v>
          </cell>
        </row>
        <row r="1618">
          <cell r="A1618">
            <v>1110</v>
          </cell>
          <cell r="B1618" t="str">
            <v>VEM0085</v>
          </cell>
          <cell r="D1618" t="str">
            <v>VALLEJOWATER</v>
          </cell>
          <cell r="F1618" t="str">
            <v>US Motors</v>
          </cell>
          <cell r="I1618" t="str">
            <v>284VPA</v>
          </cell>
          <cell r="K1618" t="str">
            <v>25</v>
          </cell>
          <cell r="L1618" t="str">
            <v>1770</v>
          </cell>
          <cell r="M1618" t="str">
            <v>AVE4</v>
          </cell>
          <cell r="O1618" t="str">
            <v>Full no Cord</v>
          </cell>
          <cell r="P1618" t="str">
            <v>ODP</v>
          </cell>
          <cell r="R1618" t="str">
            <v>Continuous</v>
          </cell>
          <cell r="T1618" t="str">
            <v>No</v>
          </cell>
          <cell r="U1618" t="str">
            <v>40C</v>
          </cell>
          <cell r="V1618" t="str">
            <v>3</v>
          </cell>
          <cell r="W1618" t="str">
            <v>60</v>
          </cell>
          <cell r="X1618" t="str">
            <v>460</v>
          </cell>
          <cell r="Y1618" t="str">
            <v>31</v>
          </cell>
          <cell r="Z1618" t="str">
            <v>V-Ring</v>
          </cell>
          <cell r="AA1618" t="str">
            <v>Vertical</v>
          </cell>
          <cell r="AD1618" t="str">
            <v>-1</v>
          </cell>
          <cell r="AG1618" t="str">
            <v>HP</v>
          </cell>
          <cell r="AH1618" t="str">
            <v>Heater OB 115V/48W</v>
          </cell>
          <cell r="AI1618" t="str">
            <v>7310B-T</v>
          </cell>
          <cell r="AJ1618" t="str">
            <v>6210-2Z-J/C3</v>
          </cell>
          <cell r="AO1618" t="str">
            <v>B</v>
          </cell>
          <cell r="AP1618" t="str">
            <v>G</v>
          </cell>
          <cell r="AQ1618" t="str">
            <v>B</v>
          </cell>
          <cell r="AR1618" t="str">
            <v>83.6</v>
          </cell>
          <cell r="AS1618" t="str">
            <v>1.15</v>
          </cell>
          <cell r="AT1618" t="str">
            <v>92.4</v>
          </cell>
          <cell r="AV1618" t="b">
            <v>0</v>
          </cell>
          <cell r="AX1618" t="str">
            <v>4</v>
          </cell>
          <cell r="EX1618" t="str">
            <v>G25244/T09T1520354F</v>
          </cell>
          <cell r="HD1618" t="str">
            <v>Repair Shop</v>
          </cell>
          <cell r="HT1618" t="b">
            <v>0</v>
          </cell>
          <cell r="HU1618" t="str">
            <v>CITY OF VALLEJO WATER TREATMENT</v>
          </cell>
        </row>
        <row r="1619">
          <cell r="A1619">
            <v>1109</v>
          </cell>
          <cell r="B1619" t="str">
            <v>VEM0084</v>
          </cell>
          <cell r="D1619" t="str">
            <v>VALLEJOWATER</v>
          </cell>
          <cell r="F1619" t="str">
            <v>US Motors</v>
          </cell>
          <cell r="I1619" t="str">
            <v>284VPA</v>
          </cell>
          <cell r="K1619" t="str">
            <v>25</v>
          </cell>
          <cell r="L1619" t="str">
            <v>1770</v>
          </cell>
          <cell r="M1619" t="str">
            <v>AVE4 TE</v>
          </cell>
          <cell r="O1619" t="str">
            <v>Full no Cord</v>
          </cell>
          <cell r="P1619" t="str">
            <v>TEFC</v>
          </cell>
          <cell r="R1619" t="str">
            <v>Continuous</v>
          </cell>
          <cell r="T1619" t="str">
            <v>Yes</v>
          </cell>
          <cell r="U1619" t="str">
            <v>40C</v>
          </cell>
          <cell r="V1619" t="str">
            <v>3</v>
          </cell>
          <cell r="W1619" t="str">
            <v>60</v>
          </cell>
          <cell r="X1619" t="str">
            <v>460</v>
          </cell>
          <cell r="Y1619" t="str">
            <v>31</v>
          </cell>
          <cell r="Z1619" t="str">
            <v>V-ring</v>
          </cell>
          <cell r="AA1619" t="str">
            <v>Vertical</v>
          </cell>
          <cell r="AD1619" t="str">
            <v>-1</v>
          </cell>
          <cell r="AG1619" t="str">
            <v>HP</v>
          </cell>
          <cell r="AI1619" t="str">
            <v>7310B-T</v>
          </cell>
          <cell r="AJ1619" t="str">
            <v>6210-2Z-J/C3</v>
          </cell>
          <cell r="AO1619" t="str">
            <v>B</v>
          </cell>
          <cell r="AP1619" t="str">
            <v>G</v>
          </cell>
          <cell r="AQ1619" t="str">
            <v>B</v>
          </cell>
          <cell r="AR1619" t="str">
            <v>83.6</v>
          </cell>
          <cell r="AS1619" t="str">
            <v>1.15</v>
          </cell>
          <cell r="AT1619" t="str">
            <v>92</v>
          </cell>
          <cell r="AV1619" t="b">
            <v>0</v>
          </cell>
          <cell r="AW1619" t="str">
            <v>31</v>
          </cell>
          <cell r="AX1619" t="str">
            <v>4</v>
          </cell>
          <cell r="EX1619" t="str">
            <v>G25244/T09T1520354F</v>
          </cell>
          <cell r="HD1619" t="str">
            <v>Repair Shop</v>
          </cell>
          <cell r="HT1619" t="b">
            <v>0</v>
          </cell>
          <cell r="HU1619" t="str">
            <v>CITY OF VALLEJO WATER TREATMENT</v>
          </cell>
        </row>
        <row r="1620">
          <cell r="A1620">
            <v>1108</v>
          </cell>
          <cell r="B1620" t="str">
            <v>VEM0083</v>
          </cell>
          <cell r="D1620" t="str">
            <v>CONHAGEN</v>
          </cell>
          <cell r="F1620" t="str">
            <v>GE</v>
          </cell>
          <cell r="G1620" t="str">
            <v>5KS256SAE129A</v>
          </cell>
          <cell r="H1620" t="str">
            <v>ENFT133S006</v>
          </cell>
          <cell r="I1620" t="str">
            <v>L256HP10</v>
          </cell>
          <cell r="K1620" t="str">
            <v>20</v>
          </cell>
          <cell r="L1620" t="str">
            <v>3540</v>
          </cell>
          <cell r="M1620" t="str">
            <v>KS</v>
          </cell>
          <cell r="N1620" t="str">
            <v>350</v>
          </cell>
          <cell r="O1620" t="str">
            <v>Full no Cord</v>
          </cell>
          <cell r="P1620" t="str">
            <v>TEFC</v>
          </cell>
          <cell r="R1620" t="str">
            <v>Continuous</v>
          </cell>
          <cell r="U1620" t="str">
            <v>40</v>
          </cell>
          <cell r="V1620" t="str">
            <v>3</v>
          </cell>
          <cell r="W1620" t="str">
            <v>60</v>
          </cell>
          <cell r="X1620" t="str">
            <v>230/460</v>
          </cell>
          <cell r="Y1620" t="str">
            <v>45.2/22.6</v>
          </cell>
          <cell r="AA1620" t="str">
            <v>Vertical</v>
          </cell>
          <cell r="AD1620" t="str">
            <v>-1</v>
          </cell>
          <cell r="AG1620" t="str">
            <v>HP</v>
          </cell>
          <cell r="AI1620" t="str">
            <v>6309</v>
          </cell>
          <cell r="AJ1620" t="str">
            <v>6309</v>
          </cell>
          <cell r="AO1620" t="str">
            <v>B</v>
          </cell>
          <cell r="AP1620" t="str">
            <v>G</v>
          </cell>
          <cell r="AQ1620" t="str">
            <v>H</v>
          </cell>
          <cell r="AR1620" t="str">
            <v>91.0</v>
          </cell>
          <cell r="AS1620" t="str">
            <v>1.15</v>
          </cell>
          <cell r="AT1620" t="str">
            <v>88.5</v>
          </cell>
          <cell r="AV1620" t="b">
            <v>0</v>
          </cell>
          <cell r="EW1620" t="str">
            <v>V965</v>
          </cell>
          <cell r="HD1620" t="str">
            <v>Repair Shop</v>
          </cell>
          <cell r="HT1620" t="b">
            <v>0</v>
          </cell>
          <cell r="HU1620" t="str">
            <v>ALFRED CONHAGEN CO. OF CA</v>
          </cell>
        </row>
        <row r="1621">
          <cell r="A1621">
            <v>1107</v>
          </cell>
          <cell r="B1621" t="str">
            <v>VEM0082</v>
          </cell>
          <cell r="D1621" t="str">
            <v>CONHAGEN</v>
          </cell>
          <cell r="F1621" t="str">
            <v>Elektrim</v>
          </cell>
          <cell r="H1621" t="str">
            <v>E894Q12</v>
          </cell>
          <cell r="I1621" t="str">
            <v>182T</v>
          </cell>
          <cell r="K1621" t="str">
            <v>3</v>
          </cell>
          <cell r="L1621" t="str">
            <v>1740</v>
          </cell>
          <cell r="O1621" t="str">
            <v>Full no Cord</v>
          </cell>
          <cell r="P1621" t="str">
            <v>TEFC</v>
          </cell>
          <cell r="T1621" t="str">
            <v>None</v>
          </cell>
          <cell r="U1621" t="str">
            <v>40C</v>
          </cell>
          <cell r="V1621" t="str">
            <v>3</v>
          </cell>
          <cell r="W1621" t="str">
            <v>60</v>
          </cell>
          <cell r="X1621" t="str">
            <v>230/460</v>
          </cell>
          <cell r="Y1621" t="str">
            <v>8.8/4.4</v>
          </cell>
          <cell r="Z1621" t="str">
            <v>V-Ring</v>
          </cell>
          <cell r="AA1621" t="str">
            <v>Vertical</v>
          </cell>
          <cell r="AG1621" t="str">
            <v>HP</v>
          </cell>
          <cell r="AI1621" t="str">
            <v>6306ZZ</v>
          </cell>
          <cell r="AJ1621" t="str">
            <v>6306ZZ</v>
          </cell>
          <cell r="AO1621" t="str">
            <v>B</v>
          </cell>
          <cell r="AP1621" t="str">
            <v>K</v>
          </cell>
          <cell r="AQ1621" t="str">
            <v>B</v>
          </cell>
          <cell r="AR1621" t="str">
            <v>.77</v>
          </cell>
          <cell r="AT1621" t="str">
            <v>.88</v>
          </cell>
          <cell r="AV1621" t="b">
            <v>0</v>
          </cell>
          <cell r="AW1621" t="str">
            <v>8.8/4.4</v>
          </cell>
          <cell r="AX1621" t="str">
            <v>4</v>
          </cell>
          <cell r="GK1621" t="str">
            <v>REPLACED W VEM 0699</v>
          </cell>
          <cell r="HD1621" t="str">
            <v>Repair Shop</v>
          </cell>
          <cell r="HT1621" t="b">
            <v>0</v>
          </cell>
          <cell r="HU1621" t="str">
            <v>ALFRED CONHAGEN CO. OF CA</v>
          </cell>
        </row>
        <row r="1622">
          <cell r="A1622">
            <v>1106</v>
          </cell>
          <cell r="B1622" t="str">
            <v>VEM0081</v>
          </cell>
          <cell r="D1622" t="str">
            <v>TIMET</v>
          </cell>
          <cell r="F1622" t="str">
            <v>GOULDS</v>
          </cell>
          <cell r="G1622" t="str">
            <v>3656</v>
          </cell>
          <cell r="H1622" t="str">
            <v>F0905070460</v>
          </cell>
          <cell r="I1622" t="str">
            <v>215JM</v>
          </cell>
          <cell r="K1622" t="str">
            <v>15</v>
          </cell>
          <cell r="L1622" t="str">
            <v>3450</v>
          </cell>
          <cell r="O1622" t="str">
            <v>Full no Cord</v>
          </cell>
          <cell r="R1622" t="str">
            <v>Continuous</v>
          </cell>
          <cell r="S1622" t="str">
            <v>Yes</v>
          </cell>
          <cell r="U1622" t="str">
            <v>40</v>
          </cell>
          <cell r="V1622" t="str">
            <v>3</v>
          </cell>
          <cell r="W1622" t="str">
            <v>60</v>
          </cell>
          <cell r="X1622" t="str">
            <v>208-230/460</v>
          </cell>
          <cell r="Y1622" t="str">
            <v>37.5-34/17</v>
          </cell>
          <cell r="AD1622" t="str">
            <v>0</v>
          </cell>
          <cell r="AG1622" t="str">
            <v>HP</v>
          </cell>
          <cell r="AI1622" t="str">
            <v>6309</v>
          </cell>
          <cell r="AJ1622" t="str">
            <v>6206</v>
          </cell>
          <cell r="AO1622" t="str">
            <v>A</v>
          </cell>
          <cell r="AP1622" t="str">
            <v>K</v>
          </cell>
          <cell r="AR1622" t="str">
            <v>91</v>
          </cell>
          <cell r="AS1622" t="str">
            <v>1.15</v>
          </cell>
          <cell r="AT1622" t="str">
            <v>90.2</v>
          </cell>
          <cell r="AU1622" t="str">
            <v>37M031Y719H2</v>
          </cell>
          <cell r="AV1622" t="b">
            <v>0</v>
          </cell>
          <cell r="BB1622" t="str">
            <v>7 5/8</v>
          </cell>
          <cell r="BD1622" t="str">
            <v>1 1/2 X 2 - 8</v>
          </cell>
          <cell r="HD1622" t="str">
            <v>Repair Shop</v>
          </cell>
          <cell r="HT1622" t="b">
            <v>0</v>
          </cell>
          <cell r="HU1622" t="str">
            <v>TIMET - TITANIUM METALS</v>
          </cell>
        </row>
        <row r="1623">
          <cell r="A1623">
            <v>1105</v>
          </cell>
          <cell r="B1623" t="str">
            <v>VEM0020</v>
          </cell>
          <cell r="D1623" t="str">
            <v>TIMET</v>
          </cell>
          <cell r="AG1623" t="str">
            <v>HP</v>
          </cell>
          <cell r="AV1623" t="b">
            <v>0</v>
          </cell>
          <cell r="HT1623" t="b">
            <v>0</v>
          </cell>
          <cell r="HU1623" t="str">
            <v>TIMET - TITANIUM METALS</v>
          </cell>
        </row>
        <row r="1624">
          <cell r="A1624">
            <v>1104</v>
          </cell>
          <cell r="B1624" t="str">
            <v>VEM0080</v>
          </cell>
          <cell r="D1624" t="str">
            <v>SIERRA</v>
          </cell>
          <cell r="F1624" t="str">
            <v>Weg</v>
          </cell>
          <cell r="G1624" t="str">
            <v>06036XP3E364TS</v>
          </cell>
          <cell r="I1624" t="str">
            <v>364TS</v>
          </cell>
          <cell r="K1624" t="str">
            <v>60</v>
          </cell>
          <cell r="L1624" t="str">
            <v>3555</v>
          </cell>
          <cell r="M1624" t="str">
            <v>EXT</v>
          </cell>
          <cell r="O1624" t="str">
            <v>Full no Cord</v>
          </cell>
          <cell r="P1624" t="str">
            <v>EXP</v>
          </cell>
          <cell r="R1624" t="str">
            <v>Continuous</v>
          </cell>
          <cell r="T1624" t="str">
            <v>none</v>
          </cell>
          <cell r="U1624" t="str">
            <v>40C</v>
          </cell>
          <cell r="V1624" t="str">
            <v>3</v>
          </cell>
          <cell r="W1624" t="str">
            <v>60/50</v>
          </cell>
          <cell r="X1624" t="str">
            <v>208-230/460</v>
          </cell>
          <cell r="Y1624" t="str">
            <v>153-138/69</v>
          </cell>
          <cell r="AA1624" t="str">
            <v>F1</v>
          </cell>
          <cell r="AD1624" t="str">
            <v>-1</v>
          </cell>
          <cell r="AG1624" t="str">
            <v>HP</v>
          </cell>
          <cell r="AI1624" t="str">
            <v>6314-C3</v>
          </cell>
          <cell r="AJ1624" t="str">
            <v>6314-C3</v>
          </cell>
          <cell r="AO1624" t="str">
            <v>B</v>
          </cell>
          <cell r="AP1624" t="str">
            <v>G</v>
          </cell>
          <cell r="AR1624" t="str">
            <v>80</v>
          </cell>
          <cell r="AS1624" t="str">
            <v>1.</v>
          </cell>
          <cell r="AT1624" t="str">
            <v>93</v>
          </cell>
          <cell r="AV1624" t="b">
            <v>0</v>
          </cell>
          <cell r="AW1624" t="str">
            <v>153-138/69</v>
          </cell>
          <cell r="AX1624" t="str">
            <v>2</v>
          </cell>
          <cell r="GK1624" t="str">
            <v>Shaft size !.873 DO NOT MODIFY!!!!!!!!!</v>
          </cell>
          <cell r="GL1624" t="str">
            <v>Need to install shrink tubing ,sleeving over leads</v>
          </cell>
          <cell r="HD1624" t="str">
            <v>Repair Shop</v>
          </cell>
          <cell r="HT1624" t="b">
            <v>0</v>
          </cell>
          <cell r="HU1624" t="str">
            <v>SIERRA PROCES SYSTEMS</v>
          </cell>
        </row>
        <row r="1625">
          <cell r="A1625">
            <v>1103</v>
          </cell>
          <cell r="B1625" t="str">
            <v>VEM0079</v>
          </cell>
          <cell r="D1625" t="str">
            <v>SIERRA</v>
          </cell>
          <cell r="F1625" t="str">
            <v>Baldor</v>
          </cell>
          <cell r="H1625" t="str">
            <v>C0507020017</v>
          </cell>
          <cell r="I1625" t="str">
            <v>326TS</v>
          </cell>
          <cell r="K1625" t="str">
            <v>50</v>
          </cell>
          <cell r="L1625" t="str">
            <v>3540</v>
          </cell>
          <cell r="O1625" t="str">
            <v>Full no Cord</v>
          </cell>
          <cell r="P1625" t="str">
            <v>EXP</v>
          </cell>
          <cell r="R1625" t="str">
            <v>Continuous</v>
          </cell>
          <cell r="T1625" t="str">
            <v>NONE</v>
          </cell>
          <cell r="U1625" t="str">
            <v>40C</v>
          </cell>
          <cell r="V1625" t="str">
            <v>3</v>
          </cell>
          <cell r="W1625" t="str">
            <v>60/50</v>
          </cell>
          <cell r="X1625" t="str">
            <v>230/460</v>
          </cell>
          <cell r="Y1625" t="str">
            <v>112/56</v>
          </cell>
          <cell r="AA1625" t="str">
            <v>F1</v>
          </cell>
          <cell r="AD1625" t="str">
            <v>0</v>
          </cell>
          <cell r="AG1625" t="str">
            <v>HP</v>
          </cell>
          <cell r="AO1625" t="str">
            <v>B</v>
          </cell>
          <cell r="AP1625" t="str">
            <v>H</v>
          </cell>
          <cell r="AQ1625" t="str">
            <v>B</v>
          </cell>
          <cell r="AR1625" t="str">
            <v>90</v>
          </cell>
          <cell r="AS1625" t="str">
            <v>1.00</v>
          </cell>
          <cell r="AT1625" t="str">
            <v>92.4</v>
          </cell>
          <cell r="AU1625" t="str">
            <v>12MG49N814H1</v>
          </cell>
          <cell r="AV1625" t="b">
            <v>0</v>
          </cell>
          <cell r="AW1625" t="str">
            <v>112/56</v>
          </cell>
          <cell r="AX1625" t="str">
            <v>2</v>
          </cell>
          <cell r="EW1625" t="str">
            <v>M7081T</v>
          </cell>
          <cell r="GK1625" t="str">
            <v>No. BV291984</v>
          </cell>
          <cell r="HD1625" t="str">
            <v>Repair Shop</v>
          </cell>
          <cell r="HT1625" t="b">
            <v>0</v>
          </cell>
          <cell r="HU1625" t="str">
            <v>SIERRA PROCES SYSTEMS</v>
          </cell>
        </row>
        <row r="1626">
          <cell r="A1626">
            <v>1102</v>
          </cell>
          <cell r="B1626" t="str">
            <v>VEM0078</v>
          </cell>
          <cell r="D1626" t="str">
            <v>P66</v>
          </cell>
          <cell r="F1626" t="str">
            <v>US Motors</v>
          </cell>
          <cell r="G1626" t="str">
            <v>6840A</v>
          </cell>
          <cell r="I1626" t="str">
            <v>213T</v>
          </cell>
          <cell r="K1626" t="str">
            <v>7.5</v>
          </cell>
          <cell r="L1626" t="str">
            <v>3525</v>
          </cell>
          <cell r="O1626" t="str">
            <v>Full no Cord</v>
          </cell>
          <cell r="P1626" t="str">
            <v>TEFC</v>
          </cell>
          <cell r="R1626" t="str">
            <v>Continuous</v>
          </cell>
          <cell r="T1626" t="str">
            <v>NONE</v>
          </cell>
          <cell r="U1626" t="str">
            <v>40C</v>
          </cell>
          <cell r="V1626" t="str">
            <v>3</v>
          </cell>
          <cell r="W1626" t="str">
            <v>60</v>
          </cell>
          <cell r="X1626" t="str">
            <v>230/460</v>
          </cell>
          <cell r="Y1626" t="str">
            <v>18.6/9.3</v>
          </cell>
          <cell r="AA1626" t="str">
            <v>F1</v>
          </cell>
          <cell r="AG1626" t="str">
            <v>HP</v>
          </cell>
          <cell r="AO1626" t="str">
            <v>A</v>
          </cell>
          <cell r="AP1626" t="str">
            <v>J</v>
          </cell>
          <cell r="AQ1626" t="str">
            <v>F</v>
          </cell>
          <cell r="AS1626" t="str">
            <v>1.15</v>
          </cell>
          <cell r="AT1626" t="str">
            <v>91.7</v>
          </cell>
          <cell r="AV1626" t="b">
            <v>0</v>
          </cell>
          <cell r="AW1626" t="str">
            <v>18.6/9.3</v>
          </cell>
          <cell r="AX1626" t="str">
            <v>2</v>
          </cell>
          <cell r="EX1626" t="str">
            <v>5840A-B05-5881M</v>
          </cell>
          <cell r="HD1626" t="str">
            <v>Repair Shop</v>
          </cell>
          <cell r="HT1626" t="b">
            <v>0</v>
          </cell>
          <cell r="HU1626" t="str">
            <v>PHILLIPS 66</v>
          </cell>
        </row>
        <row r="1627">
          <cell r="A1627">
            <v>1101</v>
          </cell>
          <cell r="B1627" t="str">
            <v>VEM0077</v>
          </cell>
          <cell r="D1627" t="str">
            <v>P66</v>
          </cell>
          <cell r="F1627" t="str">
            <v>Westinghouse</v>
          </cell>
          <cell r="G1627" t="str">
            <v>TAFC</v>
          </cell>
          <cell r="H1627" t="str">
            <v>7003</v>
          </cell>
          <cell r="I1627" t="str">
            <v>365TS</v>
          </cell>
          <cell r="K1627" t="str">
            <v>75</v>
          </cell>
          <cell r="L1627" t="str">
            <v>3560</v>
          </cell>
          <cell r="O1627" t="str">
            <v>None</v>
          </cell>
          <cell r="P1627" t="str">
            <v>TEFC</v>
          </cell>
          <cell r="R1627" t="str">
            <v>Continuous</v>
          </cell>
          <cell r="T1627" t="str">
            <v>NONE</v>
          </cell>
          <cell r="U1627" t="str">
            <v>40C</v>
          </cell>
          <cell r="V1627" t="str">
            <v>3</v>
          </cell>
          <cell r="W1627" t="str">
            <v>60</v>
          </cell>
          <cell r="X1627" t="str">
            <v>230/460</v>
          </cell>
          <cell r="Y1627" t="str">
            <v>166/83</v>
          </cell>
          <cell r="AA1627" t="str">
            <v>F1</v>
          </cell>
          <cell r="AG1627" t="str">
            <v>HP</v>
          </cell>
          <cell r="AP1627" t="str">
            <v>G</v>
          </cell>
          <cell r="AQ1627" t="str">
            <v>B</v>
          </cell>
          <cell r="AS1627" t="str">
            <v>1.0</v>
          </cell>
          <cell r="AV1627" t="b">
            <v>0</v>
          </cell>
          <cell r="AX1627" t="str">
            <v>2</v>
          </cell>
          <cell r="EY1627" t="str">
            <v>680B104G41</v>
          </cell>
          <cell r="HD1627" t="str">
            <v>Repair Shop</v>
          </cell>
          <cell r="HT1627" t="b">
            <v>0</v>
          </cell>
          <cell r="HU1627" t="str">
            <v>PHILLIPS 66</v>
          </cell>
        </row>
        <row r="1628">
          <cell r="A1628">
            <v>1100</v>
          </cell>
          <cell r="B1628" t="str">
            <v>VEM0076</v>
          </cell>
          <cell r="D1628" t="str">
            <v>P66</v>
          </cell>
          <cell r="F1628" t="str">
            <v>Baldor</v>
          </cell>
          <cell r="H1628" t="str">
            <v>98P26W274</v>
          </cell>
          <cell r="I1628" t="str">
            <v>254T</v>
          </cell>
          <cell r="K1628" t="str">
            <v>15</v>
          </cell>
          <cell r="L1628" t="str">
            <v>1800</v>
          </cell>
          <cell r="O1628" t="str">
            <v>None</v>
          </cell>
          <cell r="P1628" t="str">
            <v>TEFC</v>
          </cell>
          <cell r="R1628" t="str">
            <v>Continuous</v>
          </cell>
          <cell r="S1628" t="str">
            <v>Yes</v>
          </cell>
          <cell r="T1628" t="str">
            <v>NONE</v>
          </cell>
          <cell r="U1628" t="str">
            <v>40C</v>
          </cell>
          <cell r="V1628" t="str">
            <v>3</v>
          </cell>
          <cell r="W1628" t="str">
            <v>60</v>
          </cell>
          <cell r="X1628" t="str">
            <v>230/460</v>
          </cell>
          <cell r="Y1628" t="str">
            <v>33/16.5</v>
          </cell>
          <cell r="AA1628" t="str">
            <v>F1</v>
          </cell>
          <cell r="AD1628" t="str">
            <v>0</v>
          </cell>
          <cell r="AG1628" t="str">
            <v>HP</v>
          </cell>
          <cell r="AI1628" t="str">
            <v>6208</v>
          </cell>
          <cell r="AJ1628" t="str">
            <v>6309</v>
          </cell>
          <cell r="AO1628" t="str">
            <v>B</v>
          </cell>
          <cell r="AP1628" t="str">
            <v>G</v>
          </cell>
          <cell r="AS1628" t="str">
            <v>1.15</v>
          </cell>
          <cell r="AT1628" t="str">
            <v>91.7</v>
          </cell>
          <cell r="AU1628" t="str">
            <v>499C-1527</v>
          </cell>
          <cell r="AV1628" t="b">
            <v>0</v>
          </cell>
          <cell r="AX1628" t="str">
            <v>2</v>
          </cell>
          <cell r="EW1628" t="str">
            <v>EM2394T</v>
          </cell>
          <cell r="HD1628" t="str">
            <v>Repair Shop</v>
          </cell>
          <cell r="HT1628" t="b">
            <v>0</v>
          </cell>
          <cell r="HU1628" t="str">
            <v>PHILLIPS 66</v>
          </cell>
        </row>
        <row r="1629">
          <cell r="A1629">
            <v>1097</v>
          </cell>
          <cell r="B1629" t="str">
            <v>VEM0073</v>
          </cell>
          <cell r="D1629" t="str">
            <v>VALLEJOWATER</v>
          </cell>
          <cell r="F1629" t="str">
            <v>US Motors</v>
          </cell>
          <cell r="H1629" t="str">
            <v>G25244/T09T1520354F</v>
          </cell>
          <cell r="I1629" t="str">
            <v>284VPA</v>
          </cell>
          <cell r="K1629" t="str">
            <v>25</v>
          </cell>
          <cell r="L1629" t="str">
            <v>1800</v>
          </cell>
          <cell r="P1629" t="str">
            <v>TE</v>
          </cell>
          <cell r="X1629" t="str">
            <v>460</v>
          </cell>
          <cell r="Y1629" t="str">
            <v>31</v>
          </cell>
          <cell r="AG1629" t="str">
            <v>HP</v>
          </cell>
          <cell r="AI1629" t="str">
            <v>6210</v>
          </cell>
          <cell r="AJ1629" t="str">
            <v>7310</v>
          </cell>
          <cell r="AV1629" t="b">
            <v>0</v>
          </cell>
          <cell r="AX1629" t="str">
            <v>4</v>
          </cell>
          <cell r="HD1629" t="str">
            <v>Repair Shop</v>
          </cell>
          <cell r="HT1629" t="b">
            <v>0</v>
          </cell>
          <cell r="HU1629" t="str">
            <v>CITY OF VALLEJO WATER TREATMENT</v>
          </cell>
        </row>
        <row r="1630">
          <cell r="A1630">
            <v>1096</v>
          </cell>
          <cell r="B1630" t="str">
            <v>VEM0072</v>
          </cell>
          <cell r="D1630" t="str">
            <v>P66</v>
          </cell>
          <cell r="F1630" t="str">
            <v>GE</v>
          </cell>
          <cell r="G1630" t="str">
            <v>5K6256XJ209B</v>
          </cell>
          <cell r="H1630" t="str">
            <v>KEJ1015414</v>
          </cell>
          <cell r="I1630" t="str">
            <v>324TPZ12</v>
          </cell>
          <cell r="K1630" t="str">
            <v>40</v>
          </cell>
          <cell r="L1630" t="str">
            <v>3540</v>
          </cell>
          <cell r="O1630" t="str">
            <v>None</v>
          </cell>
          <cell r="R1630" t="str">
            <v>Continuous</v>
          </cell>
          <cell r="U1630" t="str">
            <v>75</v>
          </cell>
          <cell r="V1630" t="str">
            <v>3</v>
          </cell>
          <cell r="W1630" t="str">
            <v>60</v>
          </cell>
          <cell r="X1630" t="str">
            <v>460</v>
          </cell>
          <cell r="Y1630" t="str">
            <v>47</v>
          </cell>
          <cell r="AD1630" t="str">
            <v>-1</v>
          </cell>
          <cell r="AG1630" t="str">
            <v>HP</v>
          </cell>
          <cell r="AO1630" t="str">
            <v xml:space="preserve"> B</v>
          </cell>
          <cell r="AP1630" t="str">
            <v>G</v>
          </cell>
          <cell r="AS1630" t="str">
            <v>1.0</v>
          </cell>
          <cell r="AV1630" t="b">
            <v>0</v>
          </cell>
          <cell r="GK1630" t="str">
            <v>slined shaft</v>
          </cell>
          <cell r="GL1630" t="str">
            <v>end play .030</v>
          </cell>
          <cell r="HD1630" t="str">
            <v>Repair Shop</v>
          </cell>
          <cell r="HT1630" t="b">
            <v>0</v>
          </cell>
          <cell r="HU1630" t="str">
            <v>PHILLIPS 66</v>
          </cell>
        </row>
        <row r="1631">
          <cell r="A1631">
            <v>1095</v>
          </cell>
          <cell r="B1631" t="str">
            <v>VEM0071</v>
          </cell>
          <cell r="D1631" t="str">
            <v>VALERO</v>
          </cell>
          <cell r="F1631" t="str">
            <v>US Motors</v>
          </cell>
          <cell r="I1631" t="str">
            <v>324U</v>
          </cell>
          <cell r="K1631" t="str">
            <v>25</v>
          </cell>
          <cell r="L1631" t="str">
            <v>1750</v>
          </cell>
          <cell r="O1631" t="str">
            <v>Full no Cord</v>
          </cell>
          <cell r="Q1631" t="str">
            <v>Yes</v>
          </cell>
          <cell r="V1631" t="str">
            <v>3</v>
          </cell>
          <cell r="W1631" t="str">
            <v>60</v>
          </cell>
          <cell r="X1631" t="str">
            <v>460</v>
          </cell>
          <cell r="Y1631" t="str">
            <v>?</v>
          </cell>
          <cell r="AG1631" t="str">
            <v>HP</v>
          </cell>
          <cell r="AI1631" t="str">
            <v>6311</v>
          </cell>
          <cell r="AJ1631" t="str">
            <v>6211</v>
          </cell>
          <cell r="AV1631" t="b">
            <v>0</v>
          </cell>
          <cell r="HD1631" t="str">
            <v>Repair Shop</v>
          </cell>
          <cell r="HT1631" t="b">
            <v>0</v>
          </cell>
          <cell r="HU1631" t="str">
            <v>VALERO REFINING CO. BENICIA</v>
          </cell>
        </row>
        <row r="1632">
          <cell r="A1632">
            <v>1094</v>
          </cell>
          <cell r="B1632" t="str">
            <v>VEM0070</v>
          </cell>
          <cell r="D1632" t="str">
            <v>CETOLAND</v>
          </cell>
          <cell r="F1632" t="str">
            <v>Franklin</v>
          </cell>
          <cell r="G1632" t="str">
            <v>?1131007410</v>
          </cell>
          <cell r="H1632" t="str">
            <v>?021-10497</v>
          </cell>
          <cell r="I1632" t="str">
            <v>56</v>
          </cell>
          <cell r="K1632" t="str">
            <v>1</v>
          </cell>
          <cell r="L1632" t="str">
            <v>1725</v>
          </cell>
          <cell r="O1632" t="str">
            <v>Full w/ Cord</v>
          </cell>
          <cell r="R1632" t="str">
            <v>Continuous</v>
          </cell>
          <cell r="V1632" t="str">
            <v>1</v>
          </cell>
          <cell r="W1632" t="str">
            <v>60</v>
          </cell>
          <cell r="X1632" t="str">
            <v>115/230</v>
          </cell>
          <cell r="Y1632" t="str">
            <v>11.6/5.8</v>
          </cell>
          <cell r="AD1632" t="str">
            <v>-1</v>
          </cell>
          <cell r="AG1632" t="str">
            <v>HP</v>
          </cell>
          <cell r="AS1632" t="str">
            <v>1.0</v>
          </cell>
          <cell r="AV1632" t="b">
            <v>0</v>
          </cell>
          <cell r="GK1632" t="str">
            <v>115 volts</v>
          </cell>
          <cell r="GL1632" t="str">
            <v>Explosion Proof</v>
          </cell>
          <cell r="GM1632" t="str">
            <v>mounted on blower assbly</v>
          </cell>
          <cell r="HD1632" t="str">
            <v>Repair Shop</v>
          </cell>
          <cell r="HT1632" t="b">
            <v>0</v>
          </cell>
          <cell r="HU1632" t="str">
            <v>C.E. TOLAND &amp; SON</v>
          </cell>
        </row>
        <row r="1633">
          <cell r="A1633">
            <v>1093</v>
          </cell>
          <cell r="B1633" t="str">
            <v>VEM0069</v>
          </cell>
          <cell r="D1633" t="str">
            <v>MOTION</v>
          </cell>
          <cell r="F1633" t="str">
            <v>Leeson</v>
          </cell>
          <cell r="G1633" t="str">
            <v>M6T17DB21A</v>
          </cell>
          <cell r="I1633" t="str">
            <v>C56FC</v>
          </cell>
          <cell r="K1633" t="str">
            <v>0.33</v>
          </cell>
          <cell r="L1633" t="str">
            <v>1725</v>
          </cell>
          <cell r="M1633" t="str">
            <v>TD</v>
          </cell>
          <cell r="P1633" t="str">
            <v>DP</v>
          </cell>
          <cell r="R1633" t="str">
            <v>Continuous</v>
          </cell>
          <cell r="S1633" t="str">
            <v>No</v>
          </cell>
          <cell r="T1633" t="str">
            <v>NO</v>
          </cell>
          <cell r="U1633" t="str">
            <v>40C</v>
          </cell>
          <cell r="V1633" t="str">
            <v>3</v>
          </cell>
          <cell r="W1633" t="str">
            <v>60</v>
          </cell>
          <cell r="X1633" t="str">
            <v>208-220/440</v>
          </cell>
          <cell r="Y1633" t="str">
            <v>1.4/.7</v>
          </cell>
          <cell r="AA1633" t="str">
            <v>Vertical</v>
          </cell>
          <cell r="AD1633" t="str">
            <v>0</v>
          </cell>
          <cell r="AG1633" t="str">
            <v>HP</v>
          </cell>
          <cell r="AP1633" t="str">
            <v>M</v>
          </cell>
          <cell r="AQ1633" t="str">
            <v>B*</v>
          </cell>
          <cell r="AR1633" t="str">
            <v>66</v>
          </cell>
          <cell r="AS1633" t="str">
            <v>1.35</v>
          </cell>
          <cell r="AT1633" t="str">
            <v>70</v>
          </cell>
          <cell r="AV1633" t="b">
            <v>0</v>
          </cell>
          <cell r="CJ1633" t="str">
            <v>Sterns</v>
          </cell>
          <cell r="CK1633" t="str">
            <v>1-055-511-00-BQF</v>
          </cell>
          <cell r="CL1633" t="str">
            <v>bz-317033</v>
          </cell>
          <cell r="CM1633" t="str">
            <v>3</v>
          </cell>
          <cell r="CN1633" t="str">
            <v>230/460</v>
          </cell>
          <cell r="CQ1633" t="str">
            <v>60/50</v>
          </cell>
          <cell r="EW1633" t="str">
            <v>111013-01</v>
          </cell>
          <cell r="HD1633" t="str">
            <v>Repair Shop</v>
          </cell>
          <cell r="HT1633" t="b">
            <v>0</v>
          </cell>
          <cell r="HU1633" t="str">
            <v>MOTION INDUSTRIES</v>
          </cell>
        </row>
        <row r="1634">
          <cell r="A1634">
            <v>1092</v>
          </cell>
          <cell r="B1634" t="str">
            <v>VEM0068</v>
          </cell>
          <cell r="D1634" t="str">
            <v>P66</v>
          </cell>
          <cell r="F1634" t="str">
            <v>GE</v>
          </cell>
          <cell r="G1634" t="str">
            <v>5KS256XAA108D1</v>
          </cell>
          <cell r="H1634" t="str">
            <v>GHFT195S002</v>
          </cell>
          <cell r="I1634" t="str">
            <v>256TZ</v>
          </cell>
          <cell r="K1634" t="str">
            <v>20</v>
          </cell>
          <cell r="L1634" t="str">
            <v>3540</v>
          </cell>
          <cell r="M1634" t="str">
            <v>KS</v>
          </cell>
          <cell r="N1634" t="str">
            <v>350</v>
          </cell>
          <cell r="O1634" t="str">
            <v>Full no Cord</v>
          </cell>
          <cell r="P1634" t="str">
            <v>TEFC</v>
          </cell>
          <cell r="R1634" t="str">
            <v>Continuous</v>
          </cell>
          <cell r="S1634" t="str">
            <v>NONE</v>
          </cell>
          <cell r="T1634" t="str">
            <v>NONE</v>
          </cell>
          <cell r="U1634" t="str">
            <v>40C</v>
          </cell>
          <cell r="V1634" t="str">
            <v>3</v>
          </cell>
          <cell r="W1634" t="str">
            <v>60</v>
          </cell>
          <cell r="X1634" t="str">
            <v>460</v>
          </cell>
          <cell r="Y1634" t="str">
            <v>22.6</v>
          </cell>
          <cell r="Z1634" t="str">
            <v>ISOMAG</v>
          </cell>
          <cell r="AA1634" t="str">
            <v>F1</v>
          </cell>
          <cell r="AD1634" t="str">
            <v>0</v>
          </cell>
          <cell r="AG1634" t="str">
            <v>HP</v>
          </cell>
          <cell r="AI1634" t="str">
            <v>6309ZC3</v>
          </cell>
          <cell r="AJ1634" t="str">
            <v>6309ZC3</v>
          </cell>
          <cell r="AO1634" t="str">
            <v>B</v>
          </cell>
          <cell r="AP1634" t="str">
            <v>G</v>
          </cell>
          <cell r="AQ1634" t="str">
            <v>H</v>
          </cell>
          <cell r="AR1634" t="str">
            <v>91</v>
          </cell>
          <cell r="AS1634" t="str">
            <v>1.15</v>
          </cell>
          <cell r="AT1634" t="str">
            <v>91</v>
          </cell>
          <cell r="AV1634" t="b">
            <v>0</v>
          </cell>
          <cell r="AX1634" t="str">
            <v>2</v>
          </cell>
          <cell r="EW1634" t="str">
            <v>H9438</v>
          </cell>
          <cell r="HD1634" t="str">
            <v>Repair Shop</v>
          </cell>
          <cell r="HT1634" t="b">
            <v>0</v>
          </cell>
          <cell r="HU1634" t="str">
            <v>PHILLIPS 66</v>
          </cell>
        </row>
        <row r="1635">
          <cell r="A1635">
            <v>1091</v>
          </cell>
          <cell r="B1635" t="str">
            <v>VEM0067</v>
          </cell>
          <cell r="D1635" t="str">
            <v>P66</v>
          </cell>
          <cell r="F1635" t="str">
            <v>GE</v>
          </cell>
          <cell r="G1635" t="str">
            <v>5K284XBM106</v>
          </cell>
          <cell r="H1635" t="str">
            <v>BEJ218980</v>
          </cell>
          <cell r="I1635" t="str">
            <v>284TS</v>
          </cell>
          <cell r="K1635" t="str">
            <v>25</v>
          </cell>
          <cell r="L1635" t="str">
            <v>3525</v>
          </cell>
          <cell r="M1635" t="str">
            <v>K</v>
          </cell>
          <cell r="O1635" t="str">
            <v>None</v>
          </cell>
          <cell r="P1635" t="str">
            <v>TEFC</v>
          </cell>
          <cell r="R1635" t="str">
            <v>Continuous</v>
          </cell>
          <cell r="T1635" t="str">
            <v>None</v>
          </cell>
          <cell r="U1635" t="str">
            <v>40C</v>
          </cell>
          <cell r="V1635" t="str">
            <v>3</v>
          </cell>
          <cell r="W1635" t="str">
            <v>60</v>
          </cell>
          <cell r="X1635" t="str">
            <v>230/460</v>
          </cell>
          <cell r="Y1635" t="str">
            <v>61.2/30.6</v>
          </cell>
          <cell r="AA1635" t="str">
            <v>F1</v>
          </cell>
          <cell r="AG1635" t="str">
            <v>HP</v>
          </cell>
          <cell r="AO1635" t="str">
            <v>B</v>
          </cell>
          <cell r="AP1635" t="str">
            <v>G</v>
          </cell>
          <cell r="AQ1635" t="str">
            <v>B</v>
          </cell>
          <cell r="AS1635" t="str">
            <v>1.0</v>
          </cell>
          <cell r="AV1635" t="b">
            <v>0</v>
          </cell>
          <cell r="AX1635" t="str">
            <v>2</v>
          </cell>
          <cell r="HD1635" t="str">
            <v>Repair Shop</v>
          </cell>
          <cell r="HT1635" t="b">
            <v>0</v>
          </cell>
          <cell r="HU1635" t="str">
            <v>PHILLIPS 66</v>
          </cell>
        </row>
        <row r="1636">
          <cell r="A1636">
            <v>1090</v>
          </cell>
          <cell r="B1636" t="str">
            <v>VEM0066</v>
          </cell>
          <cell r="D1636" t="str">
            <v>FRFLD-SUISUN</v>
          </cell>
          <cell r="F1636" t="str">
            <v>GE</v>
          </cell>
          <cell r="G1636" t="str">
            <v>5KS444DAJ8022</v>
          </cell>
          <cell r="H1636" t="str">
            <v>DLFT115U010</v>
          </cell>
          <cell r="I1636" t="str">
            <v>L444TP16</v>
          </cell>
          <cell r="K1636" t="str">
            <v>75</v>
          </cell>
          <cell r="L1636" t="str">
            <v>900</v>
          </cell>
          <cell r="M1636" t="str">
            <v>KS</v>
          </cell>
          <cell r="O1636" t="str">
            <v>None</v>
          </cell>
          <cell r="P1636" t="str">
            <v>WP1</v>
          </cell>
          <cell r="R1636" t="str">
            <v>Continuous</v>
          </cell>
          <cell r="T1636" t="str">
            <v>NONE</v>
          </cell>
          <cell r="U1636" t="str">
            <v>40C</v>
          </cell>
          <cell r="V1636" t="str">
            <v>3</v>
          </cell>
          <cell r="W1636" t="str">
            <v>60</v>
          </cell>
          <cell r="X1636" t="str">
            <v>230/460</v>
          </cell>
          <cell r="Y1636" t="str">
            <v>188/94</v>
          </cell>
          <cell r="AA1636" t="str">
            <v>Vertical</v>
          </cell>
          <cell r="AD1636" t="str">
            <v>0</v>
          </cell>
          <cell r="AG1636" t="str">
            <v>HP</v>
          </cell>
          <cell r="AO1636" t="str">
            <v>B</v>
          </cell>
          <cell r="AP1636" t="str">
            <v>G</v>
          </cell>
          <cell r="AQ1636" t="str">
            <v>H</v>
          </cell>
          <cell r="AS1636" t="str">
            <v>1.15</v>
          </cell>
          <cell r="AV1636" t="b">
            <v>0</v>
          </cell>
          <cell r="HD1636" t="str">
            <v>Repair Shop</v>
          </cell>
          <cell r="HT1636" t="b">
            <v>0</v>
          </cell>
          <cell r="HU1636" t="str">
            <v>FAIRFIELD-SUISUN SEWER DISTRICT</v>
          </cell>
        </row>
        <row r="1637">
          <cell r="A1637">
            <v>1089</v>
          </cell>
          <cell r="B1637" t="str">
            <v>VEM0065</v>
          </cell>
          <cell r="D1637" t="str">
            <v>SUPERSTORES</v>
          </cell>
          <cell r="AG1637" t="str">
            <v>HP</v>
          </cell>
          <cell r="AV1637" t="b">
            <v>0</v>
          </cell>
          <cell r="HD1637" t="str">
            <v>Repair Shop</v>
          </cell>
          <cell r="HT1637" t="b">
            <v>0</v>
          </cell>
          <cell r="HU1637" t="str">
            <v>Producers Dairy Foods</v>
          </cell>
        </row>
        <row r="1638">
          <cell r="A1638">
            <v>1088</v>
          </cell>
          <cell r="B1638" t="str">
            <v>VEM0064</v>
          </cell>
          <cell r="D1638" t="str">
            <v>CONHAGEN</v>
          </cell>
          <cell r="F1638" t="str">
            <v>Cleaver Brooks</v>
          </cell>
          <cell r="G1638" t="str">
            <v>2VE286TTFP7019AA L</v>
          </cell>
          <cell r="H1638" t="str">
            <v>LR2025 e49747</v>
          </cell>
          <cell r="I1638" t="str">
            <v>286TBZ</v>
          </cell>
          <cell r="K1638" t="str">
            <v>30</v>
          </cell>
          <cell r="L1638" t="str">
            <v>3540</v>
          </cell>
          <cell r="M1638" t="str">
            <v>TFS</v>
          </cell>
          <cell r="P1638" t="str">
            <v>TEFC</v>
          </cell>
          <cell r="R1638" t="str">
            <v>Continuous</v>
          </cell>
          <cell r="U1638" t="str">
            <v>40C</v>
          </cell>
          <cell r="V1638" t="str">
            <v>3</v>
          </cell>
          <cell r="W1638" t="str">
            <v>60</v>
          </cell>
          <cell r="X1638" t="str">
            <v>200-230/460</v>
          </cell>
          <cell r="Y1638" t="str">
            <v>90.5-70/35</v>
          </cell>
          <cell r="AA1638" t="str">
            <v>F1</v>
          </cell>
          <cell r="AD1638" t="str">
            <v>0</v>
          </cell>
          <cell r="AG1638" t="str">
            <v>HP</v>
          </cell>
          <cell r="AI1638" t="str">
            <v>6311</v>
          </cell>
          <cell r="AJ1638" t="str">
            <v>6210</v>
          </cell>
          <cell r="AO1638" t="str">
            <v>B</v>
          </cell>
          <cell r="AP1638" t="str">
            <v>H</v>
          </cell>
          <cell r="AQ1638" t="str">
            <v>F3</v>
          </cell>
          <cell r="AR1638" t="str">
            <v>87</v>
          </cell>
          <cell r="AS1638" t="str">
            <v>1.15</v>
          </cell>
          <cell r="AT1638" t="str">
            <v>91.7</v>
          </cell>
          <cell r="AV1638" t="b">
            <v>0</v>
          </cell>
          <cell r="AX1638" t="str">
            <v>2</v>
          </cell>
          <cell r="GK1638" t="str">
            <v>PART# 996-106.39</v>
          </cell>
          <cell r="GL1638" t="str">
            <v>9 leads .OK to bring out 3 leads 460 volt</v>
          </cell>
          <cell r="GM1638" t="str">
            <v>Use Chev SRI 2 grease</v>
          </cell>
          <cell r="GN1638" t="str">
            <v>no load amps 10</v>
          </cell>
          <cell r="HD1638" t="str">
            <v>Repair Shop</v>
          </cell>
          <cell r="HT1638" t="b">
            <v>0</v>
          </cell>
          <cell r="HU1638" t="str">
            <v>ALFRED CONHAGEN CO. OF CA</v>
          </cell>
        </row>
        <row r="1639">
          <cell r="A1639">
            <v>1087</v>
          </cell>
          <cell r="B1639" t="str">
            <v>VEM0063</v>
          </cell>
          <cell r="D1639" t="str">
            <v>P66</v>
          </cell>
          <cell r="F1639" t="str">
            <v>US Motors</v>
          </cell>
          <cell r="H1639" t="str">
            <v>A11A2890166F</v>
          </cell>
          <cell r="I1639" t="str">
            <v>254TC</v>
          </cell>
          <cell r="K1639" t="str">
            <v>15</v>
          </cell>
          <cell r="L1639" t="str">
            <v>3540</v>
          </cell>
          <cell r="O1639" t="str">
            <v>None</v>
          </cell>
          <cell r="R1639" t="str">
            <v>Continuous</v>
          </cell>
          <cell r="T1639" t="str">
            <v>none no key</v>
          </cell>
          <cell r="V1639" t="str">
            <v>3</v>
          </cell>
          <cell r="W1639" t="str">
            <v>60</v>
          </cell>
          <cell r="X1639" t="str">
            <v>460</v>
          </cell>
          <cell r="Y1639" t="str">
            <v>17.9</v>
          </cell>
          <cell r="AD1639" t="str">
            <v>0</v>
          </cell>
          <cell r="AG1639" t="str">
            <v>HP</v>
          </cell>
          <cell r="AO1639" t="str">
            <v>B</v>
          </cell>
          <cell r="AV1639" t="b">
            <v>0</v>
          </cell>
          <cell r="HD1639" t="str">
            <v>Repair Shop</v>
          </cell>
          <cell r="HT1639" t="b">
            <v>0</v>
          </cell>
          <cell r="HU1639" t="str">
            <v>PHILLIPS 66</v>
          </cell>
        </row>
        <row r="1640">
          <cell r="A1640">
            <v>1086</v>
          </cell>
          <cell r="B1640" t="str">
            <v>VEM0062</v>
          </cell>
          <cell r="D1640" t="str">
            <v>P66</v>
          </cell>
          <cell r="F1640" t="str">
            <v>US Motors</v>
          </cell>
          <cell r="G1640" t="str">
            <v>---</v>
          </cell>
          <cell r="H1640" t="str">
            <v>P4374106</v>
          </cell>
          <cell r="I1640" t="str">
            <v>215P</v>
          </cell>
          <cell r="K1640" t="str">
            <v>5</v>
          </cell>
          <cell r="L1640" t="str">
            <v>1800</v>
          </cell>
          <cell r="M1640" t="str">
            <v>JV4</v>
          </cell>
          <cell r="O1640" t="str">
            <v>Full no Cord</v>
          </cell>
          <cell r="R1640" t="str">
            <v>Continuous</v>
          </cell>
          <cell r="T1640" t="str">
            <v>none no key</v>
          </cell>
          <cell r="V1640" t="str">
            <v>3</v>
          </cell>
          <cell r="W1640" t="str">
            <v>60</v>
          </cell>
          <cell r="X1640" t="str">
            <v>230/460</v>
          </cell>
          <cell r="Y1640" t="str">
            <v>13.6/6.8</v>
          </cell>
          <cell r="AG1640" t="str">
            <v>HP</v>
          </cell>
          <cell r="AO1640" t="str">
            <v>B</v>
          </cell>
          <cell r="AP1640" t="str">
            <v>H</v>
          </cell>
          <cell r="AV1640" t="b">
            <v>0</v>
          </cell>
          <cell r="HD1640" t="str">
            <v>Repair Shop</v>
          </cell>
          <cell r="HT1640" t="b">
            <v>0</v>
          </cell>
          <cell r="HU1640" t="str">
            <v>PHILLIPS 66</v>
          </cell>
        </row>
        <row r="1641">
          <cell r="A1641">
            <v>1085</v>
          </cell>
          <cell r="B1641" t="str">
            <v>VEM0061</v>
          </cell>
          <cell r="D1641" t="str">
            <v>P66CARBON</v>
          </cell>
          <cell r="F1641" t="str">
            <v>Siemens</v>
          </cell>
          <cell r="G1641" t="str">
            <v>142</v>
          </cell>
          <cell r="H1641" t="str">
            <v>1-5133-31882-1-2</v>
          </cell>
          <cell r="I1641" t="str">
            <v>447VP</v>
          </cell>
          <cell r="K1641" t="str">
            <v>200</v>
          </cell>
          <cell r="L1641" t="str">
            <v>1190</v>
          </cell>
          <cell r="M1641" t="str">
            <v>RGZV</v>
          </cell>
          <cell r="O1641" t="str">
            <v>None</v>
          </cell>
          <cell r="R1641" t="str">
            <v>Continuous</v>
          </cell>
          <cell r="T1641" t="str">
            <v>Yes</v>
          </cell>
          <cell r="U1641" t="str">
            <v>40</v>
          </cell>
          <cell r="V1641" t="str">
            <v>3</v>
          </cell>
          <cell r="W1641" t="str">
            <v>60</v>
          </cell>
          <cell r="X1641" t="str">
            <v>460</v>
          </cell>
          <cell r="Y1641" t="str">
            <v>224</v>
          </cell>
          <cell r="AD1641" t="str">
            <v>0</v>
          </cell>
          <cell r="AG1641" t="str">
            <v>HP</v>
          </cell>
          <cell r="AP1641" t="str">
            <v>G</v>
          </cell>
          <cell r="AV1641" t="b">
            <v>0</v>
          </cell>
          <cell r="GK1641" t="str">
            <v>240 Watt heater120 Volt</v>
          </cell>
          <cell r="HD1641" t="str">
            <v>Repair Shop</v>
          </cell>
          <cell r="HT1641" t="b">
            <v>0</v>
          </cell>
          <cell r="HU1641" t="str">
            <v>PHILLIPS 66 CARBON PLANT</v>
          </cell>
        </row>
        <row r="1642">
          <cell r="A1642">
            <v>1084</v>
          </cell>
          <cell r="B1642" t="str">
            <v>VEM0060</v>
          </cell>
          <cell r="D1642" t="str">
            <v>CULINARY</v>
          </cell>
          <cell r="F1642" t="str">
            <v>Allis Chalmers</v>
          </cell>
          <cell r="H1642" t="str">
            <v>11E8-51-642-434-186</v>
          </cell>
          <cell r="I1642" t="str">
            <v>326</v>
          </cell>
          <cell r="K1642" t="str">
            <v>10</v>
          </cell>
          <cell r="L1642" t="str">
            <v>1150</v>
          </cell>
          <cell r="M1642" t="str">
            <v>AP</v>
          </cell>
          <cell r="O1642" t="str">
            <v>full</v>
          </cell>
          <cell r="R1642" t="str">
            <v>Continuous</v>
          </cell>
          <cell r="U1642" t="str">
            <v>40</v>
          </cell>
          <cell r="V1642" t="str">
            <v>3</v>
          </cell>
          <cell r="W1642" t="str">
            <v>60</v>
          </cell>
          <cell r="X1642" t="str">
            <v>220-440</v>
          </cell>
          <cell r="Y1642" t="str">
            <v>28-14</v>
          </cell>
          <cell r="AG1642" t="str">
            <v>HP</v>
          </cell>
          <cell r="AP1642" t="str">
            <v>G</v>
          </cell>
          <cell r="AV1642" t="b">
            <v>0</v>
          </cell>
          <cell r="GK1642" t="str">
            <v>no key or coupling</v>
          </cell>
          <cell r="HD1642" t="str">
            <v>Repair Shop</v>
          </cell>
          <cell r="HT1642" t="b">
            <v>0</v>
          </cell>
          <cell r="HU1642" t="str">
            <v>CULINARY FARMS</v>
          </cell>
        </row>
        <row r="1643">
          <cell r="A1643">
            <v>1083</v>
          </cell>
          <cell r="B1643" t="str">
            <v>VEM0059</v>
          </cell>
          <cell r="D1643" t="str">
            <v>VALERO</v>
          </cell>
          <cell r="F1643" t="str">
            <v>Reliance</v>
          </cell>
          <cell r="G1643" t="str">
            <v>P4060464A</v>
          </cell>
          <cell r="H1643" t="str">
            <v>P40G0464A</v>
          </cell>
          <cell r="I1643" t="str">
            <v>404T</v>
          </cell>
          <cell r="K1643" t="str">
            <v>60</v>
          </cell>
          <cell r="L1643" t="str">
            <v>1185</v>
          </cell>
          <cell r="M1643" t="str">
            <v>P</v>
          </cell>
          <cell r="O1643" t="str">
            <v>Full</v>
          </cell>
          <cell r="R1643" t="str">
            <v>Continuous</v>
          </cell>
          <cell r="T1643" t="str">
            <v>NONE</v>
          </cell>
          <cell r="V1643" t="str">
            <v>3</v>
          </cell>
          <cell r="W1643" t="str">
            <v>60</v>
          </cell>
          <cell r="X1643" t="str">
            <v>460</v>
          </cell>
          <cell r="Y1643" t="str">
            <v>69</v>
          </cell>
          <cell r="AG1643" t="str">
            <v>HP</v>
          </cell>
          <cell r="AI1643" t="str">
            <v>6316</v>
          </cell>
          <cell r="AJ1643" t="str">
            <v>6316</v>
          </cell>
          <cell r="AO1643" t="str">
            <v>B</v>
          </cell>
          <cell r="AR1643" t="str">
            <v>85.8</v>
          </cell>
          <cell r="AT1643" t="str">
            <v>95.0</v>
          </cell>
          <cell r="AV1643" t="b">
            <v>0</v>
          </cell>
          <cell r="HD1643" t="str">
            <v>Repair Shop</v>
          </cell>
          <cell r="HT1643" t="b">
            <v>0</v>
          </cell>
          <cell r="HU1643" t="str">
            <v>VALERO REFINING CO. BENICIA</v>
          </cell>
        </row>
        <row r="1644">
          <cell r="A1644">
            <v>1082</v>
          </cell>
          <cell r="B1644" t="str">
            <v>VEM0058</v>
          </cell>
          <cell r="D1644" t="str">
            <v>VALERO</v>
          </cell>
          <cell r="F1644" t="str">
            <v>TECO-WESTINGHOUSE</v>
          </cell>
          <cell r="H1644" t="str">
            <v>NAP7151731001</v>
          </cell>
          <cell r="I1644" t="str">
            <v>404T</v>
          </cell>
          <cell r="K1644" t="str">
            <v>60</v>
          </cell>
          <cell r="L1644" t="str">
            <v>1180</v>
          </cell>
          <cell r="M1644" t="str">
            <v>AEHH8B</v>
          </cell>
          <cell r="O1644" t="str">
            <v>Full</v>
          </cell>
          <cell r="R1644" t="str">
            <v>Continuous</v>
          </cell>
          <cell r="T1644" t="str">
            <v>NONE</v>
          </cell>
          <cell r="V1644" t="str">
            <v>3</v>
          </cell>
          <cell r="W1644" t="str">
            <v>60</v>
          </cell>
          <cell r="X1644" t="str">
            <v>460</v>
          </cell>
          <cell r="Y1644" t="str">
            <v>68.3</v>
          </cell>
          <cell r="AG1644" t="str">
            <v>HP</v>
          </cell>
          <cell r="AI1644" t="str">
            <v>317</v>
          </cell>
          <cell r="AJ1644" t="str">
            <v>313</v>
          </cell>
          <cell r="AO1644" t="str">
            <v>B</v>
          </cell>
          <cell r="AP1644" t="str">
            <v>G</v>
          </cell>
          <cell r="AT1644" t="str">
            <v>94.5</v>
          </cell>
          <cell r="AV1644" t="b">
            <v>0</v>
          </cell>
          <cell r="EW1644" t="str">
            <v>HB0606</v>
          </cell>
          <cell r="GK1644" t="str">
            <v>WGT-1256LBS</v>
          </cell>
          <cell r="HD1644" t="str">
            <v>Repair Shop</v>
          </cell>
          <cell r="HT1644" t="b">
            <v>0</v>
          </cell>
          <cell r="HU1644" t="str">
            <v>VALERO REFINING CO. BENICIA</v>
          </cell>
        </row>
        <row r="1645">
          <cell r="A1645">
            <v>1081</v>
          </cell>
          <cell r="B1645" t="str">
            <v>VEM0057</v>
          </cell>
          <cell r="D1645" t="str">
            <v>Rinker</v>
          </cell>
          <cell r="F1645" t="str">
            <v>GE</v>
          </cell>
          <cell r="G1645" t="str">
            <v>5K4284Y2WF1</v>
          </cell>
          <cell r="H1645" t="str">
            <v>XP4429711</v>
          </cell>
          <cell r="I1645" t="str">
            <v>284Y</v>
          </cell>
          <cell r="K1645" t="str">
            <v>15</v>
          </cell>
          <cell r="L1645" t="str">
            <v>1760</v>
          </cell>
          <cell r="M1645" t="str">
            <v>K</v>
          </cell>
          <cell r="O1645" t="str">
            <v>1/2 BOX</v>
          </cell>
          <cell r="R1645" t="str">
            <v>Continuous</v>
          </cell>
          <cell r="U1645" t="str">
            <v>40</v>
          </cell>
          <cell r="V1645" t="str">
            <v>3</v>
          </cell>
          <cell r="X1645" t="str">
            <v>220/440</v>
          </cell>
          <cell r="Y1645" t="str">
            <v>39.4/19.7</v>
          </cell>
          <cell r="AG1645" t="str">
            <v>HP</v>
          </cell>
          <cell r="AO1645" t="str">
            <v>B</v>
          </cell>
          <cell r="AP1645" t="str">
            <v>F</v>
          </cell>
          <cell r="AS1645" t="str">
            <v>1.15</v>
          </cell>
          <cell r="AV1645" t="b">
            <v>0</v>
          </cell>
          <cell r="GK1645" t="str">
            <v>3 LEADS ONLY</v>
          </cell>
          <cell r="GL1645" t="str">
            <v>STATOR ONLY</v>
          </cell>
          <cell r="HA1645" t="str">
            <v>1</v>
          </cell>
          <cell r="HD1645" t="str">
            <v>Repair Shop</v>
          </cell>
          <cell r="HO1645" t="str">
            <v>RATIO-25.88-RPM-68</v>
          </cell>
          <cell r="HT1645" t="b">
            <v>0</v>
          </cell>
          <cell r="HU1645" t="str">
            <v>CEMEX MATERIALS</v>
          </cell>
        </row>
        <row r="1646">
          <cell r="A1646">
            <v>1080</v>
          </cell>
          <cell r="B1646" t="str">
            <v>VEM0055</v>
          </cell>
          <cell r="D1646" t="str">
            <v>INTEGRATED</v>
          </cell>
          <cell r="F1646" t="str">
            <v>Reliance</v>
          </cell>
          <cell r="I1646" t="str">
            <v>286LP</v>
          </cell>
          <cell r="K1646" t="str">
            <v>30</v>
          </cell>
          <cell r="L1646" t="str">
            <v>1765</v>
          </cell>
          <cell r="M1646" t="str">
            <v>P</v>
          </cell>
          <cell r="O1646" t="str">
            <v>Full no Cord</v>
          </cell>
          <cell r="P1646" t="str">
            <v>TEFC</v>
          </cell>
          <cell r="R1646" t="str">
            <v>Continuous</v>
          </cell>
          <cell r="T1646" t="str">
            <v>None</v>
          </cell>
          <cell r="U1646" t="str">
            <v>40C</v>
          </cell>
          <cell r="V1646" t="str">
            <v>3</v>
          </cell>
          <cell r="W1646" t="str">
            <v>60</v>
          </cell>
          <cell r="X1646" t="str">
            <v>230/460</v>
          </cell>
          <cell r="Y1646" t="str">
            <v>72.2/36.1</v>
          </cell>
          <cell r="AA1646" t="str">
            <v>Vertical</v>
          </cell>
          <cell r="AD1646" t="str">
            <v>-1</v>
          </cell>
          <cell r="AG1646" t="str">
            <v>HP</v>
          </cell>
          <cell r="AO1646" t="str">
            <v>B</v>
          </cell>
          <cell r="AP1646" t="str">
            <v>G</v>
          </cell>
          <cell r="AQ1646" t="str">
            <v>F</v>
          </cell>
          <cell r="AR1646" t="str">
            <v>83.1</v>
          </cell>
          <cell r="AS1646" t="str">
            <v>1.15</v>
          </cell>
          <cell r="AT1646" t="str">
            <v>93.6</v>
          </cell>
          <cell r="AV1646" t="b">
            <v>0</v>
          </cell>
          <cell r="AX1646" t="str">
            <v>4</v>
          </cell>
          <cell r="EX1646" t="str">
            <v>06MAN98338 G001LD</v>
          </cell>
          <cell r="HD1646" t="str">
            <v>Repair Shop</v>
          </cell>
          <cell r="HT1646" t="b">
            <v>0</v>
          </cell>
          <cell r="HU1646" t="str">
            <v>INTEGRATED TURBO MACHINERY, INC.</v>
          </cell>
        </row>
        <row r="1647">
          <cell r="A1647">
            <v>1078</v>
          </cell>
          <cell r="B1647" t="str">
            <v>VEM0053</v>
          </cell>
          <cell r="D1647" t="str">
            <v>CAVE</v>
          </cell>
          <cell r="AV1647" t="b">
            <v>0</v>
          </cell>
          <cell r="HD1647" t="str">
            <v>Repair Shop</v>
          </cell>
          <cell r="HT1647" t="b">
            <v>0</v>
          </cell>
          <cell r="HU1647" t="str">
            <v>THE CAVE COMPANY</v>
          </cell>
        </row>
        <row r="1648">
          <cell r="A1648">
            <v>1077</v>
          </cell>
          <cell r="B1648" t="str">
            <v>VEM0052</v>
          </cell>
          <cell r="D1648" t="str">
            <v>UNICO</v>
          </cell>
          <cell r="F1648" t="str">
            <v>Worldwide</v>
          </cell>
          <cell r="G1648" t="str">
            <v>WWE200-12-505T</v>
          </cell>
          <cell r="H1648" t="str">
            <v>10009 GEJ</v>
          </cell>
          <cell r="I1648" t="str">
            <v>504/5T</v>
          </cell>
          <cell r="K1648" t="str">
            <v>200</v>
          </cell>
          <cell r="L1648" t="str">
            <v>1189</v>
          </cell>
          <cell r="M1648" t="str">
            <v>BJHE</v>
          </cell>
          <cell r="P1648" t="str">
            <v>TEFC</v>
          </cell>
          <cell r="W1648" t="str">
            <v>60</v>
          </cell>
          <cell r="X1648" t="str">
            <v>230/460</v>
          </cell>
          <cell r="Y1648" t="str">
            <v>460/230</v>
          </cell>
          <cell r="AD1648" t="str">
            <v>0</v>
          </cell>
          <cell r="AG1648" t="str">
            <v>HP</v>
          </cell>
          <cell r="AI1648" t="str">
            <v>NU322</v>
          </cell>
          <cell r="AJ1648" t="str">
            <v>6319</v>
          </cell>
          <cell r="AK1648" t="str">
            <v>amps 66</v>
          </cell>
          <cell r="AO1648" t="str">
            <v>B</v>
          </cell>
          <cell r="AQ1648" t="str">
            <v>F</v>
          </cell>
          <cell r="AR1648" t="str">
            <v>.87</v>
          </cell>
          <cell r="AS1648" t="str">
            <v>1.15</v>
          </cell>
          <cell r="AV1648" t="b">
            <v>0</v>
          </cell>
          <cell r="GK1648" t="str">
            <v>DE brg changed to 6322 2Z with spring loader in re</v>
          </cell>
          <cell r="HD1648" t="str">
            <v>Repair Shop</v>
          </cell>
          <cell r="HT1648" t="b">
            <v>0</v>
          </cell>
          <cell r="HU1648" t="str">
            <v>UNICO MECHANICAL CORP.</v>
          </cell>
        </row>
        <row r="1649">
          <cell r="A1649">
            <v>1076</v>
          </cell>
          <cell r="B1649" t="str">
            <v>VEM0051</v>
          </cell>
          <cell r="D1649" t="str">
            <v>SUPERIOREQUIP</v>
          </cell>
          <cell r="F1649" t="str">
            <v>Baldor</v>
          </cell>
          <cell r="H1649" t="str">
            <v>F284</v>
          </cell>
          <cell r="I1649" t="str">
            <v>215TC</v>
          </cell>
          <cell r="L1649" t="str">
            <v>1725</v>
          </cell>
          <cell r="R1649" t="str">
            <v>Continuous</v>
          </cell>
          <cell r="V1649" t="str">
            <v>1</v>
          </cell>
          <cell r="X1649" t="str">
            <v>230</v>
          </cell>
          <cell r="AD1649" t="str">
            <v>0</v>
          </cell>
          <cell r="AG1649" t="str">
            <v>10</v>
          </cell>
          <cell r="AJ1649" t="str">
            <v>6206</v>
          </cell>
          <cell r="AO1649" t="str">
            <v>L</v>
          </cell>
          <cell r="AP1649" t="str">
            <v>H</v>
          </cell>
          <cell r="AS1649" t="str">
            <v>1.15</v>
          </cell>
          <cell r="AU1649" t="str">
            <v>37F490X233</v>
          </cell>
          <cell r="AV1649" t="b">
            <v>0</v>
          </cell>
          <cell r="EW1649" t="str">
            <v>CL3712T</v>
          </cell>
          <cell r="HD1649" t="str">
            <v>Repair Shop</v>
          </cell>
          <cell r="HT1649" t="b">
            <v>0</v>
          </cell>
          <cell r="HU1649" t="str">
            <v>SUPERIOR EQUIPMENT</v>
          </cell>
        </row>
        <row r="1650">
          <cell r="A1650">
            <v>1075</v>
          </cell>
          <cell r="B1650" t="str">
            <v>VEM0050</v>
          </cell>
          <cell r="D1650" t="str">
            <v>TIMET</v>
          </cell>
          <cell r="F1650" t="str">
            <v>Westinghouse</v>
          </cell>
          <cell r="G1650" t="str">
            <v>ABDP</v>
          </cell>
          <cell r="H1650" t="str">
            <v>6412</v>
          </cell>
          <cell r="I1650" t="str">
            <v>326U</v>
          </cell>
          <cell r="K1650" t="str">
            <v>30</v>
          </cell>
          <cell r="L1650" t="str">
            <v>1770</v>
          </cell>
          <cell r="O1650" t="str">
            <v>1/2 box</v>
          </cell>
          <cell r="P1650" t="str">
            <v>ODP</v>
          </cell>
          <cell r="T1650" t="str">
            <v>none ,no key</v>
          </cell>
          <cell r="U1650" t="str">
            <v>40C</v>
          </cell>
          <cell r="V1650" t="str">
            <v>3</v>
          </cell>
          <cell r="W1650" t="str">
            <v>60</v>
          </cell>
          <cell r="X1650" t="str">
            <v>208-220/440</v>
          </cell>
          <cell r="Y1650" t="str">
            <v>82-78.4/37.2</v>
          </cell>
          <cell r="AG1650" t="str">
            <v>HP</v>
          </cell>
          <cell r="AI1650" t="str">
            <v>6311</v>
          </cell>
          <cell r="AJ1650" t="str">
            <v>6209</v>
          </cell>
          <cell r="AP1650" t="str">
            <v>F</v>
          </cell>
          <cell r="AQ1650" t="str">
            <v>A</v>
          </cell>
          <cell r="AV1650" t="b">
            <v>0</v>
          </cell>
          <cell r="AX1650" t="str">
            <v>4</v>
          </cell>
          <cell r="EY1650" t="str">
            <v>474B850G17</v>
          </cell>
          <cell r="GK1650" t="str">
            <v>arrow on motor</v>
          </cell>
          <cell r="GL1650" t="str">
            <v>9 leads only 440 volt</v>
          </cell>
          <cell r="GM1650" t="str">
            <v>1 baffle only</v>
          </cell>
          <cell r="GN1650" t="str">
            <v>springloader in rear</v>
          </cell>
          <cell r="HD1650" t="str">
            <v>Repair Shop</v>
          </cell>
          <cell r="HT1650" t="b">
            <v>0</v>
          </cell>
          <cell r="HU1650" t="str">
            <v>TIMET - TITANIUM METALS</v>
          </cell>
        </row>
        <row r="1651">
          <cell r="A1651">
            <v>1074</v>
          </cell>
          <cell r="B1651" t="str">
            <v>VEM0049</v>
          </cell>
          <cell r="D1651" t="str">
            <v>CITYOFNAPA</v>
          </cell>
          <cell r="F1651" t="str">
            <v>US Motors</v>
          </cell>
          <cell r="I1651" t="str">
            <v>213TP</v>
          </cell>
          <cell r="K1651" t="str">
            <v>7.5</v>
          </cell>
          <cell r="L1651" t="str">
            <v>1740</v>
          </cell>
          <cell r="M1651" t="str">
            <v>AU WPI</v>
          </cell>
          <cell r="O1651" t="str">
            <v>Full no Cord</v>
          </cell>
          <cell r="P1651" t="str">
            <v>TEFC</v>
          </cell>
          <cell r="R1651" t="str">
            <v>Continuous</v>
          </cell>
          <cell r="T1651" t="str">
            <v>None</v>
          </cell>
          <cell r="U1651" t="str">
            <v>40C</v>
          </cell>
          <cell r="V1651" t="str">
            <v>3</v>
          </cell>
          <cell r="W1651" t="str">
            <v>60</v>
          </cell>
          <cell r="X1651" t="str">
            <v>230/460</v>
          </cell>
          <cell r="Y1651" t="str">
            <v>19.8/9.9</v>
          </cell>
          <cell r="AA1651" t="str">
            <v>Vertical</v>
          </cell>
          <cell r="AD1651" t="str">
            <v>-1</v>
          </cell>
          <cell r="AG1651" t="str">
            <v>HP</v>
          </cell>
          <cell r="AI1651" t="str">
            <v>7309B-T</v>
          </cell>
          <cell r="AJ1651" t="str">
            <v>6208-2Z-J/C3</v>
          </cell>
          <cell r="AO1651" t="str">
            <v>B</v>
          </cell>
          <cell r="AP1651" t="str">
            <v>H</v>
          </cell>
          <cell r="AQ1651" t="str">
            <v>B</v>
          </cell>
          <cell r="AS1651" t="str">
            <v>1.15</v>
          </cell>
          <cell r="AT1651" t="str">
            <v>86.5</v>
          </cell>
          <cell r="AV1651" t="b">
            <v>0</v>
          </cell>
          <cell r="AX1651" t="str">
            <v>4</v>
          </cell>
          <cell r="EX1651" t="str">
            <v>66-00766-331</v>
          </cell>
          <cell r="GK1651" t="str">
            <v>L252R033 9312-11 NRR</v>
          </cell>
          <cell r="HD1651" t="str">
            <v>Repair Shop</v>
          </cell>
          <cell r="HT1651" t="b">
            <v>0</v>
          </cell>
          <cell r="HU1651" t="str">
            <v>CITY OF NAPA, PUBLIC WORKS DEPT</v>
          </cell>
        </row>
        <row r="1652">
          <cell r="A1652">
            <v>1073</v>
          </cell>
          <cell r="B1652" t="str">
            <v>VEM0048</v>
          </cell>
          <cell r="D1652" t="str">
            <v>DELASALE</v>
          </cell>
          <cell r="F1652" t="str">
            <v>BALDOR</v>
          </cell>
          <cell r="H1652" t="str">
            <v>F1081</v>
          </cell>
          <cell r="I1652" t="str">
            <v>56J</v>
          </cell>
          <cell r="K1652" t="str">
            <v>2</v>
          </cell>
          <cell r="L1652" t="str">
            <v>3450</v>
          </cell>
          <cell r="O1652" t="str">
            <v>Half no Cord</v>
          </cell>
          <cell r="R1652" t="str">
            <v>Continuous</v>
          </cell>
          <cell r="T1652" t="str">
            <v>IMPELLER</v>
          </cell>
          <cell r="U1652" t="str">
            <v>40C</v>
          </cell>
          <cell r="V1652" t="str">
            <v>3</v>
          </cell>
          <cell r="W1652" t="str">
            <v>60</v>
          </cell>
          <cell r="X1652" t="str">
            <v>230/460</v>
          </cell>
          <cell r="Y1652" t="str">
            <v>5.6/2.8</v>
          </cell>
          <cell r="Z1652" t="str">
            <v>Yes</v>
          </cell>
          <cell r="AA1652" t="str">
            <v>F1</v>
          </cell>
          <cell r="AD1652" t="str">
            <v>0</v>
          </cell>
          <cell r="AG1652" t="str">
            <v>HP</v>
          </cell>
          <cell r="AH1652" t="str">
            <v>IMPELLER</v>
          </cell>
          <cell r="AO1652" t="str">
            <v>B</v>
          </cell>
          <cell r="AP1652" t="str">
            <v>H</v>
          </cell>
          <cell r="AQ1652" t="str">
            <v>B</v>
          </cell>
          <cell r="AS1652" t="str">
            <v>1.2</v>
          </cell>
          <cell r="AU1652" t="str">
            <v>35E65W726</v>
          </cell>
          <cell r="AV1652" t="b">
            <v>0</v>
          </cell>
          <cell r="EW1652" t="str">
            <v>JM3155</v>
          </cell>
          <cell r="HD1652" t="str">
            <v>Repair Shop</v>
          </cell>
          <cell r="HT1652" t="b">
            <v>0</v>
          </cell>
          <cell r="HU1652" t="str">
            <v>DE LASALE INSTITUTE</v>
          </cell>
        </row>
        <row r="1653">
          <cell r="A1653">
            <v>1072</v>
          </cell>
          <cell r="B1653" t="str">
            <v>VEM0047</v>
          </cell>
          <cell r="D1653" t="str">
            <v>PANPACIFIC</v>
          </cell>
          <cell r="AG1653" t="str">
            <v>HP</v>
          </cell>
          <cell r="AV1653" t="b">
            <v>0</v>
          </cell>
          <cell r="HD1653" t="str">
            <v>Repair Shop</v>
          </cell>
          <cell r="HT1653" t="b">
            <v>0</v>
          </cell>
          <cell r="HU1653" t="str">
            <v>PAN PACIFIC SUPPLY CO.</v>
          </cell>
        </row>
        <row r="1654">
          <cell r="A1654">
            <v>1071</v>
          </cell>
          <cell r="B1654" t="str">
            <v>VEM0046</v>
          </cell>
          <cell r="D1654" t="str">
            <v>CONHAGEN</v>
          </cell>
          <cell r="F1654" t="str">
            <v>Baldor Reliance</v>
          </cell>
          <cell r="G1654" t="str">
            <v>B540638-010</v>
          </cell>
          <cell r="H1654" t="str">
            <v>B540638</v>
          </cell>
          <cell r="I1654" t="str">
            <v>286LPZ</v>
          </cell>
          <cell r="K1654" t="str">
            <v>30</v>
          </cell>
          <cell r="L1654" t="str">
            <v>3540</v>
          </cell>
          <cell r="M1654" t="str">
            <v>P</v>
          </cell>
          <cell r="N1654" t="str">
            <v>499</v>
          </cell>
          <cell r="P1654" t="str">
            <v>TEFC</v>
          </cell>
          <cell r="R1654" t="str">
            <v>Continuous</v>
          </cell>
          <cell r="S1654" t="str">
            <v>Yes</v>
          </cell>
          <cell r="T1654" t="str">
            <v>NONE</v>
          </cell>
          <cell r="V1654" t="str">
            <v>3</v>
          </cell>
          <cell r="W1654" t="str">
            <v>60</v>
          </cell>
          <cell r="Z1654" t="str">
            <v>Yes</v>
          </cell>
          <cell r="AA1654" t="str">
            <v>Vertical</v>
          </cell>
          <cell r="AD1654" t="str">
            <v>0</v>
          </cell>
          <cell r="AG1654" t="str">
            <v>HP</v>
          </cell>
          <cell r="AH1654" t="str">
            <v>HEATER</v>
          </cell>
          <cell r="AI1654" t="str">
            <v>6212</v>
          </cell>
          <cell r="AJ1654" t="str">
            <v>(2)7309B</v>
          </cell>
          <cell r="AV1654" t="b">
            <v>0</v>
          </cell>
          <cell r="AW1654" t="str">
            <v>33.9</v>
          </cell>
          <cell r="AX1654" t="str">
            <v>2</v>
          </cell>
          <cell r="HD1654" t="str">
            <v>Repair Shop</v>
          </cell>
          <cell r="HT1654" t="b">
            <v>0</v>
          </cell>
          <cell r="HU1654" t="str">
            <v>ALFRED CONHAGEN CO. OF CA</v>
          </cell>
        </row>
        <row r="1655">
          <cell r="A1655">
            <v>1070</v>
          </cell>
          <cell r="B1655" t="str">
            <v>vem0056</v>
          </cell>
          <cell r="D1655" t="str">
            <v>CLOROX</v>
          </cell>
          <cell r="F1655" t="str">
            <v>Reliance</v>
          </cell>
          <cell r="G1655" t="str">
            <v>4MN320350</v>
          </cell>
          <cell r="I1655" t="str">
            <v>324T</v>
          </cell>
          <cell r="K1655" t="str">
            <v>40</v>
          </cell>
          <cell r="L1655" t="str">
            <v>1765</v>
          </cell>
          <cell r="P1655" t="str">
            <v>TEFC</v>
          </cell>
          <cell r="V1655" t="str">
            <v>3</v>
          </cell>
          <cell r="W1655" t="str">
            <v>60</v>
          </cell>
          <cell r="X1655" t="str">
            <v>460</v>
          </cell>
          <cell r="Y1655" t="str">
            <v>51</v>
          </cell>
          <cell r="AD1655" t="str">
            <v>-1</v>
          </cell>
          <cell r="AG1655" t="str">
            <v>HP</v>
          </cell>
          <cell r="AV1655" t="b">
            <v>0</v>
          </cell>
          <cell r="AX1655" t="str">
            <v>4</v>
          </cell>
          <cell r="HD1655" t="str">
            <v>Repair Shop</v>
          </cell>
          <cell r="HT1655" t="b">
            <v>0</v>
          </cell>
          <cell r="HU1655" t="str">
            <v>CLOROX SERVICES COMPANY</v>
          </cell>
        </row>
        <row r="1656">
          <cell r="A1656">
            <v>1069</v>
          </cell>
          <cell r="B1656" t="str">
            <v>VEM0045</v>
          </cell>
          <cell r="D1656" t="str">
            <v>C&amp;H</v>
          </cell>
          <cell r="F1656" t="str">
            <v>Sweco</v>
          </cell>
          <cell r="H1656" t="str">
            <v>217051-402-80L</v>
          </cell>
          <cell r="I1656" t="str">
            <v>213</v>
          </cell>
          <cell r="K1656" t="str">
            <v>2.5</v>
          </cell>
          <cell r="L1656" t="str">
            <v>1120</v>
          </cell>
          <cell r="O1656" t="str">
            <v>None</v>
          </cell>
          <cell r="P1656" t="str">
            <v>TENV</v>
          </cell>
          <cell r="R1656" t="str">
            <v>Continuous</v>
          </cell>
          <cell r="T1656" t="str">
            <v>None</v>
          </cell>
          <cell r="U1656" t="str">
            <v>40</v>
          </cell>
          <cell r="V1656" t="str">
            <v>3</v>
          </cell>
          <cell r="W1656" t="str">
            <v>60</v>
          </cell>
          <cell r="X1656" t="str">
            <v>230/460</v>
          </cell>
          <cell r="Y1656" t="str">
            <v>9.4/4.7</v>
          </cell>
          <cell r="AA1656" t="str">
            <v>Top</v>
          </cell>
          <cell r="AD1656" t="str">
            <v>-1</v>
          </cell>
          <cell r="AG1656" t="str">
            <v>KW</v>
          </cell>
          <cell r="AO1656" t="str">
            <v>D</v>
          </cell>
          <cell r="AP1656" t="str">
            <v>J</v>
          </cell>
          <cell r="AQ1656" t="str">
            <v>D</v>
          </cell>
          <cell r="AV1656" t="b">
            <v>0</v>
          </cell>
          <cell r="HD1656" t="str">
            <v>Repair Shop</v>
          </cell>
          <cell r="HT1656" t="b">
            <v>0</v>
          </cell>
          <cell r="HU1656" t="str">
            <v>C &amp; H SUGAR CO.</v>
          </cell>
        </row>
        <row r="1657">
          <cell r="A1657">
            <v>1068</v>
          </cell>
          <cell r="B1657" t="str">
            <v>VEM0044</v>
          </cell>
          <cell r="D1657" t="str">
            <v>GONZELECT</v>
          </cell>
          <cell r="F1657" t="str">
            <v>Teco Westinghouse</v>
          </cell>
          <cell r="H1657" t="str">
            <v>LS407B013014 P6742</v>
          </cell>
          <cell r="I1657" t="str">
            <v>213LPZ</v>
          </cell>
          <cell r="K1657" t="str">
            <v>7.5</v>
          </cell>
          <cell r="L1657" t="str">
            <v>1755</v>
          </cell>
          <cell r="O1657" t="str">
            <v>Full no Cord</v>
          </cell>
          <cell r="P1657" t="str">
            <v>TEFC</v>
          </cell>
          <cell r="R1657" t="str">
            <v>Continuous</v>
          </cell>
          <cell r="T1657" t="str">
            <v>Impeller</v>
          </cell>
          <cell r="U1657" t="str">
            <v>40C</v>
          </cell>
          <cell r="V1657" t="str">
            <v>3</v>
          </cell>
          <cell r="W1657" t="str">
            <v>60</v>
          </cell>
          <cell r="X1657" t="str">
            <v>230/460</v>
          </cell>
          <cell r="Y1657" t="str">
            <v>18/9</v>
          </cell>
          <cell r="AA1657" t="str">
            <v>Vertical</v>
          </cell>
          <cell r="AD1657" t="str">
            <v>0</v>
          </cell>
          <cell r="AG1657" t="str">
            <v>HP</v>
          </cell>
          <cell r="AI1657" t="str">
            <v>5308</v>
          </cell>
          <cell r="AO1657" t="str">
            <v>B</v>
          </cell>
          <cell r="AP1657" t="str">
            <v>G</v>
          </cell>
          <cell r="AV1657" t="b">
            <v>0</v>
          </cell>
          <cell r="AX1657" t="str">
            <v>4</v>
          </cell>
          <cell r="GK1657" t="str">
            <v>Aqua Part# 24H0710</v>
          </cell>
          <cell r="HD1657" t="str">
            <v>Repair Shop</v>
          </cell>
          <cell r="HT1657" t="b">
            <v>0</v>
          </cell>
          <cell r="HU1657" t="str">
            <v>GONZALEZ ELECTRIC</v>
          </cell>
        </row>
        <row r="1658">
          <cell r="A1658">
            <v>1067</v>
          </cell>
          <cell r="B1658" t="str">
            <v>VEM0043</v>
          </cell>
          <cell r="D1658" t="str">
            <v>NORTHPOINTM</v>
          </cell>
          <cell r="F1658" t="str">
            <v>Leeson</v>
          </cell>
          <cell r="G1658" t="str">
            <v>C145T17FC12H</v>
          </cell>
          <cell r="I1658" t="str">
            <v>H145TC</v>
          </cell>
          <cell r="K1658" t="str">
            <v>2</v>
          </cell>
          <cell r="L1658" t="str">
            <v>1740</v>
          </cell>
          <cell r="O1658" t="str">
            <v>Full no Cord</v>
          </cell>
          <cell r="P1658" t="str">
            <v>TEFC</v>
          </cell>
          <cell r="R1658" t="str">
            <v>Continuous</v>
          </cell>
          <cell r="T1658" t="str">
            <v>None</v>
          </cell>
          <cell r="U1658" t="str">
            <v>40C</v>
          </cell>
          <cell r="V1658" t="str">
            <v>3</v>
          </cell>
          <cell r="W1658" t="str">
            <v>60</v>
          </cell>
          <cell r="X1658" t="str">
            <v>208-230/460</v>
          </cell>
          <cell r="Y1658" t="str">
            <v>6/3</v>
          </cell>
          <cell r="AA1658" t="str">
            <v>F1</v>
          </cell>
          <cell r="AG1658" t="str">
            <v>HP</v>
          </cell>
          <cell r="AO1658" t="str">
            <v>B</v>
          </cell>
          <cell r="AP1658" t="str">
            <v>J</v>
          </cell>
          <cell r="AQ1658" t="str">
            <v>F</v>
          </cell>
          <cell r="AR1658" t="str">
            <v>75</v>
          </cell>
          <cell r="AS1658" t="str">
            <v>1.15</v>
          </cell>
          <cell r="AT1658" t="str">
            <v>84</v>
          </cell>
          <cell r="AV1658" t="b">
            <v>0</v>
          </cell>
          <cell r="AX1658" t="str">
            <v>4</v>
          </cell>
          <cell r="EW1658" t="str">
            <v>120332.00</v>
          </cell>
          <cell r="HD1658" t="str">
            <v>Repair Shop</v>
          </cell>
          <cell r="HT1658" t="b">
            <v>0</v>
          </cell>
          <cell r="HU1658" t="str">
            <v>NORTHPOINT MARINE AND INDUSTRIAL</v>
          </cell>
        </row>
        <row r="1659">
          <cell r="A1659">
            <v>1066</v>
          </cell>
          <cell r="B1659" t="str">
            <v>VEM0042</v>
          </cell>
          <cell r="D1659" t="str">
            <v>CONHAGEN</v>
          </cell>
          <cell r="F1659" t="str">
            <v>Baldor</v>
          </cell>
          <cell r="K1659" t="str">
            <v>5</v>
          </cell>
          <cell r="O1659" t="str">
            <v>Full no Cord</v>
          </cell>
          <cell r="P1659" t="str">
            <v>TEFC</v>
          </cell>
          <cell r="S1659" t="str">
            <v>Yes</v>
          </cell>
          <cell r="T1659" t="str">
            <v>Yes</v>
          </cell>
          <cell r="AG1659" t="str">
            <v>HP</v>
          </cell>
          <cell r="AV1659" t="b">
            <v>0</v>
          </cell>
          <cell r="HD1659" t="str">
            <v>Repair Shop</v>
          </cell>
          <cell r="HT1659" t="b">
            <v>0</v>
          </cell>
          <cell r="HU1659" t="str">
            <v>ALFRED CONHAGEN CO. OF CA</v>
          </cell>
        </row>
        <row r="1660">
          <cell r="A1660">
            <v>1065</v>
          </cell>
          <cell r="B1660" t="str">
            <v>VEM0041</v>
          </cell>
          <cell r="D1660" t="str">
            <v>SUPERSTORES</v>
          </cell>
          <cell r="AG1660" t="str">
            <v>HP</v>
          </cell>
          <cell r="AV1660" t="b">
            <v>0</v>
          </cell>
          <cell r="HD1660" t="str">
            <v>Repair Shop</v>
          </cell>
          <cell r="HT1660" t="b">
            <v>0</v>
          </cell>
          <cell r="HU1660" t="str">
            <v>Producers Dairy Foods</v>
          </cell>
        </row>
        <row r="1661">
          <cell r="A1661">
            <v>1063</v>
          </cell>
          <cell r="B1661" t="str">
            <v>VEM0039</v>
          </cell>
          <cell r="D1661" t="str">
            <v>NORTHPOINTM</v>
          </cell>
          <cell r="F1661" t="str">
            <v>Leeson</v>
          </cell>
          <cell r="G1661" t="str">
            <v>C145T7FC12H</v>
          </cell>
          <cell r="I1661" t="str">
            <v>H145TC</v>
          </cell>
          <cell r="K1661" t="str">
            <v>2</v>
          </cell>
          <cell r="L1661" t="str">
            <v>1800</v>
          </cell>
          <cell r="P1661" t="str">
            <v>TEFC</v>
          </cell>
          <cell r="V1661" t="str">
            <v>3</v>
          </cell>
          <cell r="X1661" t="str">
            <v>230/460</v>
          </cell>
          <cell r="AG1661" t="str">
            <v>HP</v>
          </cell>
          <cell r="AV1661" t="b">
            <v>0</v>
          </cell>
          <cell r="HD1661" t="str">
            <v>Repair Shop</v>
          </cell>
          <cell r="HT1661" t="b">
            <v>0</v>
          </cell>
          <cell r="HU1661" t="str">
            <v>NORTHPOINT MARINE AND INDUSTRIAL</v>
          </cell>
        </row>
        <row r="1662">
          <cell r="A1662">
            <v>1062</v>
          </cell>
          <cell r="B1662" t="str">
            <v>VEM0038</v>
          </cell>
          <cell r="D1662" t="str">
            <v>P66CARBON</v>
          </cell>
          <cell r="F1662" t="str">
            <v>SIEMENS-ALLIS</v>
          </cell>
          <cell r="G1662" t="str">
            <v>148</v>
          </cell>
          <cell r="H1662" t="str">
            <v>1-5133-31882-1-5</v>
          </cell>
          <cell r="I1662" t="str">
            <v>447VP</v>
          </cell>
          <cell r="K1662" t="str">
            <v>200</v>
          </cell>
          <cell r="L1662" t="str">
            <v>1190</v>
          </cell>
          <cell r="M1662" t="str">
            <v>RGZV</v>
          </cell>
          <cell r="O1662" t="str">
            <v>None</v>
          </cell>
          <cell r="P1662" t="str">
            <v>TEFC</v>
          </cell>
          <cell r="R1662" t="str">
            <v>Continuous</v>
          </cell>
          <cell r="S1662" t="str">
            <v>No</v>
          </cell>
          <cell r="T1662" t="str">
            <v>NO</v>
          </cell>
          <cell r="U1662" t="str">
            <v>40</v>
          </cell>
          <cell r="V1662" t="str">
            <v>3</v>
          </cell>
          <cell r="W1662" t="str">
            <v>60</v>
          </cell>
          <cell r="X1662" t="str">
            <v>460</v>
          </cell>
          <cell r="Y1662" t="str">
            <v>224</v>
          </cell>
          <cell r="AD1662" t="str">
            <v>-1</v>
          </cell>
          <cell r="AG1662" t="str">
            <v>HP</v>
          </cell>
          <cell r="AI1662" t="str">
            <v>6313</v>
          </cell>
          <cell r="AJ1662" t="str">
            <v>7313</v>
          </cell>
          <cell r="AO1662" t="str">
            <v>B</v>
          </cell>
          <cell r="AP1662" t="str">
            <v>G</v>
          </cell>
          <cell r="AS1662" t="str">
            <v>1.0</v>
          </cell>
          <cell r="AV1662" t="b">
            <v>0</v>
          </cell>
          <cell r="GK1662" t="str">
            <v>no load amps 55</v>
          </cell>
          <cell r="GL1662" t="str">
            <v>heater</v>
          </cell>
          <cell r="HD1662" t="str">
            <v>Repair Shop</v>
          </cell>
          <cell r="HT1662" t="b">
            <v>0</v>
          </cell>
          <cell r="HU1662" t="str">
            <v>PHILLIPS 66 CARBON PLANT</v>
          </cell>
        </row>
        <row r="1663">
          <cell r="A1663">
            <v>1060</v>
          </cell>
          <cell r="B1663" t="str">
            <v>VEM0036</v>
          </cell>
          <cell r="D1663" t="str">
            <v>P66</v>
          </cell>
          <cell r="F1663" t="str">
            <v>Reliance</v>
          </cell>
          <cell r="I1663" t="str">
            <v>286HPZ</v>
          </cell>
          <cell r="K1663" t="str">
            <v>30</v>
          </cell>
          <cell r="L1663" t="str">
            <v>3535</v>
          </cell>
          <cell r="O1663" t="str">
            <v>Full no Cord</v>
          </cell>
          <cell r="P1663" t="str">
            <v>TEFC</v>
          </cell>
          <cell r="R1663" t="str">
            <v>Continuous</v>
          </cell>
          <cell r="T1663" t="str">
            <v>no</v>
          </cell>
          <cell r="V1663" t="str">
            <v>3</v>
          </cell>
          <cell r="W1663" t="str">
            <v>60</v>
          </cell>
          <cell r="X1663" t="str">
            <v>460</v>
          </cell>
          <cell r="Y1663" t="str">
            <v>34</v>
          </cell>
          <cell r="AA1663" t="str">
            <v>Vertical</v>
          </cell>
          <cell r="AD1663" t="str">
            <v>-1</v>
          </cell>
          <cell r="AG1663" t="str">
            <v>HP</v>
          </cell>
          <cell r="AV1663" t="b">
            <v>0</v>
          </cell>
          <cell r="GK1663" t="str">
            <v>female splined shaft</v>
          </cell>
          <cell r="HD1663" t="str">
            <v>Repair Shop</v>
          </cell>
          <cell r="HT1663" t="b">
            <v>0</v>
          </cell>
          <cell r="HU1663" t="str">
            <v>PHILLIPS 66</v>
          </cell>
        </row>
        <row r="1664">
          <cell r="A1664">
            <v>1059</v>
          </cell>
          <cell r="B1664" t="str">
            <v>VEM0035</v>
          </cell>
          <cell r="D1664" t="str">
            <v>CASHSALES</v>
          </cell>
          <cell r="F1664" t="str">
            <v>Airman</v>
          </cell>
          <cell r="G1664" t="str">
            <v>SDG25S</v>
          </cell>
          <cell r="H1664" t="str">
            <v>1233A30281</v>
          </cell>
          <cell r="AG1664" t="str">
            <v>HP</v>
          </cell>
          <cell r="AV1664" t="b">
            <v>0</v>
          </cell>
          <cell r="FB1664" t="str">
            <v>25 kVA</v>
          </cell>
          <cell r="FD1664" t="str">
            <v>240/480</v>
          </cell>
          <cell r="FE1664" t="str">
            <v>3</v>
          </cell>
          <cell r="FF1664" t="str">
            <v>60</v>
          </cell>
          <cell r="GW1664" t="str">
            <v>AC</v>
          </cell>
          <cell r="HD1664" t="str">
            <v>Repair Shop</v>
          </cell>
          <cell r="HT1664" t="b">
            <v>0</v>
          </cell>
          <cell r="HU1664" t="str">
            <v>CASH SALES</v>
          </cell>
        </row>
        <row r="1665">
          <cell r="A1665">
            <v>1058</v>
          </cell>
          <cell r="B1665" t="str">
            <v>VEM0034</v>
          </cell>
          <cell r="D1665" t="str">
            <v>TURBO</v>
          </cell>
          <cell r="F1665" t="str">
            <v>General Electric</v>
          </cell>
          <cell r="G1665" t="str">
            <v>5KS365ST7403</v>
          </cell>
          <cell r="H1665" t="str">
            <v>TFG261245</v>
          </cell>
          <cell r="I1665" t="str">
            <v>L365VP16</v>
          </cell>
          <cell r="K1665" t="str">
            <v>50</v>
          </cell>
          <cell r="L1665" t="str">
            <v>1185</v>
          </cell>
          <cell r="M1665" t="str">
            <v>KS</v>
          </cell>
          <cell r="O1665" t="str">
            <v>Full no Cord</v>
          </cell>
          <cell r="P1665" t="str">
            <v>TEFC</v>
          </cell>
          <cell r="R1665" t="str">
            <v>Continuous</v>
          </cell>
          <cell r="U1665" t="str">
            <v>40</v>
          </cell>
          <cell r="V1665" t="str">
            <v>3</v>
          </cell>
          <cell r="W1665" t="str">
            <v>60</v>
          </cell>
          <cell r="X1665" t="str">
            <v>460</v>
          </cell>
          <cell r="Y1665" t="str">
            <v>58.5</v>
          </cell>
          <cell r="AA1665" t="str">
            <v>Vertical</v>
          </cell>
          <cell r="AG1665" t="str">
            <v>HP</v>
          </cell>
          <cell r="AI1665" t="str">
            <v>6212</v>
          </cell>
          <cell r="AJ1665" t="str">
            <v>7219</v>
          </cell>
          <cell r="AO1665" t="str">
            <v>B</v>
          </cell>
          <cell r="AP1665" t="str">
            <v>G</v>
          </cell>
          <cell r="AQ1665" t="str">
            <v>F</v>
          </cell>
          <cell r="AR1665" t="str">
            <v>85.5</v>
          </cell>
          <cell r="AS1665" t="str">
            <v>1.15</v>
          </cell>
          <cell r="AT1665" t="str">
            <v>93</v>
          </cell>
          <cell r="AV1665" t="b">
            <v>0</v>
          </cell>
          <cell r="HD1665" t="str">
            <v>Repair Shop</v>
          </cell>
          <cell r="HT1665" t="b">
            <v>0</v>
          </cell>
          <cell r="HU1665" t="str">
            <v>TURBO MACHINE</v>
          </cell>
        </row>
        <row r="1666">
          <cell r="A1666">
            <v>1057</v>
          </cell>
          <cell r="B1666" t="str">
            <v>VEM0033</v>
          </cell>
          <cell r="D1666" t="str">
            <v>C&amp;H</v>
          </cell>
          <cell r="F1666" t="str">
            <v>Reliance</v>
          </cell>
          <cell r="G1666" t="str">
            <v>ABFC</v>
          </cell>
          <cell r="H1666" t="str">
            <v>6610</v>
          </cell>
          <cell r="I1666" t="str">
            <v>286U</v>
          </cell>
          <cell r="K1666" t="str">
            <v>20</v>
          </cell>
          <cell r="L1666" t="str">
            <v>1780</v>
          </cell>
          <cell r="P1666" t="str">
            <v>TEFC</v>
          </cell>
          <cell r="R1666" t="str">
            <v>Continuous</v>
          </cell>
          <cell r="U1666" t="str">
            <v>40C</v>
          </cell>
          <cell r="V1666" t="str">
            <v>3</v>
          </cell>
          <cell r="W1666" t="str">
            <v>60</v>
          </cell>
          <cell r="X1666" t="str">
            <v>220/440</v>
          </cell>
          <cell r="Y1666" t="str">
            <v>50/25</v>
          </cell>
          <cell r="AA1666" t="str">
            <v>F1</v>
          </cell>
          <cell r="AD1666" t="str">
            <v>0</v>
          </cell>
          <cell r="AG1666" t="str">
            <v>HP</v>
          </cell>
          <cell r="AS1666" t="str">
            <v>1.0</v>
          </cell>
          <cell r="AV1666" t="b">
            <v>0</v>
          </cell>
          <cell r="AX1666" t="str">
            <v>4</v>
          </cell>
          <cell r="EY1666" t="str">
            <v>62ZD511G28</v>
          </cell>
          <cell r="HD1666" t="str">
            <v>Repair Shop</v>
          </cell>
          <cell r="HT1666" t="b">
            <v>0</v>
          </cell>
          <cell r="HU1666" t="str">
            <v>C &amp; H SUGAR CO.</v>
          </cell>
        </row>
        <row r="1667">
          <cell r="A1667">
            <v>1056</v>
          </cell>
          <cell r="B1667" t="str">
            <v>VEM0032</v>
          </cell>
          <cell r="D1667" t="str">
            <v>UNICO</v>
          </cell>
          <cell r="F1667" t="str">
            <v>Weil</v>
          </cell>
          <cell r="G1667" t="str">
            <v>250516-3-3  ??</v>
          </cell>
          <cell r="H1667" t="str">
            <v>SO#402-878</v>
          </cell>
          <cell r="L1667" t="str">
            <v>1150</v>
          </cell>
          <cell r="O1667" t="str">
            <v>Cord</v>
          </cell>
          <cell r="R1667" t="str">
            <v>Continuous</v>
          </cell>
          <cell r="V1667" t="str">
            <v>3</v>
          </cell>
          <cell r="W1667" t="str">
            <v>60</v>
          </cell>
          <cell r="X1667" t="str">
            <v>230</v>
          </cell>
          <cell r="Y1667" t="str">
            <v>12.8</v>
          </cell>
          <cell r="AG1667" t="str">
            <v>HP</v>
          </cell>
          <cell r="AI1667" t="str">
            <v>6306rs</v>
          </cell>
          <cell r="AJ1667" t="str">
            <v>63042rs</v>
          </cell>
          <cell r="AV1667" t="b">
            <v>0</v>
          </cell>
          <cell r="BS1667" t="str">
            <v>3</v>
          </cell>
          <cell r="GK1667" t="str">
            <v>water sensor .4ohms</v>
          </cell>
          <cell r="GL1667" t="str">
            <v>50ft 14/4 soowcable</v>
          </cell>
          <cell r="GM1667" t="str">
            <v>50 ft 16/5 soow cable</v>
          </cell>
          <cell r="GN1667" t="str">
            <v>2 qts food grade oil</v>
          </cell>
          <cell r="GO1667" t="str">
            <v>no load amps 7.2</v>
          </cell>
          <cell r="HD1667" t="str">
            <v>Repair Shop</v>
          </cell>
          <cell r="HT1667" t="b">
            <v>0</v>
          </cell>
          <cell r="HU1667" t="str">
            <v>UNICO MECHANICAL CORP.</v>
          </cell>
        </row>
        <row r="1668">
          <cell r="A1668">
            <v>1055</v>
          </cell>
          <cell r="B1668" t="str">
            <v>VEM0031</v>
          </cell>
          <cell r="D1668" t="str">
            <v>P66</v>
          </cell>
          <cell r="F1668" t="str">
            <v>US Motors</v>
          </cell>
          <cell r="G1668" t="str">
            <v>R900</v>
          </cell>
          <cell r="I1668" t="str">
            <v>284T</v>
          </cell>
          <cell r="K1668" t="str">
            <v>25</v>
          </cell>
          <cell r="L1668" t="str">
            <v>1775</v>
          </cell>
          <cell r="M1668" t="str">
            <v>FCT</v>
          </cell>
          <cell r="O1668" t="str">
            <v>None</v>
          </cell>
          <cell r="P1668" t="str">
            <v>TEFC</v>
          </cell>
          <cell r="R1668" t="str">
            <v>Continuous</v>
          </cell>
          <cell r="T1668" t="str">
            <v>None</v>
          </cell>
          <cell r="U1668" t="str">
            <v>40C</v>
          </cell>
          <cell r="V1668" t="str">
            <v>3</v>
          </cell>
          <cell r="W1668" t="str">
            <v>60/50</v>
          </cell>
          <cell r="X1668" t="str">
            <v>208-230/460</v>
          </cell>
          <cell r="Y1668" t="str">
            <v>65.1-59.8/29.9</v>
          </cell>
          <cell r="AA1668" t="str">
            <v>F1</v>
          </cell>
          <cell r="AD1668" t="str">
            <v>-1</v>
          </cell>
          <cell r="AG1668" t="str">
            <v>HP</v>
          </cell>
          <cell r="AI1668" t="str">
            <v>6310-2Z-JC3</v>
          </cell>
          <cell r="AJ1668" t="str">
            <v>6210-2Z-JC3</v>
          </cell>
          <cell r="AO1668" t="str">
            <v>B</v>
          </cell>
          <cell r="AP1668" t="str">
            <v>G</v>
          </cell>
          <cell r="AQ1668" t="str">
            <v>F</v>
          </cell>
          <cell r="AR1668" t="str">
            <v>84.8</v>
          </cell>
          <cell r="AS1668" t="str">
            <v>1.15</v>
          </cell>
          <cell r="AT1668" t="str">
            <v>92.4</v>
          </cell>
          <cell r="AV1668" t="b">
            <v>0</v>
          </cell>
          <cell r="AX1668" t="str">
            <v>4</v>
          </cell>
          <cell r="EW1668" t="str">
            <v>H25E2D</v>
          </cell>
          <cell r="EX1668" t="str">
            <v>F11-R900-M</v>
          </cell>
          <cell r="HD1668" t="str">
            <v>Repair Shop</v>
          </cell>
          <cell r="HT1668" t="b">
            <v>0</v>
          </cell>
          <cell r="HU1668" t="str">
            <v>PHILLIPS 66</v>
          </cell>
        </row>
        <row r="1669">
          <cell r="A1669">
            <v>1054</v>
          </cell>
          <cell r="B1669" t="str">
            <v>VEM0030</v>
          </cell>
          <cell r="D1669" t="str">
            <v>P66</v>
          </cell>
          <cell r="F1669" t="str">
            <v>General Electric</v>
          </cell>
          <cell r="G1669" t="str">
            <v>5K184QRB1001</v>
          </cell>
          <cell r="H1669" t="str">
            <v>ZDP1210</v>
          </cell>
          <cell r="I1669" t="str">
            <v>184TC</v>
          </cell>
          <cell r="K1669" t="str">
            <v>5</v>
          </cell>
          <cell r="L1669" t="str">
            <v>3505</v>
          </cell>
          <cell r="M1669" t="str">
            <v>K</v>
          </cell>
          <cell r="O1669" t="str">
            <v>None</v>
          </cell>
          <cell r="P1669" t="str">
            <v>TEFC</v>
          </cell>
          <cell r="R1669" t="str">
            <v>Continuous</v>
          </cell>
          <cell r="T1669" t="str">
            <v>None</v>
          </cell>
          <cell r="U1669" t="str">
            <v>40c</v>
          </cell>
          <cell r="V1669" t="str">
            <v>3</v>
          </cell>
          <cell r="W1669" t="str">
            <v>60</v>
          </cell>
          <cell r="X1669" t="str">
            <v>230/460</v>
          </cell>
          <cell r="Y1669" t="str">
            <v>13/6.5</v>
          </cell>
          <cell r="AA1669" t="str">
            <v>F1</v>
          </cell>
          <cell r="AD1669" t="str">
            <v>0</v>
          </cell>
          <cell r="AG1669" t="str">
            <v>HP</v>
          </cell>
          <cell r="AO1669" t="str">
            <v>B</v>
          </cell>
          <cell r="AP1669" t="str">
            <v>J</v>
          </cell>
          <cell r="AQ1669" t="str">
            <v>B</v>
          </cell>
          <cell r="AS1669" t="str">
            <v>1.15</v>
          </cell>
          <cell r="AT1669" t="str">
            <v>82.5</v>
          </cell>
          <cell r="AV1669" t="b">
            <v>0</v>
          </cell>
          <cell r="AX1669" t="str">
            <v>2</v>
          </cell>
          <cell r="HD1669" t="str">
            <v>Repair Shop</v>
          </cell>
          <cell r="HT1669" t="b">
            <v>0</v>
          </cell>
          <cell r="HU1669" t="str">
            <v>PHILLIPS 66</v>
          </cell>
        </row>
        <row r="1670">
          <cell r="A1670">
            <v>1053</v>
          </cell>
          <cell r="B1670" t="str">
            <v>VEM0029</v>
          </cell>
          <cell r="D1670" t="str">
            <v>P66</v>
          </cell>
          <cell r="F1670" t="str">
            <v>US Motors</v>
          </cell>
          <cell r="H1670" t="str">
            <v>P4281632</v>
          </cell>
          <cell r="I1670" t="str">
            <v>256T</v>
          </cell>
          <cell r="K1670" t="str">
            <v>20</v>
          </cell>
          <cell r="L1670" t="str">
            <v>1800</v>
          </cell>
          <cell r="M1670" t="str">
            <v>TC</v>
          </cell>
          <cell r="O1670" t="str">
            <v>Full no Cord</v>
          </cell>
          <cell r="P1670" t="str">
            <v>TEFC</v>
          </cell>
          <cell r="R1670" t="str">
            <v>Continuous</v>
          </cell>
          <cell r="T1670" t="str">
            <v>None</v>
          </cell>
          <cell r="U1670" t="str">
            <v>40C</v>
          </cell>
          <cell r="V1670" t="str">
            <v>3</v>
          </cell>
          <cell r="W1670" t="str">
            <v>60</v>
          </cell>
          <cell r="X1670" t="str">
            <v>230/460</v>
          </cell>
          <cell r="Y1670" t="str">
            <v>50.2/25.1</v>
          </cell>
          <cell r="AA1670" t="str">
            <v>F1</v>
          </cell>
          <cell r="AD1670" t="str">
            <v>0</v>
          </cell>
          <cell r="AG1670" t="str">
            <v>HP</v>
          </cell>
          <cell r="AO1670" t="str">
            <v>B</v>
          </cell>
          <cell r="AP1670" t="str">
            <v>C</v>
          </cell>
          <cell r="AS1670" t="str">
            <v>1.0</v>
          </cell>
          <cell r="AV1670" t="b">
            <v>0</v>
          </cell>
          <cell r="AX1670" t="str">
            <v>?</v>
          </cell>
          <cell r="HD1670" t="str">
            <v>Repair Shop</v>
          </cell>
          <cell r="HT1670" t="b">
            <v>0</v>
          </cell>
          <cell r="HU1670" t="str">
            <v>PHILLIPS 66</v>
          </cell>
        </row>
        <row r="1671">
          <cell r="A1671">
            <v>1052</v>
          </cell>
          <cell r="B1671" t="str">
            <v>VEM0028</v>
          </cell>
          <cell r="D1671" t="str">
            <v>TRADEWINDS</v>
          </cell>
          <cell r="F1671" t="str">
            <v>Goulds</v>
          </cell>
          <cell r="AD1671" t="str">
            <v>0</v>
          </cell>
          <cell r="AG1671" t="str">
            <v>HP</v>
          </cell>
          <cell r="AV1671" t="b">
            <v>0</v>
          </cell>
          <cell r="HD1671" t="str">
            <v>Repair Shop</v>
          </cell>
          <cell r="HT1671" t="b">
            <v>0</v>
          </cell>
          <cell r="HU1671" t="str">
            <v>TRADEWINDS</v>
          </cell>
        </row>
        <row r="1672">
          <cell r="A1672">
            <v>1051</v>
          </cell>
          <cell r="B1672" t="str">
            <v>VEM0027</v>
          </cell>
          <cell r="D1672" t="str">
            <v>C&amp;H</v>
          </cell>
          <cell r="F1672" t="str">
            <v>Westinghouse</v>
          </cell>
          <cell r="G1672" t="str">
            <v>TBFC</v>
          </cell>
          <cell r="H1672" t="str">
            <v>7509</v>
          </cell>
          <cell r="I1672" t="str">
            <v>256TZ</v>
          </cell>
          <cell r="K1672" t="str">
            <v>20</v>
          </cell>
          <cell r="L1672" t="str">
            <v>1755</v>
          </cell>
          <cell r="O1672" t="str">
            <v>Full no Cord</v>
          </cell>
          <cell r="P1672" t="str">
            <v>TEFC</v>
          </cell>
          <cell r="R1672" t="str">
            <v>Continuous</v>
          </cell>
          <cell r="S1672" t="str">
            <v>No</v>
          </cell>
          <cell r="U1672" t="str">
            <v>40C</v>
          </cell>
          <cell r="V1672" t="str">
            <v>3</v>
          </cell>
          <cell r="W1672" t="str">
            <v>60</v>
          </cell>
          <cell r="X1672" t="str">
            <v>230/460</v>
          </cell>
          <cell r="Y1672" t="str">
            <v>49/24.5</v>
          </cell>
          <cell r="Z1672" t="str">
            <v>Yes</v>
          </cell>
          <cell r="AA1672" t="str">
            <v>F1</v>
          </cell>
          <cell r="AG1672" t="str">
            <v>HP</v>
          </cell>
          <cell r="AP1672" t="str">
            <v>G</v>
          </cell>
          <cell r="AQ1672" t="str">
            <v>B</v>
          </cell>
          <cell r="AS1672" t="str">
            <v>1.0</v>
          </cell>
          <cell r="AV1672" t="b">
            <v>0</v>
          </cell>
          <cell r="AX1672" t="str">
            <v>4</v>
          </cell>
          <cell r="EY1672" t="str">
            <v>773B846G31</v>
          </cell>
          <cell r="HD1672" t="str">
            <v>Repair Shop</v>
          </cell>
          <cell r="HT1672" t="b">
            <v>0</v>
          </cell>
          <cell r="HU1672" t="str">
            <v>C &amp; H SUGAR CO.</v>
          </cell>
        </row>
        <row r="1673">
          <cell r="A1673">
            <v>1050</v>
          </cell>
          <cell r="B1673" t="str">
            <v>VEM0026</v>
          </cell>
          <cell r="D1673" t="str">
            <v>INTEGRATED</v>
          </cell>
          <cell r="F1673" t="str">
            <v>Westinghouse</v>
          </cell>
          <cell r="G1673" t="str">
            <v>TBFC</v>
          </cell>
          <cell r="H1673" t="str">
            <v>6709</v>
          </cell>
          <cell r="I1673" t="str">
            <v>284TP</v>
          </cell>
          <cell r="K1673" t="str">
            <v>25</v>
          </cell>
          <cell r="L1673" t="str">
            <v>1770</v>
          </cell>
          <cell r="P1673" t="str">
            <v>TEFC</v>
          </cell>
          <cell r="R1673" t="str">
            <v>Continuous</v>
          </cell>
          <cell r="U1673" t="str">
            <v>40C</v>
          </cell>
          <cell r="V1673" t="str">
            <v>3</v>
          </cell>
          <cell r="W1673" t="str">
            <v>60</v>
          </cell>
          <cell r="X1673" t="str">
            <v>460</v>
          </cell>
          <cell r="Y1673" t="str">
            <v>31.5</v>
          </cell>
          <cell r="AA1673" t="str">
            <v>Vertical</v>
          </cell>
          <cell r="AG1673" t="str">
            <v>HP</v>
          </cell>
          <cell r="AP1673" t="str">
            <v>G</v>
          </cell>
          <cell r="AQ1673" t="str">
            <v>B</v>
          </cell>
          <cell r="AS1673" t="str">
            <v>1.0</v>
          </cell>
          <cell r="AV1673" t="b">
            <v>0</v>
          </cell>
          <cell r="AX1673" t="str">
            <v>4</v>
          </cell>
          <cell r="EY1673" t="str">
            <v>67D66548</v>
          </cell>
          <cell r="HD1673" t="str">
            <v>Repair Shop</v>
          </cell>
          <cell r="HT1673" t="b">
            <v>0</v>
          </cell>
          <cell r="HU1673" t="str">
            <v>INTEGRATED TURBO MACHINERY, INC.</v>
          </cell>
        </row>
        <row r="1674">
          <cell r="A1674">
            <v>1049</v>
          </cell>
          <cell r="B1674" t="str">
            <v>VEM0025</v>
          </cell>
          <cell r="D1674" t="str">
            <v>CHUCKMAJERS</v>
          </cell>
          <cell r="F1674" t="str">
            <v>WEG</v>
          </cell>
          <cell r="G1674" t="str">
            <v>1UTOJCGNMH7 5020</v>
          </cell>
          <cell r="I1674" t="str">
            <v>184JM</v>
          </cell>
          <cell r="K1674" t="str">
            <v>7.5</v>
          </cell>
          <cell r="L1674" t="str">
            <v>3485</v>
          </cell>
          <cell r="P1674" t="str">
            <v>ODP</v>
          </cell>
          <cell r="R1674" t="str">
            <v>Continuous</v>
          </cell>
          <cell r="S1674" t="str">
            <v>No</v>
          </cell>
          <cell r="U1674" t="str">
            <v>40C</v>
          </cell>
          <cell r="V1674" t="str">
            <v>3</v>
          </cell>
          <cell r="W1674" t="str">
            <v>60</v>
          </cell>
          <cell r="X1674" t="str">
            <v>208-230/460</v>
          </cell>
          <cell r="Y1674" t="str">
            <v>19.8-17.9/8.97</v>
          </cell>
          <cell r="Z1674" t="str">
            <v>Yes</v>
          </cell>
          <cell r="AA1674" t="str">
            <v>F1</v>
          </cell>
          <cell r="AD1674" t="str">
            <v>0</v>
          </cell>
          <cell r="AG1674" t="str">
            <v>HP</v>
          </cell>
          <cell r="AO1674" t="str">
            <v>B</v>
          </cell>
          <cell r="AP1674" t="str">
            <v>H</v>
          </cell>
          <cell r="AR1674" t="str">
            <v>88</v>
          </cell>
          <cell r="AS1674" t="str">
            <v>1.15</v>
          </cell>
          <cell r="AT1674" t="str">
            <v>87.5</v>
          </cell>
          <cell r="AV1674" t="b">
            <v>0</v>
          </cell>
          <cell r="AX1674" t="str">
            <v>2</v>
          </cell>
          <cell r="GK1674" t="str">
            <v>VJP Part#JM007402DP</v>
          </cell>
          <cell r="HD1674" t="str">
            <v>Repair Shop</v>
          </cell>
          <cell r="HT1674" t="b">
            <v>0</v>
          </cell>
          <cell r="HU1674" t="str">
            <v>CHUCK MAJERS</v>
          </cell>
        </row>
        <row r="1675">
          <cell r="A1675">
            <v>1048</v>
          </cell>
          <cell r="B1675" t="str">
            <v>VEM0024</v>
          </cell>
          <cell r="D1675" t="str">
            <v>CITYOFNAPA</v>
          </cell>
          <cell r="F1675" t="str">
            <v>Emerson</v>
          </cell>
          <cell r="K1675" t="str">
            <v>40</v>
          </cell>
          <cell r="L1675" t="str">
            <v>1780</v>
          </cell>
          <cell r="P1675" t="str">
            <v>ODP</v>
          </cell>
          <cell r="X1675" t="str">
            <v>230/460</v>
          </cell>
          <cell r="Y1675" t="str">
            <v>91/46</v>
          </cell>
          <cell r="AD1675" t="str">
            <v>0</v>
          </cell>
          <cell r="AG1675" t="str">
            <v>HP</v>
          </cell>
          <cell r="AV1675" t="b">
            <v>0</v>
          </cell>
          <cell r="HD1675" t="str">
            <v>Repair Shop</v>
          </cell>
          <cell r="HT1675" t="b">
            <v>0</v>
          </cell>
          <cell r="HU1675" t="str">
            <v>CITY OF NAPA, PUBLIC WORKS DEPT</v>
          </cell>
        </row>
        <row r="1676">
          <cell r="A1676">
            <v>1047</v>
          </cell>
          <cell r="B1676" t="str">
            <v>VEM0023</v>
          </cell>
          <cell r="D1676" t="str">
            <v>P66</v>
          </cell>
          <cell r="F1676" t="str">
            <v>General Electric</v>
          </cell>
          <cell r="G1676" t="str">
            <v>5KS324SS118D9</v>
          </cell>
          <cell r="H1676" t="str">
            <v>NJG045224</v>
          </cell>
          <cell r="I1676" t="str">
            <v>324TS</v>
          </cell>
          <cell r="K1676" t="str">
            <v>40</v>
          </cell>
          <cell r="L1676" t="str">
            <v>3565</v>
          </cell>
          <cell r="M1676" t="str">
            <v>KS</v>
          </cell>
          <cell r="N1676" t="str">
            <v>680</v>
          </cell>
          <cell r="P1676" t="str">
            <v>TEFC</v>
          </cell>
          <cell r="R1676" t="str">
            <v>Continuous</v>
          </cell>
          <cell r="U1676" t="str">
            <v>40C</v>
          </cell>
          <cell r="V1676" t="str">
            <v>3</v>
          </cell>
          <cell r="W1676" t="str">
            <v>60</v>
          </cell>
          <cell r="X1676" t="str">
            <v>460</v>
          </cell>
          <cell r="Y1676" t="str">
            <v>43.7</v>
          </cell>
          <cell r="AA1676" t="str">
            <v>Vertical</v>
          </cell>
          <cell r="AD1676" t="str">
            <v>-1</v>
          </cell>
          <cell r="AG1676" t="str">
            <v>HP</v>
          </cell>
          <cell r="AI1676" t="str">
            <v>6210ZC3</v>
          </cell>
          <cell r="AJ1676" t="str">
            <v>6210ZC3</v>
          </cell>
          <cell r="AO1676" t="str">
            <v>B</v>
          </cell>
          <cell r="AP1676" t="str">
            <v>G</v>
          </cell>
          <cell r="AQ1676" t="str">
            <v>F</v>
          </cell>
          <cell r="AR1676" t="str">
            <v>92</v>
          </cell>
          <cell r="AS1676" t="str">
            <v>1.15</v>
          </cell>
          <cell r="AT1676" t="str">
            <v>93</v>
          </cell>
          <cell r="AV1676" t="b">
            <v>0</v>
          </cell>
          <cell r="AX1676" t="str">
            <v>2</v>
          </cell>
          <cell r="EW1676" t="str">
            <v>E996</v>
          </cell>
          <cell r="HD1676" t="str">
            <v>Repair Shop</v>
          </cell>
          <cell r="HT1676" t="b">
            <v>0</v>
          </cell>
          <cell r="HU1676" t="str">
            <v>PHILLIPS 66</v>
          </cell>
        </row>
        <row r="1677">
          <cell r="A1677">
            <v>1046</v>
          </cell>
          <cell r="B1677" t="str">
            <v>VEM0022</v>
          </cell>
          <cell r="D1677" t="str">
            <v>WATERSHED</v>
          </cell>
          <cell r="F1677" t="str">
            <v>Baldor-Reliance</v>
          </cell>
          <cell r="H1677" t="str">
            <v>F1307026814</v>
          </cell>
          <cell r="I1677" t="str">
            <v>213TC</v>
          </cell>
          <cell r="K1677" t="str">
            <v>7.5</v>
          </cell>
          <cell r="L1677" t="str">
            <v>1770</v>
          </cell>
          <cell r="O1677" t="str">
            <v>Full w/ Cord</v>
          </cell>
          <cell r="P1677" t="str">
            <v>TEFC</v>
          </cell>
          <cell r="R1677" t="str">
            <v>Continuous</v>
          </cell>
          <cell r="U1677" t="str">
            <v>40C</v>
          </cell>
          <cell r="V1677" t="str">
            <v>3</v>
          </cell>
          <cell r="W1677" t="str">
            <v>60</v>
          </cell>
          <cell r="X1677" t="str">
            <v>230/460</v>
          </cell>
          <cell r="Y1677" t="str">
            <v>19/9.5</v>
          </cell>
          <cell r="AA1677" t="str">
            <v>F1</v>
          </cell>
          <cell r="AD1677" t="str">
            <v>0</v>
          </cell>
          <cell r="AG1677" t="str">
            <v>HP</v>
          </cell>
          <cell r="AI1677" t="str">
            <v>6307</v>
          </cell>
          <cell r="AJ1677" t="str">
            <v>6206</v>
          </cell>
          <cell r="AO1677" t="str">
            <v>A</v>
          </cell>
          <cell r="AP1677" t="str">
            <v>J</v>
          </cell>
          <cell r="AQ1677" t="str">
            <v>F</v>
          </cell>
          <cell r="AR1677" t="str">
            <v>.81</v>
          </cell>
          <cell r="AS1677" t="str">
            <v>1.15</v>
          </cell>
          <cell r="AT1677" t="str">
            <v>91.7</v>
          </cell>
          <cell r="AU1677" t="str">
            <v>07H058X790</v>
          </cell>
          <cell r="AV1677" t="b">
            <v>0</v>
          </cell>
          <cell r="AX1677" t="str">
            <v>4</v>
          </cell>
          <cell r="EW1677" t="str">
            <v>CEM3770T</v>
          </cell>
          <cell r="HD1677" t="str">
            <v>Repair Shop</v>
          </cell>
          <cell r="HT1677" t="b">
            <v>0</v>
          </cell>
          <cell r="HU1677" t="str">
            <v>WATERSHED MATERIALS</v>
          </cell>
        </row>
        <row r="1678">
          <cell r="A1678">
            <v>1045</v>
          </cell>
          <cell r="B1678" t="str">
            <v>VEM0021</v>
          </cell>
          <cell r="D1678" t="str">
            <v>HARLAND</v>
          </cell>
          <cell r="F1678" t="str">
            <v>Siemens</v>
          </cell>
          <cell r="K1678" t="str">
            <v>0.2</v>
          </cell>
          <cell r="AG1678" t="str">
            <v>KW</v>
          </cell>
          <cell r="AV1678" t="b">
            <v>0</v>
          </cell>
          <cell r="DW1678" t="str">
            <v>.26</v>
          </cell>
          <cell r="HD1678" t="str">
            <v>Repair Shop</v>
          </cell>
          <cell r="HT1678" t="b">
            <v>0</v>
          </cell>
          <cell r="HU1678" t="str">
            <v>HARLAND ESTATES</v>
          </cell>
        </row>
        <row r="1679">
          <cell r="A1679">
            <v>1043</v>
          </cell>
          <cell r="B1679" t="str">
            <v>VEM0019</v>
          </cell>
          <cell r="D1679" t="str">
            <v>P66</v>
          </cell>
          <cell r="F1679" t="str">
            <v>Westinghouse</v>
          </cell>
          <cell r="G1679" t="str">
            <v>P-4332-00-270</v>
          </cell>
          <cell r="I1679" t="str">
            <v>213</v>
          </cell>
          <cell r="K1679" t="str">
            <v>5</v>
          </cell>
          <cell r="L1679" t="str">
            <v>1730</v>
          </cell>
          <cell r="M1679" t="str">
            <v>JA</v>
          </cell>
          <cell r="P1679" t="str">
            <v>TEFC</v>
          </cell>
          <cell r="R1679" t="str">
            <v>Continuous</v>
          </cell>
          <cell r="U1679" t="str">
            <v>55C</v>
          </cell>
          <cell r="V1679" t="str">
            <v>3</v>
          </cell>
          <cell r="W1679" t="str">
            <v>60</v>
          </cell>
          <cell r="X1679" t="str">
            <v>460</v>
          </cell>
          <cell r="Y1679" t="str">
            <v>7.3</v>
          </cell>
          <cell r="AA1679" t="str">
            <v>F1</v>
          </cell>
          <cell r="AD1679" t="str">
            <v>0</v>
          </cell>
          <cell r="AG1679" t="str">
            <v>HP</v>
          </cell>
          <cell r="AO1679" t="str">
            <v>B</v>
          </cell>
          <cell r="AP1679" t="str">
            <v>K</v>
          </cell>
          <cell r="AS1679" t="str">
            <v>1.0</v>
          </cell>
          <cell r="AV1679" t="b">
            <v>0</v>
          </cell>
          <cell r="AX1679" t="str">
            <v>4</v>
          </cell>
          <cell r="HD1679" t="str">
            <v>Repair Shop</v>
          </cell>
          <cell r="HT1679" t="b">
            <v>0</v>
          </cell>
          <cell r="HU1679" t="str">
            <v>PHILLIPS 66</v>
          </cell>
        </row>
        <row r="1680">
          <cell r="A1680">
            <v>1042</v>
          </cell>
          <cell r="B1680" t="str">
            <v>VEM0018</v>
          </cell>
          <cell r="D1680" t="str">
            <v>P66</v>
          </cell>
          <cell r="F1680" t="str">
            <v>GE</v>
          </cell>
          <cell r="H1680" t="str">
            <v>GF1701121</v>
          </cell>
          <cell r="I1680" t="str">
            <v>364TS</v>
          </cell>
          <cell r="K1680" t="str">
            <v>60</v>
          </cell>
          <cell r="L1680" t="str">
            <v>3555</v>
          </cell>
          <cell r="O1680" t="str">
            <v>Full no Cord</v>
          </cell>
          <cell r="P1680" t="str">
            <v>TEFC</v>
          </cell>
          <cell r="R1680" t="str">
            <v>Continuous</v>
          </cell>
          <cell r="T1680" t="str">
            <v>YES</v>
          </cell>
          <cell r="U1680" t="str">
            <v>40C</v>
          </cell>
          <cell r="V1680" t="str">
            <v>3</v>
          </cell>
          <cell r="W1680" t="str">
            <v>60</v>
          </cell>
          <cell r="X1680" t="str">
            <v>230/460</v>
          </cell>
          <cell r="Y1680" t="str">
            <v>144/72</v>
          </cell>
          <cell r="AA1680" t="str">
            <v>F1</v>
          </cell>
          <cell r="AD1680" t="str">
            <v>0</v>
          </cell>
          <cell r="AG1680" t="str">
            <v>HP</v>
          </cell>
          <cell r="AI1680" t="str">
            <v>6312</v>
          </cell>
          <cell r="AJ1680" t="str">
            <v>6312</v>
          </cell>
          <cell r="AO1680" t="str">
            <v>B</v>
          </cell>
          <cell r="AP1680" t="str">
            <v>G</v>
          </cell>
          <cell r="AQ1680" t="str">
            <v>B</v>
          </cell>
          <cell r="AS1680" t="str">
            <v>1.0</v>
          </cell>
          <cell r="AV1680" t="b">
            <v>0</v>
          </cell>
          <cell r="AX1680" t="str">
            <v>2</v>
          </cell>
          <cell r="HD1680" t="str">
            <v>Repair Shop</v>
          </cell>
          <cell r="HT1680" t="b">
            <v>0</v>
          </cell>
          <cell r="HU1680" t="str">
            <v>PHILLIPS 66</v>
          </cell>
        </row>
        <row r="1681">
          <cell r="A1681">
            <v>1041</v>
          </cell>
          <cell r="B1681" t="str">
            <v>VEM0017</v>
          </cell>
          <cell r="D1681" t="str">
            <v>CETOLAND</v>
          </cell>
          <cell r="AD1681" t="str">
            <v>0</v>
          </cell>
          <cell r="AG1681" t="str">
            <v>HP</v>
          </cell>
          <cell r="AV1681" t="b">
            <v>0</v>
          </cell>
          <cell r="HD1681" t="str">
            <v>Repair Shop</v>
          </cell>
          <cell r="HT1681" t="b">
            <v>0</v>
          </cell>
          <cell r="HU1681" t="str">
            <v>C.E. TOLAND &amp; SON</v>
          </cell>
        </row>
        <row r="1682">
          <cell r="A1682">
            <v>1040</v>
          </cell>
          <cell r="B1682" t="str">
            <v>VEM0016</v>
          </cell>
          <cell r="D1682" t="str">
            <v>SUPERSTORES</v>
          </cell>
          <cell r="AD1682" t="str">
            <v>0</v>
          </cell>
          <cell r="AV1682" t="b">
            <v>0</v>
          </cell>
          <cell r="HD1682" t="str">
            <v>Repair Shop</v>
          </cell>
          <cell r="HT1682" t="b">
            <v>0</v>
          </cell>
          <cell r="HU1682" t="str">
            <v>Producers Dairy Foods</v>
          </cell>
        </row>
        <row r="1683">
          <cell r="A1683">
            <v>1039</v>
          </cell>
          <cell r="B1683" t="str">
            <v>VEM0015</v>
          </cell>
          <cell r="D1683" t="str">
            <v>CITYOFCONCORD</v>
          </cell>
          <cell r="F1683" t="str">
            <v>Baldor</v>
          </cell>
          <cell r="H1683" t="str">
            <v>95110</v>
          </cell>
          <cell r="I1683" t="str">
            <v>256T</v>
          </cell>
          <cell r="K1683" t="str">
            <v>20</v>
          </cell>
          <cell r="L1683" t="str">
            <v>1765</v>
          </cell>
          <cell r="P1683" t="str">
            <v>ODP</v>
          </cell>
          <cell r="R1683" t="str">
            <v>Continuous</v>
          </cell>
          <cell r="S1683" t="str">
            <v>No</v>
          </cell>
          <cell r="U1683" t="str">
            <v>40c</v>
          </cell>
          <cell r="V1683" t="str">
            <v>3</v>
          </cell>
          <cell r="W1683" t="str">
            <v>60</v>
          </cell>
          <cell r="X1683" t="str">
            <v>230/460</v>
          </cell>
          <cell r="Y1683" t="str">
            <v>48/24</v>
          </cell>
          <cell r="AA1683" t="str">
            <v>F1</v>
          </cell>
          <cell r="AD1683" t="str">
            <v>0</v>
          </cell>
          <cell r="AG1683" t="str">
            <v>HP</v>
          </cell>
          <cell r="AI1683" t="str">
            <v>6309</v>
          </cell>
          <cell r="AJ1683" t="str">
            <v>6208</v>
          </cell>
          <cell r="AO1683" t="str">
            <v>B</v>
          </cell>
          <cell r="AP1683" t="str">
            <v>H</v>
          </cell>
          <cell r="AQ1683" t="str">
            <v>F</v>
          </cell>
          <cell r="AS1683" t="str">
            <v>1.15</v>
          </cell>
          <cell r="AT1683" t="str">
            <v>93</v>
          </cell>
          <cell r="AU1683" t="str">
            <v>39K57w310</v>
          </cell>
          <cell r="AV1683" t="b">
            <v>0</v>
          </cell>
          <cell r="EW1683" t="str">
            <v>EM2515T</v>
          </cell>
          <cell r="HD1683" t="str">
            <v>Repair Shop</v>
          </cell>
          <cell r="HT1683" t="b">
            <v>0</v>
          </cell>
          <cell r="HU1683" t="str">
            <v>CITY OF CONCORD</v>
          </cell>
        </row>
        <row r="1684">
          <cell r="A1684">
            <v>1038</v>
          </cell>
          <cell r="B1684" t="str">
            <v>VEM0014</v>
          </cell>
          <cell r="D1684" t="str">
            <v>TENCATE</v>
          </cell>
          <cell r="AG1684" t="str">
            <v>HP</v>
          </cell>
          <cell r="AV1684" t="b">
            <v>0</v>
          </cell>
          <cell r="HD1684" t="str">
            <v>Repair Shop</v>
          </cell>
          <cell r="HT1684" t="b">
            <v>0</v>
          </cell>
          <cell r="HU1684" t="str">
            <v>TENCATE</v>
          </cell>
        </row>
        <row r="1685">
          <cell r="A1685">
            <v>1036</v>
          </cell>
          <cell r="B1685" t="str">
            <v>VEM0013</v>
          </cell>
          <cell r="D1685" t="str">
            <v>CITYOFNAPA</v>
          </cell>
          <cell r="F1685" t="str">
            <v>Baldor</v>
          </cell>
          <cell r="H1685" t="str">
            <v>C1003120218</v>
          </cell>
          <cell r="I1685" t="str">
            <v>326TSC</v>
          </cell>
          <cell r="K1685" t="str">
            <v>50</v>
          </cell>
          <cell r="L1685" t="str">
            <v>3560</v>
          </cell>
          <cell r="N1685" t="str">
            <v>633</v>
          </cell>
          <cell r="P1685" t="str">
            <v>TEFC</v>
          </cell>
          <cell r="R1685" t="str">
            <v>Continuous</v>
          </cell>
          <cell r="T1685" t="str">
            <v>Yes</v>
          </cell>
          <cell r="U1685" t="str">
            <v>40C</v>
          </cell>
          <cell r="V1685" t="str">
            <v>3</v>
          </cell>
          <cell r="W1685" t="str">
            <v>60</v>
          </cell>
          <cell r="X1685" t="str">
            <v>460</v>
          </cell>
          <cell r="Y1685" t="str">
            <v>56</v>
          </cell>
          <cell r="AD1685" t="str">
            <v>-1</v>
          </cell>
          <cell r="AG1685" t="str">
            <v>HP</v>
          </cell>
          <cell r="AI1685" t="str">
            <v>7310</v>
          </cell>
          <cell r="AJ1685" t="str">
            <v>6207-2ZC3</v>
          </cell>
          <cell r="AO1685" t="str">
            <v>B</v>
          </cell>
          <cell r="AP1685" t="str">
            <v>H</v>
          </cell>
          <cell r="AQ1685" t="str">
            <v>F</v>
          </cell>
          <cell r="AS1685" t="str">
            <v>1.15</v>
          </cell>
          <cell r="AU1685" t="str">
            <v>12F761Y246</v>
          </cell>
          <cell r="AV1685" t="b">
            <v>0</v>
          </cell>
          <cell r="HD1685" t="str">
            <v>Repair Shop</v>
          </cell>
          <cell r="HT1685" t="b">
            <v>0</v>
          </cell>
          <cell r="HU1685" t="str">
            <v>CITY OF NAPA, PUBLIC WORKS DEPT</v>
          </cell>
        </row>
        <row r="1686">
          <cell r="A1686">
            <v>1035</v>
          </cell>
          <cell r="B1686" t="str">
            <v>VEM0012</v>
          </cell>
          <cell r="D1686" t="str">
            <v>CONHAGEN</v>
          </cell>
          <cell r="F1686" t="str">
            <v>Reliance</v>
          </cell>
          <cell r="I1686" t="str">
            <v>210LPZ</v>
          </cell>
          <cell r="K1686" t="str">
            <v>10</v>
          </cell>
          <cell r="L1686" t="str">
            <v>3510</v>
          </cell>
          <cell r="M1686" t="str">
            <v>P</v>
          </cell>
          <cell r="O1686" t="str">
            <v>None</v>
          </cell>
          <cell r="P1686" t="str">
            <v>TEFC</v>
          </cell>
          <cell r="Q1686" t="str">
            <v>No</v>
          </cell>
          <cell r="R1686" t="str">
            <v>Continuous</v>
          </cell>
          <cell r="S1686" t="str">
            <v>Yes</v>
          </cell>
          <cell r="T1686" t="str">
            <v>NONE</v>
          </cell>
          <cell r="U1686" t="str">
            <v>40c</v>
          </cell>
          <cell r="V1686" t="str">
            <v>3</v>
          </cell>
          <cell r="W1686" t="str">
            <v>60</v>
          </cell>
          <cell r="X1686" t="str">
            <v>460</v>
          </cell>
          <cell r="Y1686" t="str">
            <v>11.1</v>
          </cell>
          <cell r="Z1686" t="str">
            <v>ISOMAG</v>
          </cell>
          <cell r="AA1686" t="str">
            <v>Vertical</v>
          </cell>
          <cell r="AG1686" t="str">
            <v>HP</v>
          </cell>
          <cell r="AI1686" t="str">
            <v>6211</v>
          </cell>
          <cell r="AJ1686" t="str">
            <v>2-7306 BACK TO BACK</v>
          </cell>
          <cell r="AO1686" t="str">
            <v>B</v>
          </cell>
          <cell r="AP1686" t="str">
            <v>H</v>
          </cell>
          <cell r="AQ1686" t="str">
            <v>F</v>
          </cell>
          <cell r="AS1686" t="str">
            <v>1.5</v>
          </cell>
          <cell r="AV1686" t="b">
            <v>0</v>
          </cell>
          <cell r="AX1686" t="str">
            <v>2</v>
          </cell>
          <cell r="EX1686" t="str">
            <v>1YWB94921A1 YY</v>
          </cell>
          <cell r="HD1686" t="str">
            <v>Repair Shop</v>
          </cell>
          <cell r="HT1686" t="b">
            <v>0</v>
          </cell>
          <cell r="HU1686" t="str">
            <v>ALFRED CONHAGEN CO. OF CA</v>
          </cell>
        </row>
        <row r="1687">
          <cell r="A1687">
            <v>1034</v>
          </cell>
          <cell r="B1687" t="str">
            <v>VEM0011</v>
          </cell>
          <cell r="D1687" t="str">
            <v>ALLPOINTS</v>
          </cell>
          <cell r="AD1687" t="str">
            <v>0</v>
          </cell>
          <cell r="AG1687" t="str">
            <v>HP</v>
          </cell>
          <cell r="AV1687" t="b">
            <v>0</v>
          </cell>
          <cell r="HD1687" t="str">
            <v>Repair Shop</v>
          </cell>
          <cell r="HT1687" t="b">
            <v>0</v>
          </cell>
          <cell r="HU1687" t="str">
            <v>ALL POINTS MANUFACTURING</v>
          </cell>
        </row>
        <row r="1688">
          <cell r="A1688">
            <v>1031</v>
          </cell>
          <cell r="B1688" t="str">
            <v>VEM0010</v>
          </cell>
          <cell r="D1688" t="str">
            <v>CONHAGEN</v>
          </cell>
          <cell r="F1688" t="str">
            <v>Baldor</v>
          </cell>
          <cell r="I1688" t="str">
            <v>56J</v>
          </cell>
          <cell r="K1688" t="str">
            <v>3</v>
          </cell>
          <cell r="L1688" t="str">
            <v>3450</v>
          </cell>
          <cell r="X1688" t="str">
            <v>460</v>
          </cell>
          <cell r="Y1688" t="str">
            <v>3.8</v>
          </cell>
          <cell r="AD1688" t="str">
            <v>0</v>
          </cell>
          <cell r="AG1688" t="str">
            <v>HP</v>
          </cell>
          <cell r="AV1688" t="b">
            <v>0</v>
          </cell>
          <cell r="EW1688" t="str">
            <v>EJM3559</v>
          </cell>
          <cell r="HD1688" t="str">
            <v>Repair Shop</v>
          </cell>
          <cell r="HT1688" t="b">
            <v>0</v>
          </cell>
          <cell r="HU1688" t="str">
            <v>ALFRED CONHAGEN CO. OF CA</v>
          </cell>
        </row>
        <row r="1689">
          <cell r="A1689">
            <v>1030</v>
          </cell>
          <cell r="B1689" t="str">
            <v>VEM0009</v>
          </cell>
          <cell r="D1689" t="str">
            <v>PANPACIFIC</v>
          </cell>
          <cell r="F1689" t="str">
            <v>US Motors</v>
          </cell>
          <cell r="G1689" t="str">
            <v>DT79</v>
          </cell>
          <cell r="H1689" t="str">
            <v>ID#T067526358-0002R0002</v>
          </cell>
          <cell r="I1689" t="str">
            <v>404TP</v>
          </cell>
          <cell r="K1689" t="str">
            <v>100</v>
          </cell>
          <cell r="L1689" t="str">
            <v>180-1800</v>
          </cell>
          <cell r="M1689" t="str">
            <v>RUSI</v>
          </cell>
          <cell r="N1689" t="str">
            <v>1110</v>
          </cell>
          <cell r="O1689" t="str">
            <v>None</v>
          </cell>
          <cell r="P1689" t="str">
            <v>WP1</v>
          </cell>
          <cell r="R1689" t="str">
            <v>Continuous</v>
          </cell>
          <cell r="S1689" t="str">
            <v>No</v>
          </cell>
          <cell r="U1689" t="str">
            <v>40C</v>
          </cell>
          <cell r="V1689" t="str">
            <v>3</v>
          </cell>
          <cell r="W1689" t="str">
            <v>60</v>
          </cell>
          <cell r="X1689" t="str">
            <v>460</v>
          </cell>
          <cell r="Y1689" t="str">
            <v>114</v>
          </cell>
          <cell r="AA1689" t="str">
            <v>Vertical</v>
          </cell>
          <cell r="AD1689" t="str">
            <v>-1</v>
          </cell>
          <cell r="AG1689" t="str">
            <v>HP</v>
          </cell>
          <cell r="AI1689" t="str">
            <v>7222-BEM</v>
          </cell>
          <cell r="AJ1689" t="str">
            <v>6212-J</v>
          </cell>
          <cell r="AO1689" t="str">
            <v>b</v>
          </cell>
          <cell r="AP1689" t="str">
            <v>g</v>
          </cell>
          <cell r="AQ1689" t="str">
            <v>F</v>
          </cell>
          <cell r="AR1689" t="str">
            <v>86.3</v>
          </cell>
          <cell r="AS1689" t="str">
            <v>1.15</v>
          </cell>
          <cell r="AT1689" t="str">
            <v>95.4</v>
          </cell>
          <cell r="AV1689" t="b">
            <v>0</v>
          </cell>
          <cell r="AX1689" t="str">
            <v>4</v>
          </cell>
          <cell r="EW1689" t="str">
            <v>40100V2SLG</v>
          </cell>
          <cell r="EX1689" t="str">
            <v>T 06 7526358-0002 R 00 02</v>
          </cell>
          <cell r="GK1689" t="str">
            <v>Heater 120 Volt  240 Watt</v>
          </cell>
          <cell r="GL1689" t="str">
            <v>Original 120 volt 140 Watt</v>
          </cell>
          <cell r="GM1689" t="str">
            <v>no load amps 39</v>
          </cell>
          <cell r="HD1689" t="str">
            <v>Repair Shop</v>
          </cell>
          <cell r="HT1689" t="b">
            <v>0</v>
          </cell>
          <cell r="HU1689" t="str">
            <v>PAN PACIFIC SUPPLY CO.</v>
          </cell>
        </row>
        <row r="1690">
          <cell r="A1690">
            <v>1027</v>
          </cell>
          <cell r="B1690" t="str">
            <v>VEM0007</v>
          </cell>
          <cell r="D1690" t="str">
            <v>RAGSDALE</v>
          </cell>
          <cell r="F1690" t="str">
            <v>Reliance?</v>
          </cell>
          <cell r="K1690" t="str">
            <v>20</v>
          </cell>
          <cell r="AD1690" t="str">
            <v>0</v>
          </cell>
          <cell r="AG1690" t="str">
            <v>HP</v>
          </cell>
          <cell r="AV1690" t="b">
            <v>0</v>
          </cell>
          <cell r="HD1690" t="str">
            <v>Repair Shop</v>
          </cell>
          <cell r="HT1690" t="b">
            <v>0</v>
          </cell>
          <cell r="HU1690" t="str">
            <v>GLEN RAGSDALE UNDERGROUND ASSOC. INC.</v>
          </cell>
        </row>
        <row r="1691">
          <cell r="A1691">
            <v>1026</v>
          </cell>
          <cell r="B1691" t="str">
            <v>VEM0006</v>
          </cell>
          <cell r="D1691" t="str">
            <v>RAGSDALE</v>
          </cell>
          <cell r="F1691" t="str">
            <v>Reliance?</v>
          </cell>
          <cell r="K1691" t="str">
            <v>20</v>
          </cell>
          <cell r="AD1691" t="str">
            <v>0</v>
          </cell>
          <cell r="AG1691" t="str">
            <v>HP</v>
          </cell>
          <cell r="AV1691" t="b">
            <v>0</v>
          </cell>
          <cell r="DW1691" t="str">
            <v>20</v>
          </cell>
          <cell r="HD1691" t="str">
            <v>Repair Shop</v>
          </cell>
          <cell r="HT1691" t="b">
            <v>0</v>
          </cell>
          <cell r="HU1691" t="str">
            <v>GLEN RAGSDALE UNDERGROUND ASSOC. INC.</v>
          </cell>
        </row>
        <row r="1692">
          <cell r="A1692">
            <v>1023</v>
          </cell>
          <cell r="B1692" t="str">
            <v>VEM0005</v>
          </cell>
          <cell r="D1692" t="str">
            <v>RAGSDALE</v>
          </cell>
          <cell r="I1692" t="str">
            <v>280TCZ</v>
          </cell>
          <cell r="K1692" t="str">
            <v>25</v>
          </cell>
          <cell r="L1692" t="str">
            <v>3510</v>
          </cell>
          <cell r="M1692" t="str">
            <v>P</v>
          </cell>
          <cell r="N1692" t="str">
            <v>344</v>
          </cell>
          <cell r="P1692" t="str">
            <v>TEAO</v>
          </cell>
          <cell r="R1692" t="str">
            <v>Continuous</v>
          </cell>
          <cell r="S1692" t="str">
            <v>No</v>
          </cell>
          <cell r="T1692" t="str">
            <v>Fan</v>
          </cell>
          <cell r="U1692" t="str">
            <v>40C</v>
          </cell>
          <cell r="V1692" t="str">
            <v>3</v>
          </cell>
          <cell r="W1692" t="str">
            <v>60</v>
          </cell>
          <cell r="X1692" t="str">
            <v>230/460</v>
          </cell>
          <cell r="Y1692" t="str">
            <v>64.8/32.4</v>
          </cell>
          <cell r="AA1692" t="str">
            <v>F1</v>
          </cell>
          <cell r="AD1692" t="str">
            <v>-1</v>
          </cell>
          <cell r="AG1692" t="str">
            <v>HP</v>
          </cell>
          <cell r="AI1692" t="str">
            <v>6310</v>
          </cell>
          <cell r="AJ1692" t="str">
            <v>6309</v>
          </cell>
          <cell r="AO1692" t="str">
            <v>B</v>
          </cell>
          <cell r="AP1692" t="str">
            <v>F</v>
          </cell>
          <cell r="AS1692" t="str">
            <v>1.0</v>
          </cell>
          <cell r="AT1692" t="str">
            <v>87.5</v>
          </cell>
          <cell r="AV1692" t="b">
            <v>0</v>
          </cell>
          <cell r="AX1692" t="str">
            <v>2</v>
          </cell>
          <cell r="DW1692" t="str">
            <v>25</v>
          </cell>
          <cell r="DX1692" t="str">
            <v>230/460</v>
          </cell>
          <cell r="EX1692" t="str">
            <v>01MJN94162 G001 ED</v>
          </cell>
          <cell r="HD1692" t="str">
            <v>Repair Shop</v>
          </cell>
          <cell r="HT1692" t="b">
            <v>0</v>
          </cell>
          <cell r="HU1692" t="str">
            <v>GLEN RAGSDALE UNDERGROUND ASSOC. INC.</v>
          </cell>
        </row>
        <row r="1693">
          <cell r="A1693">
            <v>1020</v>
          </cell>
          <cell r="B1693" t="str">
            <v>VEM0004</v>
          </cell>
          <cell r="D1693" t="str">
            <v>EECO</v>
          </cell>
          <cell r="F1693" t="str">
            <v>Electra</v>
          </cell>
          <cell r="G1693" t="str">
            <v>40385</v>
          </cell>
          <cell r="I1693" t="str">
            <v>445p23o1v</v>
          </cell>
          <cell r="K1693" t="str">
            <v>30</v>
          </cell>
          <cell r="L1693" t="str">
            <v>720</v>
          </cell>
          <cell r="X1693" t="str">
            <v>440</v>
          </cell>
          <cell r="Y1693" t="str">
            <v>49</v>
          </cell>
          <cell r="AD1693" t="str">
            <v>0</v>
          </cell>
          <cell r="AG1693" t="str">
            <v>HP</v>
          </cell>
          <cell r="AV1693" t="b">
            <v>0</v>
          </cell>
          <cell r="HD1693" t="str">
            <v>Repair Shop</v>
          </cell>
          <cell r="HT1693" t="b">
            <v>0</v>
          </cell>
          <cell r="HU1693" t="str">
            <v>ELECTRICAL EQUIPMENT CO.</v>
          </cell>
        </row>
        <row r="1694">
          <cell r="A1694">
            <v>23</v>
          </cell>
          <cell r="B1694" t="str">
            <v>VEM0003</v>
          </cell>
          <cell r="D1694" t="str">
            <v>TURBO</v>
          </cell>
          <cell r="F1694" t="str">
            <v>General Electric</v>
          </cell>
          <cell r="G1694" t="str">
            <v>5KS365ST7403</v>
          </cell>
          <cell r="H1694" t="str">
            <v>TFG261245</v>
          </cell>
          <cell r="I1694" t="str">
            <v>L365VP16</v>
          </cell>
          <cell r="K1694" t="str">
            <v>50</v>
          </cell>
          <cell r="L1694" t="str">
            <v>1185</v>
          </cell>
          <cell r="M1694" t="str">
            <v>KS</v>
          </cell>
          <cell r="O1694" t="str">
            <v>Full no Cord</v>
          </cell>
          <cell r="P1694" t="str">
            <v>TEFC</v>
          </cell>
          <cell r="R1694" t="str">
            <v>Continuous</v>
          </cell>
          <cell r="U1694" t="str">
            <v>40</v>
          </cell>
          <cell r="V1694" t="str">
            <v>3</v>
          </cell>
          <cell r="W1694" t="str">
            <v>60</v>
          </cell>
          <cell r="X1694" t="str">
            <v>460</v>
          </cell>
          <cell r="Y1694" t="str">
            <v>58.5</v>
          </cell>
          <cell r="AA1694" t="str">
            <v>Vertical</v>
          </cell>
          <cell r="AG1694" t="str">
            <v>HP</v>
          </cell>
          <cell r="AI1694" t="str">
            <v>6212</v>
          </cell>
          <cell r="AJ1694" t="str">
            <v>7219</v>
          </cell>
          <cell r="AO1694" t="str">
            <v>B</v>
          </cell>
          <cell r="AP1694" t="str">
            <v>G</v>
          </cell>
          <cell r="AQ1694" t="str">
            <v>F</v>
          </cell>
          <cell r="AR1694" t="str">
            <v>85.5</v>
          </cell>
          <cell r="AS1694" t="str">
            <v>1.15</v>
          </cell>
          <cell r="AT1694" t="str">
            <v>93</v>
          </cell>
          <cell r="AV1694" t="b">
            <v>0</v>
          </cell>
          <cell r="GK1694" t="str">
            <v>no load amps 15</v>
          </cell>
          <cell r="HD1694" t="str">
            <v>Repair Shop</v>
          </cell>
          <cell r="HT1694" t="b">
            <v>0</v>
          </cell>
          <cell r="HU1694" t="str">
            <v>TURBO MACHINE</v>
          </cell>
        </row>
        <row r="1695">
          <cell r="A1695">
            <v>22</v>
          </cell>
          <cell r="B1695" t="str">
            <v>VEM0002</v>
          </cell>
          <cell r="D1695" t="str">
            <v>C&amp;H</v>
          </cell>
          <cell r="F1695" t="str">
            <v>WEG</v>
          </cell>
          <cell r="G1695" t="str">
            <v>10036ST3Q1L405TS-W22</v>
          </cell>
          <cell r="H1695" t="str">
            <v>1024181461</v>
          </cell>
          <cell r="I1695" t="str">
            <v>404/5TS</v>
          </cell>
          <cell r="K1695" t="str">
            <v>100</v>
          </cell>
          <cell r="L1695" t="str">
            <v>3555</v>
          </cell>
          <cell r="N1695" t="str">
            <v>1066</v>
          </cell>
          <cell r="P1695" t="str">
            <v>TEFC</v>
          </cell>
          <cell r="R1695" t="str">
            <v>Continuous</v>
          </cell>
          <cell r="U1695" t="str">
            <v>40C</v>
          </cell>
          <cell r="V1695" t="str">
            <v>3</v>
          </cell>
          <cell r="W1695" t="str">
            <v>60</v>
          </cell>
          <cell r="X1695" t="str">
            <v>460</v>
          </cell>
          <cell r="Y1695" t="str">
            <v>110</v>
          </cell>
          <cell r="AD1695" t="str">
            <v>0</v>
          </cell>
          <cell r="AG1695" t="str">
            <v>HP</v>
          </cell>
          <cell r="AI1695" t="str">
            <v>6314-C3</v>
          </cell>
          <cell r="AJ1695" t="str">
            <v>6314-C3</v>
          </cell>
          <cell r="AO1695" t="str">
            <v>B</v>
          </cell>
          <cell r="AP1695" t="str">
            <v>G</v>
          </cell>
          <cell r="AQ1695" t="str">
            <v>F</v>
          </cell>
          <cell r="AR1695" t="str">
            <v>.91</v>
          </cell>
          <cell r="AS1695" t="str">
            <v>1.25</v>
          </cell>
          <cell r="AT1695" t="str">
            <v>93</v>
          </cell>
          <cell r="AV1695" t="b">
            <v>0</v>
          </cell>
          <cell r="AX1695" t="str">
            <v>2</v>
          </cell>
          <cell r="HD1695" t="str">
            <v>Repair Shop</v>
          </cell>
          <cell r="HT1695" t="b">
            <v>0</v>
          </cell>
          <cell r="HU1695" t="str">
            <v>C &amp; H SUGAR CO.</v>
          </cell>
        </row>
        <row r="1696">
          <cell r="A1696">
            <v>18</v>
          </cell>
          <cell r="B1696" t="str">
            <v>VEM0001</v>
          </cell>
          <cell r="D1696" t="str">
            <v>C&amp;H</v>
          </cell>
          <cell r="F1696" t="str">
            <v>Nuttall Gear (SAP 91172031)</v>
          </cell>
          <cell r="G1696" t="str">
            <v>U286T64D</v>
          </cell>
          <cell r="H1696" t="str">
            <v>C/A 799B199C6501</v>
          </cell>
          <cell r="AG1696" t="str">
            <v>HP</v>
          </cell>
          <cell r="AV1696" t="b">
            <v>0</v>
          </cell>
          <cell r="BY1696" t="str">
            <v>14.08</v>
          </cell>
          <cell r="CC1696" t="str">
            <v>125</v>
          </cell>
          <cell r="CE1696" t="str">
            <v>30</v>
          </cell>
          <cell r="HD1696" t="str">
            <v>Repair Shop</v>
          </cell>
          <cell r="HE1696" t="str">
            <v>20036999-1</v>
          </cell>
          <cell r="HT1696" t="b">
            <v>0</v>
          </cell>
          <cell r="HU1696" t="str">
            <v>C &amp; H SUGAR CO.</v>
          </cell>
        </row>
        <row r="1697">
          <cell r="A1697">
            <v>15</v>
          </cell>
          <cell r="B1697" t="str">
            <v>VEM0000</v>
          </cell>
          <cell r="D1697" t="str">
            <v>P66</v>
          </cell>
          <cell r="F1697" t="str">
            <v>GE</v>
          </cell>
          <cell r="G1697" t="str">
            <v>5KC38LG151</v>
          </cell>
          <cell r="I1697" t="str">
            <v>56C</v>
          </cell>
          <cell r="K1697" t="str">
            <v>.5</v>
          </cell>
          <cell r="L1697" t="str">
            <v>3540</v>
          </cell>
          <cell r="R1697" t="str">
            <v>Continuous</v>
          </cell>
          <cell r="V1697" t="str">
            <v>1</v>
          </cell>
          <cell r="W1697" t="str">
            <v>60</v>
          </cell>
          <cell r="X1697" t="str">
            <v>115</v>
          </cell>
          <cell r="Y1697" t="str">
            <v>6.8</v>
          </cell>
          <cell r="AD1697" t="str">
            <v>0</v>
          </cell>
          <cell r="AG1697" t="str">
            <v>HP</v>
          </cell>
          <cell r="AV1697" t="b">
            <v>0</v>
          </cell>
          <cell r="HD1697" t="str">
            <v>Repair Shop</v>
          </cell>
          <cell r="HT1697" t="b">
            <v>0</v>
          </cell>
          <cell r="HU1697" t="str">
            <v>PHILLIPS 66</v>
          </cell>
        </row>
        <row r="1698">
          <cell r="A1698">
            <v>13</v>
          </cell>
          <cell r="B1698" t="str">
            <v>N/A</v>
          </cell>
          <cell r="D1698" t="str">
            <v>SUPERIOREQUIP</v>
          </cell>
          <cell r="F1698" t="str">
            <v>Baldor</v>
          </cell>
          <cell r="G1698" t="str">
            <v>CL3712T</v>
          </cell>
          <cell r="I1698" t="str">
            <v>215TC</v>
          </cell>
          <cell r="K1698" t="str">
            <v>10</v>
          </cell>
          <cell r="L1698" t="str">
            <v>1725</v>
          </cell>
          <cell r="X1698" t="str">
            <v>230</v>
          </cell>
          <cell r="AD1698" t="str">
            <v>-1</v>
          </cell>
          <cell r="AG1698" t="str">
            <v>HP</v>
          </cell>
          <cell r="AV1698" t="b">
            <v>0</v>
          </cell>
          <cell r="HD1698" t="str">
            <v>Repair Shop</v>
          </cell>
          <cell r="HT1698" t="b">
            <v>0</v>
          </cell>
          <cell r="HU1698" t="str">
            <v>SUPERIOR EQUIPMENT</v>
          </cell>
        </row>
        <row r="1699">
          <cell r="A1699">
            <v>1</v>
          </cell>
          <cell r="B1699" t="str">
            <v>RM1001</v>
          </cell>
          <cell r="D1699" t="str">
            <v>GMI_REBATE</v>
          </cell>
          <cell r="F1699" t="str">
            <v>Baldor</v>
          </cell>
          <cell r="H1699" t="str">
            <v>111222334444</v>
          </cell>
          <cell r="I1699" t="str">
            <v>256</v>
          </cell>
          <cell r="K1699" t="str">
            <v>100</v>
          </cell>
          <cell r="L1699" t="str">
            <v>1799</v>
          </cell>
          <cell r="AG1699" t="str">
            <v>HP</v>
          </cell>
          <cell r="AV1699" t="b">
            <v>0</v>
          </cell>
          <cell r="HD1699" t="str">
            <v>Repair Shop</v>
          </cell>
          <cell r="HT1699" t="b">
            <v>0</v>
          </cell>
          <cell r="HU1699" t="str">
            <v>Green Motor Initiative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cene3d>
          <a:camera prst="orthographicFront"/>
          <a:lightRig rig="threePt" dir="t"/>
        </a:scene3d>
        <a:sp3d>
          <a:bevelT/>
        </a:sp3d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.xml"/><Relationship Id="rId18" Type="http://schemas.openxmlformats.org/officeDocument/2006/relationships/ctrlProp" Target="../ctrlProps/ctrlProp25.xml"/><Relationship Id="rId26" Type="http://schemas.openxmlformats.org/officeDocument/2006/relationships/ctrlProp" Target="../ctrlProps/ctrlProp33.xml"/><Relationship Id="rId39" Type="http://schemas.openxmlformats.org/officeDocument/2006/relationships/ctrlProp" Target="../ctrlProps/ctrlProp46.xml"/><Relationship Id="rId21" Type="http://schemas.openxmlformats.org/officeDocument/2006/relationships/ctrlProp" Target="../ctrlProps/ctrlProp28.xml"/><Relationship Id="rId34" Type="http://schemas.openxmlformats.org/officeDocument/2006/relationships/ctrlProp" Target="../ctrlProps/ctrlProp41.xml"/><Relationship Id="rId42" Type="http://schemas.openxmlformats.org/officeDocument/2006/relationships/ctrlProp" Target="../ctrlProps/ctrlProp49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3.xml"/><Relationship Id="rId20" Type="http://schemas.openxmlformats.org/officeDocument/2006/relationships/ctrlProp" Target="../ctrlProps/ctrlProp27.xml"/><Relationship Id="rId29" Type="http://schemas.openxmlformats.org/officeDocument/2006/relationships/ctrlProp" Target="../ctrlProps/ctrlProp36.xml"/><Relationship Id="rId41" Type="http://schemas.openxmlformats.org/officeDocument/2006/relationships/ctrlProp" Target="../ctrlProps/ctrlProp48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24" Type="http://schemas.openxmlformats.org/officeDocument/2006/relationships/ctrlProp" Target="../ctrlProps/ctrlProp31.xml"/><Relationship Id="rId32" Type="http://schemas.openxmlformats.org/officeDocument/2006/relationships/ctrlProp" Target="../ctrlProps/ctrlProp39.xml"/><Relationship Id="rId37" Type="http://schemas.openxmlformats.org/officeDocument/2006/relationships/ctrlProp" Target="../ctrlProps/ctrlProp44.xml"/><Relationship Id="rId40" Type="http://schemas.openxmlformats.org/officeDocument/2006/relationships/ctrlProp" Target="../ctrlProps/ctrlProp47.xml"/><Relationship Id="rId5" Type="http://schemas.openxmlformats.org/officeDocument/2006/relationships/ctrlProp" Target="../ctrlProps/ctrlProp12.xml"/><Relationship Id="rId15" Type="http://schemas.openxmlformats.org/officeDocument/2006/relationships/ctrlProp" Target="../ctrlProps/ctrlProp22.xml"/><Relationship Id="rId23" Type="http://schemas.openxmlformats.org/officeDocument/2006/relationships/ctrlProp" Target="../ctrlProps/ctrlProp30.xml"/><Relationship Id="rId28" Type="http://schemas.openxmlformats.org/officeDocument/2006/relationships/ctrlProp" Target="../ctrlProps/ctrlProp35.xml"/><Relationship Id="rId36" Type="http://schemas.openxmlformats.org/officeDocument/2006/relationships/ctrlProp" Target="../ctrlProps/ctrlProp43.xml"/><Relationship Id="rId10" Type="http://schemas.openxmlformats.org/officeDocument/2006/relationships/ctrlProp" Target="../ctrlProps/ctrlProp17.xml"/><Relationship Id="rId19" Type="http://schemas.openxmlformats.org/officeDocument/2006/relationships/ctrlProp" Target="../ctrlProps/ctrlProp26.xml"/><Relationship Id="rId31" Type="http://schemas.openxmlformats.org/officeDocument/2006/relationships/ctrlProp" Target="../ctrlProps/ctrlProp38.xml"/><Relationship Id="rId4" Type="http://schemas.openxmlformats.org/officeDocument/2006/relationships/image" Target="../media/image4.emf"/><Relationship Id="rId9" Type="http://schemas.openxmlformats.org/officeDocument/2006/relationships/ctrlProp" Target="../ctrlProps/ctrlProp16.xml"/><Relationship Id="rId14" Type="http://schemas.openxmlformats.org/officeDocument/2006/relationships/ctrlProp" Target="../ctrlProps/ctrlProp21.xml"/><Relationship Id="rId22" Type="http://schemas.openxmlformats.org/officeDocument/2006/relationships/ctrlProp" Target="../ctrlProps/ctrlProp29.xml"/><Relationship Id="rId27" Type="http://schemas.openxmlformats.org/officeDocument/2006/relationships/ctrlProp" Target="../ctrlProps/ctrlProp34.xml"/><Relationship Id="rId30" Type="http://schemas.openxmlformats.org/officeDocument/2006/relationships/ctrlProp" Target="../ctrlProps/ctrlProp37.xml"/><Relationship Id="rId35" Type="http://schemas.openxmlformats.org/officeDocument/2006/relationships/ctrlProp" Target="../ctrlProps/ctrlProp42.xml"/><Relationship Id="rId8" Type="http://schemas.openxmlformats.org/officeDocument/2006/relationships/ctrlProp" Target="../ctrlProps/ctrlProp15.xml"/><Relationship Id="rId3" Type="http://schemas.openxmlformats.org/officeDocument/2006/relationships/control" Target="../activeX/activeX3.xml"/><Relationship Id="rId12" Type="http://schemas.openxmlformats.org/officeDocument/2006/relationships/ctrlProp" Target="../ctrlProps/ctrlProp19.xml"/><Relationship Id="rId17" Type="http://schemas.openxmlformats.org/officeDocument/2006/relationships/ctrlProp" Target="../ctrlProps/ctrlProp24.xml"/><Relationship Id="rId25" Type="http://schemas.openxmlformats.org/officeDocument/2006/relationships/ctrlProp" Target="../ctrlProps/ctrlProp32.xml"/><Relationship Id="rId33" Type="http://schemas.openxmlformats.org/officeDocument/2006/relationships/ctrlProp" Target="../ctrlProps/ctrlProp40.xml"/><Relationship Id="rId38" Type="http://schemas.openxmlformats.org/officeDocument/2006/relationships/ctrlProp" Target="../ctrlProps/ctrlProp45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4.xml"/><Relationship Id="rId18" Type="http://schemas.openxmlformats.org/officeDocument/2006/relationships/ctrlProp" Target="../ctrlProps/ctrlProp59.xml"/><Relationship Id="rId26" Type="http://schemas.openxmlformats.org/officeDocument/2006/relationships/ctrlProp" Target="../ctrlProps/ctrlProp67.xml"/><Relationship Id="rId3" Type="http://schemas.openxmlformats.org/officeDocument/2006/relationships/control" Target="../activeX/activeX4.xml"/><Relationship Id="rId21" Type="http://schemas.openxmlformats.org/officeDocument/2006/relationships/ctrlProp" Target="../ctrlProps/ctrlProp62.xml"/><Relationship Id="rId7" Type="http://schemas.openxmlformats.org/officeDocument/2006/relationships/control" Target="../activeX/activeX6.xml"/><Relationship Id="rId12" Type="http://schemas.openxmlformats.org/officeDocument/2006/relationships/ctrlProp" Target="../ctrlProps/ctrlProp53.xml"/><Relationship Id="rId17" Type="http://schemas.openxmlformats.org/officeDocument/2006/relationships/ctrlProp" Target="../ctrlProps/ctrlProp58.xml"/><Relationship Id="rId25" Type="http://schemas.openxmlformats.org/officeDocument/2006/relationships/ctrlProp" Target="../ctrlProps/ctrlProp66.xml"/><Relationship Id="rId33" Type="http://schemas.openxmlformats.org/officeDocument/2006/relationships/ctrlProp" Target="../ctrlProps/ctrlProp74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57.xml"/><Relationship Id="rId20" Type="http://schemas.openxmlformats.org/officeDocument/2006/relationships/ctrlProp" Target="../ctrlProps/ctrlProp61.xml"/><Relationship Id="rId29" Type="http://schemas.openxmlformats.org/officeDocument/2006/relationships/ctrlProp" Target="../ctrlProps/ctrlProp70.x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11" Type="http://schemas.openxmlformats.org/officeDocument/2006/relationships/ctrlProp" Target="../ctrlProps/ctrlProp52.xml"/><Relationship Id="rId24" Type="http://schemas.openxmlformats.org/officeDocument/2006/relationships/ctrlProp" Target="../ctrlProps/ctrlProp65.xml"/><Relationship Id="rId32" Type="http://schemas.openxmlformats.org/officeDocument/2006/relationships/ctrlProp" Target="../ctrlProps/ctrlProp73.xml"/><Relationship Id="rId5" Type="http://schemas.openxmlformats.org/officeDocument/2006/relationships/control" Target="../activeX/activeX5.xml"/><Relationship Id="rId15" Type="http://schemas.openxmlformats.org/officeDocument/2006/relationships/ctrlProp" Target="../ctrlProps/ctrlProp56.xml"/><Relationship Id="rId23" Type="http://schemas.openxmlformats.org/officeDocument/2006/relationships/ctrlProp" Target="../ctrlProps/ctrlProp64.xml"/><Relationship Id="rId28" Type="http://schemas.openxmlformats.org/officeDocument/2006/relationships/ctrlProp" Target="../ctrlProps/ctrlProp69.xml"/><Relationship Id="rId10" Type="http://schemas.openxmlformats.org/officeDocument/2006/relationships/ctrlProp" Target="../ctrlProps/ctrlProp51.xml"/><Relationship Id="rId19" Type="http://schemas.openxmlformats.org/officeDocument/2006/relationships/ctrlProp" Target="../ctrlProps/ctrlProp60.xml"/><Relationship Id="rId31" Type="http://schemas.openxmlformats.org/officeDocument/2006/relationships/ctrlProp" Target="../ctrlProps/ctrlProp72.xml"/><Relationship Id="rId4" Type="http://schemas.openxmlformats.org/officeDocument/2006/relationships/image" Target="../media/image5.emf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Relationship Id="rId22" Type="http://schemas.openxmlformats.org/officeDocument/2006/relationships/ctrlProp" Target="../ctrlProps/ctrlProp63.xml"/><Relationship Id="rId27" Type="http://schemas.openxmlformats.org/officeDocument/2006/relationships/ctrlProp" Target="../ctrlProps/ctrlProp68.xml"/><Relationship Id="rId30" Type="http://schemas.openxmlformats.org/officeDocument/2006/relationships/ctrlProp" Target="../ctrlProps/ctrlProp71.xml"/><Relationship Id="rId8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3.xml"/><Relationship Id="rId18" Type="http://schemas.openxmlformats.org/officeDocument/2006/relationships/ctrlProp" Target="../ctrlProps/ctrlProp88.xml"/><Relationship Id="rId26" Type="http://schemas.openxmlformats.org/officeDocument/2006/relationships/ctrlProp" Target="../ctrlProps/ctrlProp96.xml"/><Relationship Id="rId39" Type="http://schemas.openxmlformats.org/officeDocument/2006/relationships/ctrlProp" Target="../ctrlProps/ctrlProp109.xml"/><Relationship Id="rId21" Type="http://schemas.openxmlformats.org/officeDocument/2006/relationships/ctrlProp" Target="../ctrlProps/ctrlProp91.xml"/><Relationship Id="rId34" Type="http://schemas.openxmlformats.org/officeDocument/2006/relationships/ctrlProp" Target="../ctrlProps/ctrlProp104.xml"/><Relationship Id="rId7" Type="http://schemas.openxmlformats.org/officeDocument/2006/relationships/ctrlProp" Target="../ctrlProps/ctrlProp77.xml"/><Relationship Id="rId12" Type="http://schemas.openxmlformats.org/officeDocument/2006/relationships/ctrlProp" Target="../ctrlProps/ctrlProp82.xml"/><Relationship Id="rId17" Type="http://schemas.openxmlformats.org/officeDocument/2006/relationships/ctrlProp" Target="../ctrlProps/ctrlProp87.xml"/><Relationship Id="rId25" Type="http://schemas.openxmlformats.org/officeDocument/2006/relationships/ctrlProp" Target="../ctrlProps/ctrlProp95.xml"/><Relationship Id="rId33" Type="http://schemas.openxmlformats.org/officeDocument/2006/relationships/ctrlProp" Target="../ctrlProps/ctrlProp103.xml"/><Relationship Id="rId38" Type="http://schemas.openxmlformats.org/officeDocument/2006/relationships/ctrlProp" Target="../ctrlProps/ctrlProp108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86.xml"/><Relationship Id="rId20" Type="http://schemas.openxmlformats.org/officeDocument/2006/relationships/ctrlProp" Target="../ctrlProps/ctrlProp90.xml"/><Relationship Id="rId29" Type="http://schemas.openxmlformats.org/officeDocument/2006/relationships/ctrlProp" Target="../ctrlProps/ctrlProp99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76.xml"/><Relationship Id="rId11" Type="http://schemas.openxmlformats.org/officeDocument/2006/relationships/ctrlProp" Target="../ctrlProps/ctrlProp81.xml"/><Relationship Id="rId24" Type="http://schemas.openxmlformats.org/officeDocument/2006/relationships/ctrlProp" Target="../ctrlProps/ctrlProp94.xml"/><Relationship Id="rId32" Type="http://schemas.openxmlformats.org/officeDocument/2006/relationships/ctrlProp" Target="../ctrlProps/ctrlProp102.xml"/><Relationship Id="rId37" Type="http://schemas.openxmlformats.org/officeDocument/2006/relationships/ctrlProp" Target="../ctrlProps/ctrlProp107.xml"/><Relationship Id="rId40" Type="http://schemas.openxmlformats.org/officeDocument/2006/relationships/ctrlProp" Target="../ctrlProps/ctrlProp110.xml"/><Relationship Id="rId5" Type="http://schemas.openxmlformats.org/officeDocument/2006/relationships/ctrlProp" Target="../ctrlProps/ctrlProp75.xml"/><Relationship Id="rId15" Type="http://schemas.openxmlformats.org/officeDocument/2006/relationships/ctrlProp" Target="../ctrlProps/ctrlProp85.xml"/><Relationship Id="rId23" Type="http://schemas.openxmlformats.org/officeDocument/2006/relationships/ctrlProp" Target="../ctrlProps/ctrlProp93.xml"/><Relationship Id="rId28" Type="http://schemas.openxmlformats.org/officeDocument/2006/relationships/ctrlProp" Target="../ctrlProps/ctrlProp98.xml"/><Relationship Id="rId36" Type="http://schemas.openxmlformats.org/officeDocument/2006/relationships/ctrlProp" Target="../ctrlProps/ctrlProp106.xml"/><Relationship Id="rId10" Type="http://schemas.openxmlformats.org/officeDocument/2006/relationships/ctrlProp" Target="../ctrlProps/ctrlProp80.xml"/><Relationship Id="rId19" Type="http://schemas.openxmlformats.org/officeDocument/2006/relationships/ctrlProp" Target="../ctrlProps/ctrlProp89.xml"/><Relationship Id="rId31" Type="http://schemas.openxmlformats.org/officeDocument/2006/relationships/ctrlProp" Target="../ctrlProps/ctrlProp101.xml"/><Relationship Id="rId4" Type="http://schemas.openxmlformats.org/officeDocument/2006/relationships/image" Target="../media/image8.emf"/><Relationship Id="rId9" Type="http://schemas.openxmlformats.org/officeDocument/2006/relationships/ctrlProp" Target="../ctrlProps/ctrlProp79.xml"/><Relationship Id="rId14" Type="http://schemas.openxmlformats.org/officeDocument/2006/relationships/ctrlProp" Target="../ctrlProps/ctrlProp84.xml"/><Relationship Id="rId22" Type="http://schemas.openxmlformats.org/officeDocument/2006/relationships/ctrlProp" Target="../ctrlProps/ctrlProp92.xml"/><Relationship Id="rId27" Type="http://schemas.openxmlformats.org/officeDocument/2006/relationships/ctrlProp" Target="../ctrlProps/ctrlProp97.xml"/><Relationship Id="rId30" Type="http://schemas.openxmlformats.org/officeDocument/2006/relationships/ctrlProp" Target="../ctrlProps/ctrlProp100.xml"/><Relationship Id="rId35" Type="http://schemas.openxmlformats.org/officeDocument/2006/relationships/ctrlProp" Target="../ctrlProps/ctrlProp105.xml"/><Relationship Id="rId8" Type="http://schemas.openxmlformats.org/officeDocument/2006/relationships/ctrlProp" Target="../ctrlProps/ctrlProp78.xml"/><Relationship Id="rId3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1.xml"/><Relationship Id="rId13" Type="http://schemas.openxmlformats.org/officeDocument/2006/relationships/ctrlProp" Target="../ctrlProps/ctrlProp116.xml"/><Relationship Id="rId18" Type="http://schemas.openxmlformats.org/officeDocument/2006/relationships/ctrlProp" Target="../ctrlProps/ctrlProp121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24.xml"/><Relationship Id="rId7" Type="http://schemas.openxmlformats.org/officeDocument/2006/relationships/image" Target="../media/image10.emf"/><Relationship Id="rId12" Type="http://schemas.openxmlformats.org/officeDocument/2006/relationships/ctrlProp" Target="../ctrlProps/ctrlProp115.xml"/><Relationship Id="rId17" Type="http://schemas.openxmlformats.org/officeDocument/2006/relationships/ctrlProp" Target="../ctrlProps/ctrlProp12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9.xml"/><Relationship Id="rId20" Type="http://schemas.openxmlformats.org/officeDocument/2006/relationships/ctrlProp" Target="../ctrlProps/ctrlProp1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ctrlProp" Target="../ctrlProps/ctrlProp114.xml"/><Relationship Id="rId5" Type="http://schemas.openxmlformats.org/officeDocument/2006/relationships/image" Target="../media/image9.emf"/><Relationship Id="rId15" Type="http://schemas.openxmlformats.org/officeDocument/2006/relationships/ctrlProp" Target="../ctrlProps/ctrlProp118.xml"/><Relationship Id="rId23" Type="http://schemas.openxmlformats.org/officeDocument/2006/relationships/ctrlProp" Target="../ctrlProps/ctrlProp126.xml"/><Relationship Id="rId10" Type="http://schemas.openxmlformats.org/officeDocument/2006/relationships/ctrlProp" Target="../ctrlProps/ctrlProp113.xml"/><Relationship Id="rId19" Type="http://schemas.openxmlformats.org/officeDocument/2006/relationships/ctrlProp" Target="../ctrlProps/ctrlProp122.xml"/><Relationship Id="rId4" Type="http://schemas.openxmlformats.org/officeDocument/2006/relationships/control" Target="../activeX/activeX8.xml"/><Relationship Id="rId9" Type="http://schemas.openxmlformats.org/officeDocument/2006/relationships/ctrlProp" Target="../ctrlProps/ctrlProp112.xml"/><Relationship Id="rId14" Type="http://schemas.openxmlformats.org/officeDocument/2006/relationships/ctrlProp" Target="../ctrlProps/ctrlProp117.xml"/><Relationship Id="rId22" Type="http://schemas.openxmlformats.org/officeDocument/2006/relationships/ctrlProp" Target="../ctrlProps/ctrlProp125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47.xml"/><Relationship Id="rId21" Type="http://schemas.openxmlformats.org/officeDocument/2006/relationships/ctrlProp" Target="../ctrlProps/ctrlProp142.xml"/><Relationship Id="rId42" Type="http://schemas.openxmlformats.org/officeDocument/2006/relationships/ctrlProp" Target="../ctrlProps/ctrlProp163.xml"/><Relationship Id="rId47" Type="http://schemas.openxmlformats.org/officeDocument/2006/relationships/ctrlProp" Target="../ctrlProps/ctrlProp168.xml"/><Relationship Id="rId63" Type="http://schemas.openxmlformats.org/officeDocument/2006/relationships/ctrlProp" Target="../ctrlProps/ctrlProp184.xml"/><Relationship Id="rId68" Type="http://schemas.openxmlformats.org/officeDocument/2006/relationships/ctrlProp" Target="../ctrlProps/ctrlProp189.xml"/><Relationship Id="rId16" Type="http://schemas.openxmlformats.org/officeDocument/2006/relationships/ctrlProp" Target="../ctrlProps/ctrlProp137.xml"/><Relationship Id="rId11" Type="http://schemas.openxmlformats.org/officeDocument/2006/relationships/ctrlProp" Target="../ctrlProps/ctrlProp132.xml"/><Relationship Id="rId24" Type="http://schemas.openxmlformats.org/officeDocument/2006/relationships/ctrlProp" Target="../ctrlProps/ctrlProp145.xml"/><Relationship Id="rId32" Type="http://schemas.openxmlformats.org/officeDocument/2006/relationships/ctrlProp" Target="../ctrlProps/ctrlProp153.xml"/><Relationship Id="rId37" Type="http://schemas.openxmlformats.org/officeDocument/2006/relationships/ctrlProp" Target="../ctrlProps/ctrlProp158.xml"/><Relationship Id="rId40" Type="http://schemas.openxmlformats.org/officeDocument/2006/relationships/ctrlProp" Target="../ctrlProps/ctrlProp161.xml"/><Relationship Id="rId45" Type="http://schemas.openxmlformats.org/officeDocument/2006/relationships/ctrlProp" Target="../ctrlProps/ctrlProp166.xml"/><Relationship Id="rId53" Type="http://schemas.openxmlformats.org/officeDocument/2006/relationships/ctrlProp" Target="../ctrlProps/ctrlProp174.xml"/><Relationship Id="rId58" Type="http://schemas.openxmlformats.org/officeDocument/2006/relationships/ctrlProp" Target="../ctrlProps/ctrlProp179.xml"/><Relationship Id="rId66" Type="http://schemas.openxmlformats.org/officeDocument/2006/relationships/ctrlProp" Target="../ctrlProps/ctrlProp187.xml"/><Relationship Id="rId74" Type="http://schemas.openxmlformats.org/officeDocument/2006/relationships/ctrlProp" Target="../ctrlProps/ctrlProp195.xml"/><Relationship Id="rId5" Type="http://schemas.openxmlformats.org/officeDocument/2006/relationships/image" Target="../media/image11.emf"/><Relationship Id="rId61" Type="http://schemas.openxmlformats.org/officeDocument/2006/relationships/ctrlProp" Target="../ctrlProps/ctrlProp182.xml"/><Relationship Id="rId19" Type="http://schemas.openxmlformats.org/officeDocument/2006/relationships/ctrlProp" Target="../ctrlProps/ctrlProp140.xml"/><Relationship Id="rId14" Type="http://schemas.openxmlformats.org/officeDocument/2006/relationships/ctrlProp" Target="../ctrlProps/ctrlProp135.xml"/><Relationship Id="rId22" Type="http://schemas.openxmlformats.org/officeDocument/2006/relationships/ctrlProp" Target="../ctrlProps/ctrlProp143.xml"/><Relationship Id="rId27" Type="http://schemas.openxmlformats.org/officeDocument/2006/relationships/ctrlProp" Target="../ctrlProps/ctrlProp148.xml"/><Relationship Id="rId30" Type="http://schemas.openxmlformats.org/officeDocument/2006/relationships/ctrlProp" Target="../ctrlProps/ctrlProp151.xml"/><Relationship Id="rId35" Type="http://schemas.openxmlformats.org/officeDocument/2006/relationships/ctrlProp" Target="../ctrlProps/ctrlProp156.xml"/><Relationship Id="rId43" Type="http://schemas.openxmlformats.org/officeDocument/2006/relationships/ctrlProp" Target="../ctrlProps/ctrlProp164.xml"/><Relationship Id="rId48" Type="http://schemas.openxmlformats.org/officeDocument/2006/relationships/ctrlProp" Target="../ctrlProps/ctrlProp169.xml"/><Relationship Id="rId56" Type="http://schemas.openxmlformats.org/officeDocument/2006/relationships/ctrlProp" Target="../ctrlProps/ctrlProp177.xml"/><Relationship Id="rId64" Type="http://schemas.openxmlformats.org/officeDocument/2006/relationships/ctrlProp" Target="../ctrlProps/ctrlProp185.xml"/><Relationship Id="rId69" Type="http://schemas.openxmlformats.org/officeDocument/2006/relationships/ctrlProp" Target="../ctrlProps/ctrlProp190.xml"/><Relationship Id="rId77" Type="http://schemas.openxmlformats.org/officeDocument/2006/relationships/ctrlProp" Target="../ctrlProps/ctrlProp198.xml"/><Relationship Id="rId8" Type="http://schemas.openxmlformats.org/officeDocument/2006/relationships/ctrlProp" Target="../ctrlProps/ctrlProp129.xml"/><Relationship Id="rId51" Type="http://schemas.openxmlformats.org/officeDocument/2006/relationships/ctrlProp" Target="../ctrlProps/ctrlProp172.xml"/><Relationship Id="rId72" Type="http://schemas.openxmlformats.org/officeDocument/2006/relationships/ctrlProp" Target="../ctrlProps/ctrlProp1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133.xml"/><Relationship Id="rId17" Type="http://schemas.openxmlformats.org/officeDocument/2006/relationships/ctrlProp" Target="../ctrlProps/ctrlProp138.xml"/><Relationship Id="rId25" Type="http://schemas.openxmlformats.org/officeDocument/2006/relationships/ctrlProp" Target="../ctrlProps/ctrlProp146.xml"/><Relationship Id="rId33" Type="http://schemas.openxmlformats.org/officeDocument/2006/relationships/ctrlProp" Target="../ctrlProps/ctrlProp154.xml"/><Relationship Id="rId38" Type="http://schemas.openxmlformats.org/officeDocument/2006/relationships/ctrlProp" Target="../ctrlProps/ctrlProp159.xml"/><Relationship Id="rId46" Type="http://schemas.openxmlformats.org/officeDocument/2006/relationships/ctrlProp" Target="../ctrlProps/ctrlProp167.xml"/><Relationship Id="rId59" Type="http://schemas.openxmlformats.org/officeDocument/2006/relationships/ctrlProp" Target="../ctrlProps/ctrlProp180.xml"/><Relationship Id="rId67" Type="http://schemas.openxmlformats.org/officeDocument/2006/relationships/ctrlProp" Target="../ctrlProps/ctrlProp188.xml"/><Relationship Id="rId20" Type="http://schemas.openxmlformats.org/officeDocument/2006/relationships/ctrlProp" Target="../ctrlProps/ctrlProp141.xml"/><Relationship Id="rId41" Type="http://schemas.openxmlformats.org/officeDocument/2006/relationships/ctrlProp" Target="../ctrlProps/ctrlProp162.xml"/><Relationship Id="rId54" Type="http://schemas.openxmlformats.org/officeDocument/2006/relationships/ctrlProp" Target="../ctrlProps/ctrlProp175.xml"/><Relationship Id="rId62" Type="http://schemas.openxmlformats.org/officeDocument/2006/relationships/ctrlProp" Target="../ctrlProps/ctrlProp183.xml"/><Relationship Id="rId70" Type="http://schemas.openxmlformats.org/officeDocument/2006/relationships/ctrlProp" Target="../ctrlProps/ctrlProp191.xml"/><Relationship Id="rId75" Type="http://schemas.openxmlformats.org/officeDocument/2006/relationships/ctrlProp" Target="../ctrlProps/ctrlProp19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7.xml"/><Relationship Id="rId15" Type="http://schemas.openxmlformats.org/officeDocument/2006/relationships/ctrlProp" Target="../ctrlProps/ctrlProp136.xml"/><Relationship Id="rId23" Type="http://schemas.openxmlformats.org/officeDocument/2006/relationships/ctrlProp" Target="../ctrlProps/ctrlProp144.xml"/><Relationship Id="rId28" Type="http://schemas.openxmlformats.org/officeDocument/2006/relationships/ctrlProp" Target="../ctrlProps/ctrlProp149.xml"/><Relationship Id="rId36" Type="http://schemas.openxmlformats.org/officeDocument/2006/relationships/ctrlProp" Target="../ctrlProps/ctrlProp157.xml"/><Relationship Id="rId49" Type="http://schemas.openxmlformats.org/officeDocument/2006/relationships/ctrlProp" Target="../ctrlProps/ctrlProp170.xml"/><Relationship Id="rId57" Type="http://schemas.openxmlformats.org/officeDocument/2006/relationships/ctrlProp" Target="../ctrlProps/ctrlProp178.xml"/><Relationship Id="rId10" Type="http://schemas.openxmlformats.org/officeDocument/2006/relationships/ctrlProp" Target="../ctrlProps/ctrlProp131.xml"/><Relationship Id="rId31" Type="http://schemas.openxmlformats.org/officeDocument/2006/relationships/ctrlProp" Target="../ctrlProps/ctrlProp152.xml"/><Relationship Id="rId44" Type="http://schemas.openxmlformats.org/officeDocument/2006/relationships/ctrlProp" Target="../ctrlProps/ctrlProp165.xml"/><Relationship Id="rId52" Type="http://schemas.openxmlformats.org/officeDocument/2006/relationships/ctrlProp" Target="../ctrlProps/ctrlProp173.xml"/><Relationship Id="rId60" Type="http://schemas.openxmlformats.org/officeDocument/2006/relationships/ctrlProp" Target="../ctrlProps/ctrlProp181.xml"/><Relationship Id="rId65" Type="http://schemas.openxmlformats.org/officeDocument/2006/relationships/ctrlProp" Target="../ctrlProps/ctrlProp186.xml"/><Relationship Id="rId73" Type="http://schemas.openxmlformats.org/officeDocument/2006/relationships/ctrlProp" Target="../ctrlProps/ctrlProp194.xml"/><Relationship Id="rId78" Type="http://schemas.openxmlformats.org/officeDocument/2006/relationships/ctrlProp" Target="../ctrlProps/ctrlProp199.xml"/><Relationship Id="rId4" Type="http://schemas.openxmlformats.org/officeDocument/2006/relationships/control" Target="../activeX/activeX10.xml"/><Relationship Id="rId9" Type="http://schemas.openxmlformats.org/officeDocument/2006/relationships/ctrlProp" Target="../ctrlProps/ctrlProp130.xml"/><Relationship Id="rId13" Type="http://schemas.openxmlformats.org/officeDocument/2006/relationships/ctrlProp" Target="../ctrlProps/ctrlProp134.xml"/><Relationship Id="rId18" Type="http://schemas.openxmlformats.org/officeDocument/2006/relationships/ctrlProp" Target="../ctrlProps/ctrlProp139.xml"/><Relationship Id="rId39" Type="http://schemas.openxmlformats.org/officeDocument/2006/relationships/ctrlProp" Target="../ctrlProps/ctrlProp160.xml"/><Relationship Id="rId34" Type="http://schemas.openxmlformats.org/officeDocument/2006/relationships/ctrlProp" Target="../ctrlProps/ctrlProp155.xml"/><Relationship Id="rId50" Type="http://schemas.openxmlformats.org/officeDocument/2006/relationships/ctrlProp" Target="../ctrlProps/ctrlProp171.xml"/><Relationship Id="rId55" Type="http://schemas.openxmlformats.org/officeDocument/2006/relationships/ctrlProp" Target="../ctrlProps/ctrlProp176.xml"/><Relationship Id="rId76" Type="http://schemas.openxmlformats.org/officeDocument/2006/relationships/ctrlProp" Target="../ctrlProps/ctrlProp197.xml"/><Relationship Id="rId7" Type="http://schemas.openxmlformats.org/officeDocument/2006/relationships/ctrlProp" Target="../ctrlProps/ctrlProp128.xml"/><Relationship Id="rId71" Type="http://schemas.openxmlformats.org/officeDocument/2006/relationships/ctrlProp" Target="../ctrlProps/ctrlProp192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150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6.xml"/><Relationship Id="rId18" Type="http://schemas.openxmlformats.org/officeDocument/2006/relationships/ctrlProp" Target="../ctrlProps/ctrlProp211.xml"/><Relationship Id="rId26" Type="http://schemas.openxmlformats.org/officeDocument/2006/relationships/ctrlProp" Target="../ctrlProps/ctrlProp219.xml"/><Relationship Id="rId39" Type="http://schemas.openxmlformats.org/officeDocument/2006/relationships/ctrlProp" Target="../ctrlProps/ctrlProp232.xml"/><Relationship Id="rId21" Type="http://schemas.openxmlformats.org/officeDocument/2006/relationships/ctrlProp" Target="../ctrlProps/ctrlProp214.xml"/><Relationship Id="rId34" Type="http://schemas.openxmlformats.org/officeDocument/2006/relationships/ctrlProp" Target="../ctrlProps/ctrlProp227.xml"/><Relationship Id="rId42" Type="http://schemas.openxmlformats.org/officeDocument/2006/relationships/ctrlProp" Target="../ctrlProps/ctrlProp235.xml"/><Relationship Id="rId47" Type="http://schemas.openxmlformats.org/officeDocument/2006/relationships/ctrlProp" Target="../ctrlProps/ctrlProp240.xml"/><Relationship Id="rId50" Type="http://schemas.openxmlformats.org/officeDocument/2006/relationships/ctrlProp" Target="../ctrlProps/ctrlProp243.xml"/><Relationship Id="rId7" Type="http://schemas.openxmlformats.org/officeDocument/2006/relationships/ctrlProp" Target="../ctrlProps/ctrlProp200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209.xml"/><Relationship Id="rId29" Type="http://schemas.openxmlformats.org/officeDocument/2006/relationships/ctrlProp" Target="../ctrlProps/ctrlProp222.xml"/><Relationship Id="rId11" Type="http://schemas.openxmlformats.org/officeDocument/2006/relationships/ctrlProp" Target="../ctrlProps/ctrlProp204.xml"/><Relationship Id="rId24" Type="http://schemas.openxmlformats.org/officeDocument/2006/relationships/ctrlProp" Target="../ctrlProps/ctrlProp217.xml"/><Relationship Id="rId32" Type="http://schemas.openxmlformats.org/officeDocument/2006/relationships/ctrlProp" Target="../ctrlProps/ctrlProp225.xml"/><Relationship Id="rId37" Type="http://schemas.openxmlformats.org/officeDocument/2006/relationships/ctrlProp" Target="../ctrlProps/ctrlProp230.xml"/><Relationship Id="rId40" Type="http://schemas.openxmlformats.org/officeDocument/2006/relationships/ctrlProp" Target="../ctrlProps/ctrlProp233.xml"/><Relationship Id="rId45" Type="http://schemas.openxmlformats.org/officeDocument/2006/relationships/ctrlProp" Target="../ctrlProps/ctrlProp238.xml"/><Relationship Id="rId5" Type="http://schemas.openxmlformats.org/officeDocument/2006/relationships/control" Target="../activeX/activeX12.xml"/><Relationship Id="rId15" Type="http://schemas.openxmlformats.org/officeDocument/2006/relationships/ctrlProp" Target="../ctrlProps/ctrlProp208.xml"/><Relationship Id="rId23" Type="http://schemas.openxmlformats.org/officeDocument/2006/relationships/ctrlProp" Target="../ctrlProps/ctrlProp216.xml"/><Relationship Id="rId28" Type="http://schemas.openxmlformats.org/officeDocument/2006/relationships/ctrlProp" Target="../ctrlProps/ctrlProp221.xml"/><Relationship Id="rId36" Type="http://schemas.openxmlformats.org/officeDocument/2006/relationships/ctrlProp" Target="../ctrlProps/ctrlProp229.xml"/><Relationship Id="rId49" Type="http://schemas.openxmlformats.org/officeDocument/2006/relationships/ctrlProp" Target="../ctrlProps/ctrlProp242.xml"/><Relationship Id="rId10" Type="http://schemas.openxmlformats.org/officeDocument/2006/relationships/ctrlProp" Target="../ctrlProps/ctrlProp203.xml"/><Relationship Id="rId19" Type="http://schemas.openxmlformats.org/officeDocument/2006/relationships/ctrlProp" Target="../ctrlProps/ctrlProp212.xml"/><Relationship Id="rId31" Type="http://schemas.openxmlformats.org/officeDocument/2006/relationships/ctrlProp" Target="../ctrlProps/ctrlProp224.xml"/><Relationship Id="rId44" Type="http://schemas.openxmlformats.org/officeDocument/2006/relationships/ctrlProp" Target="../ctrlProps/ctrlProp237.xml"/><Relationship Id="rId52" Type="http://schemas.openxmlformats.org/officeDocument/2006/relationships/ctrlProp" Target="../ctrlProps/ctrlProp245.xml"/><Relationship Id="rId4" Type="http://schemas.openxmlformats.org/officeDocument/2006/relationships/image" Target="../media/image12.emf"/><Relationship Id="rId9" Type="http://schemas.openxmlformats.org/officeDocument/2006/relationships/ctrlProp" Target="../ctrlProps/ctrlProp202.xml"/><Relationship Id="rId14" Type="http://schemas.openxmlformats.org/officeDocument/2006/relationships/ctrlProp" Target="../ctrlProps/ctrlProp207.xml"/><Relationship Id="rId22" Type="http://schemas.openxmlformats.org/officeDocument/2006/relationships/ctrlProp" Target="../ctrlProps/ctrlProp215.xml"/><Relationship Id="rId27" Type="http://schemas.openxmlformats.org/officeDocument/2006/relationships/ctrlProp" Target="../ctrlProps/ctrlProp220.xml"/><Relationship Id="rId30" Type="http://schemas.openxmlformats.org/officeDocument/2006/relationships/ctrlProp" Target="../ctrlProps/ctrlProp223.xml"/><Relationship Id="rId35" Type="http://schemas.openxmlformats.org/officeDocument/2006/relationships/ctrlProp" Target="../ctrlProps/ctrlProp228.xml"/><Relationship Id="rId43" Type="http://schemas.openxmlformats.org/officeDocument/2006/relationships/ctrlProp" Target="../ctrlProps/ctrlProp236.xml"/><Relationship Id="rId48" Type="http://schemas.openxmlformats.org/officeDocument/2006/relationships/ctrlProp" Target="../ctrlProps/ctrlProp241.xml"/><Relationship Id="rId8" Type="http://schemas.openxmlformats.org/officeDocument/2006/relationships/ctrlProp" Target="../ctrlProps/ctrlProp201.xml"/><Relationship Id="rId51" Type="http://schemas.openxmlformats.org/officeDocument/2006/relationships/ctrlProp" Target="../ctrlProps/ctrlProp244.xml"/><Relationship Id="rId3" Type="http://schemas.openxmlformats.org/officeDocument/2006/relationships/control" Target="../activeX/activeX11.xml"/><Relationship Id="rId12" Type="http://schemas.openxmlformats.org/officeDocument/2006/relationships/ctrlProp" Target="../ctrlProps/ctrlProp205.xml"/><Relationship Id="rId17" Type="http://schemas.openxmlformats.org/officeDocument/2006/relationships/ctrlProp" Target="../ctrlProps/ctrlProp210.xml"/><Relationship Id="rId25" Type="http://schemas.openxmlformats.org/officeDocument/2006/relationships/ctrlProp" Target="../ctrlProps/ctrlProp218.xml"/><Relationship Id="rId33" Type="http://schemas.openxmlformats.org/officeDocument/2006/relationships/ctrlProp" Target="../ctrlProps/ctrlProp226.xml"/><Relationship Id="rId38" Type="http://schemas.openxmlformats.org/officeDocument/2006/relationships/ctrlProp" Target="../ctrlProps/ctrlProp231.xml"/><Relationship Id="rId46" Type="http://schemas.openxmlformats.org/officeDocument/2006/relationships/ctrlProp" Target="../ctrlProps/ctrlProp239.xml"/><Relationship Id="rId20" Type="http://schemas.openxmlformats.org/officeDocument/2006/relationships/ctrlProp" Target="../ctrlProps/ctrlProp213.xml"/><Relationship Id="rId41" Type="http://schemas.openxmlformats.org/officeDocument/2006/relationships/ctrlProp" Target="../ctrlProps/ctrlProp234.xml"/><Relationship Id="rId1" Type="http://schemas.openxmlformats.org/officeDocument/2006/relationships/drawing" Target="../drawings/drawing8.xml"/><Relationship Id="rId6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8.xml"/><Relationship Id="rId13" Type="http://schemas.openxmlformats.org/officeDocument/2006/relationships/ctrlProp" Target="../ctrlProps/ctrlProp253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47.xml"/><Relationship Id="rId12" Type="http://schemas.openxmlformats.org/officeDocument/2006/relationships/ctrlProp" Target="../ctrlProps/ctrlProp252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25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6.xml"/><Relationship Id="rId11" Type="http://schemas.openxmlformats.org/officeDocument/2006/relationships/ctrlProp" Target="../ctrlProps/ctrlProp251.xml"/><Relationship Id="rId5" Type="http://schemas.openxmlformats.org/officeDocument/2006/relationships/image" Target="../media/image14.emf"/><Relationship Id="rId15" Type="http://schemas.openxmlformats.org/officeDocument/2006/relationships/ctrlProp" Target="../ctrlProps/ctrlProp255.xml"/><Relationship Id="rId10" Type="http://schemas.openxmlformats.org/officeDocument/2006/relationships/ctrlProp" Target="../ctrlProps/ctrlProp250.xml"/><Relationship Id="rId4" Type="http://schemas.openxmlformats.org/officeDocument/2006/relationships/control" Target="../activeX/activeX13.xml"/><Relationship Id="rId9" Type="http://schemas.openxmlformats.org/officeDocument/2006/relationships/ctrlProp" Target="../ctrlProps/ctrlProp249.xml"/><Relationship Id="rId14" Type="http://schemas.openxmlformats.org/officeDocument/2006/relationships/ctrlProp" Target="../ctrlProps/ctrlProp254.x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0.xml"/><Relationship Id="rId18" Type="http://schemas.openxmlformats.org/officeDocument/2006/relationships/ctrlProp" Target="../ctrlProps/ctrlProp265.xml"/><Relationship Id="rId26" Type="http://schemas.openxmlformats.org/officeDocument/2006/relationships/ctrlProp" Target="../ctrlProps/ctrlProp273.xml"/><Relationship Id="rId39" Type="http://schemas.openxmlformats.org/officeDocument/2006/relationships/ctrlProp" Target="../ctrlProps/ctrlProp286.xml"/><Relationship Id="rId21" Type="http://schemas.openxmlformats.org/officeDocument/2006/relationships/ctrlProp" Target="../ctrlProps/ctrlProp268.xml"/><Relationship Id="rId34" Type="http://schemas.openxmlformats.org/officeDocument/2006/relationships/ctrlProp" Target="../ctrlProps/ctrlProp281.xml"/><Relationship Id="rId7" Type="http://schemas.openxmlformats.org/officeDocument/2006/relationships/image" Target="../media/image16.emf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263.xml"/><Relationship Id="rId20" Type="http://schemas.openxmlformats.org/officeDocument/2006/relationships/ctrlProp" Target="../ctrlProps/ctrlProp267.xml"/><Relationship Id="rId29" Type="http://schemas.openxmlformats.org/officeDocument/2006/relationships/ctrlProp" Target="../ctrlProps/ctrlProp276.xml"/><Relationship Id="rId41" Type="http://schemas.openxmlformats.org/officeDocument/2006/relationships/ctrlProp" Target="../ctrlProps/ctrlProp28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5.xml"/><Relationship Id="rId11" Type="http://schemas.openxmlformats.org/officeDocument/2006/relationships/ctrlProp" Target="../ctrlProps/ctrlProp258.xml"/><Relationship Id="rId24" Type="http://schemas.openxmlformats.org/officeDocument/2006/relationships/ctrlProp" Target="../ctrlProps/ctrlProp271.xml"/><Relationship Id="rId32" Type="http://schemas.openxmlformats.org/officeDocument/2006/relationships/ctrlProp" Target="../ctrlProps/ctrlProp279.xml"/><Relationship Id="rId37" Type="http://schemas.openxmlformats.org/officeDocument/2006/relationships/ctrlProp" Target="../ctrlProps/ctrlProp284.xml"/><Relationship Id="rId40" Type="http://schemas.openxmlformats.org/officeDocument/2006/relationships/ctrlProp" Target="../ctrlProps/ctrlProp287.xml"/><Relationship Id="rId5" Type="http://schemas.openxmlformats.org/officeDocument/2006/relationships/image" Target="../media/image15.emf"/><Relationship Id="rId15" Type="http://schemas.openxmlformats.org/officeDocument/2006/relationships/ctrlProp" Target="../ctrlProps/ctrlProp262.xml"/><Relationship Id="rId23" Type="http://schemas.openxmlformats.org/officeDocument/2006/relationships/ctrlProp" Target="../ctrlProps/ctrlProp270.xml"/><Relationship Id="rId28" Type="http://schemas.openxmlformats.org/officeDocument/2006/relationships/ctrlProp" Target="../ctrlProps/ctrlProp275.xml"/><Relationship Id="rId36" Type="http://schemas.openxmlformats.org/officeDocument/2006/relationships/ctrlProp" Target="../ctrlProps/ctrlProp283.xml"/><Relationship Id="rId10" Type="http://schemas.openxmlformats.org/officeDocument/2006/relationships/ctrlProp" Target="../ctrlProps/ctrlProp257.xml"/><Relationship Id="rId19" Type="http://schemas.openxmlformats.org/officeDocument/2006/relationships/ctrlProp" Target="../ctrlProps/ctrlProp266.xml"/><Relationship Id="rId31" Type="http://schemas.openxmlformats.org/officeDocument/2006/relationships/ctrlProp" Target="../ctrlProps/ctrlProp278.xml"/><Relationship Id="rId4" Type="http://schemas.openxmlformats.org/officeDocument/2006/relationships/control" Target="../activeX/activeX14.xml"/><Relationship Id="rId9" Type="http://schemas.openxmlformats.org/officeDocument/2006/relationships/image" Target="../media/image17.emf"/><Relationship Id="rId14" Type="http://schemas.openxmlformats.org/officeDocument/2006/relationships/ctrlProp" Target="../ctrlProps/ctrlProp261.xml"/><Relationship Id="rId22" Type="http://schemas.openxmlformats.org/officeDocument/2006/relationships/ctrlProp" Target="../ctrlProps/ctrlProp269.xml"/><Relationship Id="rId27" Type="http://schemas.openxmlformats.org/officeDocument/2006/relationships/ctrlProp" Target="../ctrlProps/ctrlProp274.xml"/><Relationship Id="rId30" Type="http://schemas.openxmlformats.org/officeDocument/2006/relationships/ctrlProp" Target="../ctrlProps/ctrlProp277.xml"/><Relationship Id="rId35" Type="http://schemas.openxmlformats.org/officeDocument/2006/relationships/ctrlProp" Target="../ctrlProps/ctrlProp282.xml"/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259.xml"/><Relationship Id="rId17" Type="http://schemas.openxmlformats.org/officeDocument/2006/relationships/ctrlProp" Target="../ctrlProps/ctrlProp264.xml"/><Relationship Id="rId25" Type="http://schemas.openxmlformats.org/officeDocument/2006/relationships/ctrlProp" Target="../ctrlProps/ctrlProp272.xml"/><Relationship Id="rId33" Type="http://schemas.openxmlformats.org/officeDocument/2006/relationships/ctrlProp" Target="../ctrlProps/ctrlProp280.xml"/><Relationship Id="rId38" Type="http://schemas.openxmlformats.org/officeDocument/2006/relationships/ctrlProp" Target="../ctrlProps/ctrlProp285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07.xml"/><Relationship Id="rId21" Type="http://schemas.openxmlformats.org/officeDocument/2006/relationships/ctrlProp" Target="../ctrlProps/ctrlProp302.xml"/><Relationship Id="rId42" Type="http://schemas.openxmlformats.org/officeDocument/2006/relationships/ctrlProp" Target="../ctrlProps/ctrlProp323.xml"/><Relationship Id="rId47" Type="http://schemas.openxmlformats.org/officeDocument/2006/relationships/ctrlProp" Target="../ctrlProps/ctrlProp328.xml"/><Relationship Id="rId63" Type="http://schemas.openxmlformats.org/officeDocument/2006/relationships/ctrlProp" Target="../ctrlProps/ctrlProp344.xml"/><Relationship Id="rId68" Type="http://schemas.openxmlformats.org/officeDocument/2006/relationships/ctrlProp" Target="../ctrlProps/ctrlProp349.xml"/><Relationship Id="rId16" Type="http://schemas.openxmlformats.org/officeDocument/2006/relationships/ctrlProp" Target="../ctrlProps/ctrlProp297.xml"/><Relationship Id="rId11" Type="http://schemas.openxmlformats.org/officeDocument/2006/relationships/ctrlProp" Target="../ctrlProps/ctrlProp292.xml"/><Relationship Id="rId24" Type="http://schemas.openxmlformats.org/officeDocument/2006/relationships/ctrlProp" Target="../ctrlProps/ctrlProp305.xml"/><Relationship Id="rId32" Type="http://schemas.openxmlformats.org/officeDocument/2006/relationships/ctrlProp" Target="../ctrlProps/ctrlProp313.xml"/><Relationship Id="rId37" Type="http://schemas.openxmlformats.org/officeDocument/2006/relationships/ctrlProp" Target="../ctrlProps/ctrlProp318.xml"/><Relationship Id="rId40" Type="http://schemas.openxmlformats.org/officeDocument/2006/relationships/ctrlProp" Target="../ctrlProps/ctrlProp321.xml"/><Relationship Id="rId45" Type="http://schemas.openxmlformats.org/officeDocument/2006/relationships/ctrlProp" Target="../ctrlProps/ctrlProp326.xml"/><Relationship Id="rId53" Type="http://schemas.openxmlformats.org/officeDocument/2006/relationships/ctrlProp" Target="../ctrlProps/ctrlProp334.xml"/><Relationship Id="rId58" Type="http://schemas.openxmlformats.org/officeDocument/2006/relationships/ctrlProp" Target="../ctrlProps/ctrlProp339.xml"/><Relationship Id="rId66" Type="http://schemas.openxmlformats.org/officeDocument/2006/relationships/ctrlProp" Target="../ctrlProps/ctrlProp347.xml"/><Relationship Id="rId74" Type="http://schemas.openxmlformats.org/officeDocument/2006/relationships/ctrlProp" Target="../ctrlProps/ctrlProp355.xml"/><Relationship Id="rId79" Type="http://schemas.openxmlformats.org/officeDocument/2006/relationships/ctrlProp" Target="../ctrlProps/ctrlProp360.xml"/><Relationship Id="rId5" Type="http://schemas.openxmlformats.org/officeDocument/2006/relationships/image" Target="../media/image18.emf"/><Relationship Id="rId61" Type="http://schemas.openxmlformats.org/officeDocument/2006/relationships/ctrlProp" Target="../ctrlProps/ctrlProp342.xml"/><Relationship Id="rId19" Type="http://schemas.openxmlformats.org/officeDocument/2006/relationships/ctrlProp" Target="../ctrlProps/ctrlProp300.xml"/><Relationship Id="rId14" Type="http://schemas.openxmlformats.org/officeDocument/2006/relationships/ctrlProp" Target="../ctrlProps/ctrlProp295.xml"/><Relationship Id="rId22" Type="http://schemas.openxmlformats.org/officeDocument/2006/relationships/ctrlProp" Target="../ctrlProps/ctrlProp303.xml"/><Relationship Id="rId27" Type="http://schemas.openxmlformats.org/officeDocument/2006/relationships/ctrlProp" Target="../ctrlProps/ctrlProp308.xml"/><Relationship Id="rId30" Type="http://schemas.openxmlformats.org/officeDocument/2006/relationships/ctrlProp" Target="../ctrlProps/ctrlProp311.xml"/><Relationship Id="rId35" Type="http://schemas.openxmlformats.org/officeDocument/2006/relationships/ctrlProp" Target="../ctrlProps/ctrlProp316.xml"/><Relationship Id="rId43" Type="http://schemas.openxmlformats.org/officeDocument/2006/relationships/ctrlProp" Target="../ctrlProps/ctrlProp324.xml"/><Relationship Id="rId48" Type="http://schemas.openxmlformats.org/officeDocument/2006/relationships/ctrlProp" Target="../ctrlProps/ctrlProp329.xml"/><Relationship Id="rId56" Type="http://schemas.openxmlformats.org/officeDocument/2006/relationships/ctrlProp" Target="../ctrlProps/ctrlProp337.xml"/><Relationship Id="rId64" Type="http://schemas.openxmlformats.org/officeDocument/2006/relationships/ctrlProp" Target="../ctrlProps/ctrlProp345.xml"/><Relationship Id="rId69" Type="http://schemas.openxmlformats.org/officeDocument/2006/relationships/ctrlProp" Target="../ctrlProps/ctrlProp350.xml"/><Relationship Id="rId77" Type="http://schemas.openxmlformats.org/officeDocument/2006/relationships/ctrlProp" Target="../ctrlProps/ctrlProp358.xml"/><Relationship Id="rId8" Type="http://schemas.openxmlformats.org/officeDocument/2006/relationships/ctrlProp" Target="../ctrlProps/ctrlProp289.xml"/><Relationship Id="rId51" Type="http://schemas.openxmlformats.org/officeDocument/2006/relationships/ctrlProp" Target="../ctrlProps/ctrlProp332.xml"/><Relationship Id="rId72" Type="http://schemas.openxmlformats.org/officeDocument/2006/relationships/ctrlProp" Target="../ctrlProps/ctrlProp353.xml"/><Relationship Id="rId3" Type="http://schemas.openxmlformats.org/officeDocument/2006/relationships/vmlDrawing" Target="../drawings/vmlDrawing10.vml"/><Relationship Id="rId12" Type="http://schemas.openxmlformats.org/officeDocument/2006/relationships/ctrlProp" Target="../ctrlProps/ctrlProp293.xml"/><Relationship Id="rId17" Type="http://schemas.openxmlformats.org/officeDocument/2006/relationships/ctrlProp" Target="../ctrlProps/ctrlProp298.xml"/><Relationship Id="rId25" Type="http://schemas.openxmlformats.org/officeDocument/2006/relationships/ctrlProp" Target="../ctrlProps/ctrlProp306.xml"/><Relationship Id="rId33" Type="http://schemas.openxmlformats.org/officeDocument/2006/relationships/ctrlProp" Target="../ctrlProps/ctrlProp314.xml"/><Relationship Id="rId38" Type="http://schemas.openxmlformats.org/officeDocument/2006/relationships/ctrlProp" Target="../ctrlProps/ctrlProp319.xml"/><Relationship Id="rId46" Type="http://schemas.openxmlformats.org/officeDocument/2006/relationships/ctrlProp" Target="../ctrlProps/ctrlProp327.xml"/><Relationship Id="rId59" Type="http://schemas.openxmlformats.org/officeDocument/2006/relationships/ctrlProp" Target="../ctrlProps/ctrlProp340.xml"/><Relationship Id="rId67" Type="http://schemas.openxmlformats.org/officeDocument/2006/relationships/ctrlProp" Target="../ctrlProps/ctrlProp348.xml"/><Relationship Id="rId20" Type="http://schemas.openxmlformats.org/officeDocument/2006/relationships/ctrlProp" Target="../ctrlProps/ctrlProp301.xml"/><Relationship Id="rId41" Type="http://schemas.openxmlformats.org/officeDocument/2006/relationships/ctrlProp" Target="../ctrlProps/ctrlProp322.xml"/><Relationship Id="rId54" Type="http://schemas.openxmlformats.org/officeDocument/2006/relationships/ctrlProp" Target="../ctrlProps/ctrlProp335.xml"/><Relationship Id="rId62" Type="http://schemas.openxmlformats.org/officeDocument/2006/relationships/ctrlProp" Target="../ctrlProps/ctrlProp343.xml"/><Relationship Id="rId70" Type="http://schemas.openxmlformats.org/officeDocument/2006/relationships/ctrlProp" Target="../ctrlProps/ctrlProp351.xml"/><Relationship Id="rId75" Type="http://schemas.openxmlformats.org/officeDocument/2006/relationships/ctrlProp" Target="../ctrlProps/ctrlProp35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15" Type="http://schemas.openxmlformats.org/officeDocument/2006/relationships/ctrlProp" Target="../ctrlProps/ctrlProp296.xml"/><Relationship Id="rId23" Type="http://schemas.openxmlformats.org/officeDocument/2006/relationships/ctrlProp" Target="../ctrlProps/ctrlProp304.xml"/><Relationship Id="rId28" Type="http://schemas.openxmlformats.org/officeDocument/2006/relationships/ctrlProp" Target="../ctrlProps/ctrlProp309.xml"/><Relationship Id="rId36" Type="http://schemas.openxmlformats.org/officeDocument/2006/relationships/ctrlProp" Target="../ctrlProps/ctrlProp317.xml"/><Relationship Id="rId49" Type="http://schemas.openxmlformats.org/officeDocument/2006/relationships/ctrlProp" Target="../ctrlProps/ctrlProp330.xml"/><Relationship Id="rId57" Type="http://schemas.openxmlformats.org/officeDocument/2006/relationships/ctrlProp" Target="../ctrlProps/ctrlProp338.xml"/><Relationship Id="rId10" Type="http://schemas.openxmlformats.org/officeDocument/2006/relationships/ctrlProp" Target="../ctrlProps/ctrlProp291.xml"/><Relationship Id="rId31" Type="http://schemas.openxmlformats.org/officeDocument/2006/relationships/ctrlProp" Target="../ctrlProps/ctrlProp312.xml"/><Relationship Id="rId44" Type="http://schemas.openxmlformats.org/officeDocument/2006/relationships/ctrlProp" Target="../ctrlProps/ctrlProp325.xml"/><Relationship Id="rId52" Type="http://schemas.openxmlformats.org/officeDocument/2006/relationships/ctrlProp" Target="../ctrlProps/ctrlProp333.xml"/><Relationship Id="rId60" Type="http://schemas.openxmlformats.org/officeDocument/2006/relationships/ctrlProp" Target="../ctrlProps/ctrlProp341.xml"/><Relationship Id="rId65" Type="http://schemas.openxmlformats.org/officeDocument/2006/relationships/ctrlProp" Target="../ctrlProps/ctrlProp346.xml"/><Relationship Id="rId73" Type="http://schemas.openxmlformats.org/officeDocument/2006/relationships/ctrlProp" Target="../ctrlProps/ctrlProp354.xml"/><Relationship Id="rId78" Type="http://schemas.openxmlformats.org/officeDocument/2006/relationships/ctrlProp" Target="../ctrlProps/ctrlProp359.xml"/><Relationship Id="rId4" Type="http://schemas.openxmlformats.org/officeDocument/2006/relationships/control" Target="../activeX/activeX17.xml"/><Relationship Id="rId9" Type="http://schemas.openxmlformats.org/officeDocument/2006/relationships/ctrlProp" Target="../ctrlProps/ctrlProp290.xml"/><Relationship Id="rId13" Type="http://schemas.openxmlformats.org/officeDocument/2006/relationships/ctrlProp" Target="../ctrlProps/ctrlProp294.xml"/><Relationship Id="rId18" Type="http://schemas.openxmlformats.org/officeDocument/2006/relationships/ctrlProp" Target="../ctrlProps/ctrlProp299.xml"/><Relationship Id="rId39" Type="http://schemas.openxmlformats.org/officeDocument/2006/relationships/ctrlProp" Target="../ctrlProps/ctrlProp320.xml"/><Relationship Id="rId34" Type="http://schemas.openxmlformats.org/officeDocument/2006/relationships/ctrlProp" Target="../ctrlProps/ctrlProp315.xml"/><Relationship Id="rId50" Type="http://schemas.openxmlformats.org/officeDocument/2006/relationships/ctrlProp" Target="../ctrlProps/ctrlProp331.xml"/><Relationship Id="rId55" Type="http://schemas.openxmlformats.org/officeDocument/2006/relationships/ctrlProp" Target="../ctrlProps/ctrlProp336.xml"/><Relationship Id="rId76" Type="http://schemas.openxmlformats.org/officeDocument/2006/relationships/ctrlProp" Target="../ctrlProps/ctrlProp357.xml"/><Relationship Id="rId7" Type="http://schemas.openxmlformats.org/officeDocument/2006/relationships/image" Target="../media/image19.emf"/><Relationship Id="rId71" Type="http://schemas.openxmlformats.org/officeDocument/2006/relationships/ctrlProp" Target="../ctrlProps/ctrlProp35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3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Relationship Id="rId6" Type="http://schemas.openxmlformats.org/officeDocument/2006/relationships/image" Target="../media/image21.emf"/><Relationship Id="rId5" Type="http://schemas.openxmlformats.org/officeDocument/2006/relationships/control" Target="../activeX/activeX20.xml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control" Target="../activeX/activeX22.x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69.xml"/><Relationship Id="rId18" Type="http://schemas.openxmlformats.org/officeDocument/2006/relationships/ctrlProp" Target="../ctrlProps/ctrlProp374.xml"/><Relationship Id="rId26" Type="http://schemas.openxmlformats.org/officeDocument/2006/relationships/ctrlProp" Target="../ctrlProps/ctrlProp382.xml"/><Relationship Id="rId39" Type="http://schemas.openxmlformats.org/officeDocument/2006/relationships/ctrlProp" Target="../ctrlProps/ctrlProp395.xml"/><Relationship Id="rId21" Type="http://schemas.openxmlformats.org/officeDocument/2006/relationships/ctrlProp" Target="../ctrlProps/ctrlProp377.xml"/><Relationship Id="rId34" Type="http://schemas.openxmlformats.org/officeDocument/2006/relationships/ctrlProp" Target="../ctrlProps/ctrlProp390.xml"/><Relationship Id="rId42" Type="http://schemas.openxmlformats.org/officeDocument/2006/relationships/ctrlProp" Target="../ctrlProps/ctrlProp398.xml"/><Relationship Id="rId47" Type="http://schemas.openxmlformats.org/officeDocument/2006/relationships/ctrlProp" Target="../ctrlProps/ctrlProp403.xml"/><Relationship Id="rId50" Type="http://schemas.openxmlformats.org/officeDocument/2006/relationships/ctrlProp" Target="../ctrlProps/ctrlProp406.xml"/><Relationship Id="rId55" Type="http://schemas.openxmlformats.org/officeDocument/2006/relationships/ctrlProp" Target="../ctrlProps/ctrlProp411.xml"/><Relationship Id="rId7" Type="http://schemas.openxmlformats.org/officeDocument/2006/relationships/ctrlProp" Target="../ctrlProps/ctrlProp363.xml"/><Relationship Id="rId2" Type="http://schemas.openxmlformats.org/officeDocument/2006/relationships/vmlDrawing" Target="../drawings/vmlDrawing12.vml"/><Relationship Id="rId16" Type="http://schemas.openxmlformats.org/officeDocument/2006/relationships/ctrlProp" Target="../ctrlProps/ctrlProp372.xml"/><Relationship Id="rId29" Type="http://schemas.openxmlformats.org/officeDocument/2006/relationships/ctrlProp" Target="../ctrlProps/ctrlProp385.xml"/><Relationship Id="rId11" Type="http://schemas.openxmlformats.org/officeDocument/2006/relationships/ctrlProp" Target="../ctrlProps/ctrlProp367.xml"/><Relationship Id="rId24" Type="http://schemas.openxmlformats.org/officeDocument/2006/relationships/ctrlProp" Target="../ctrlProps/ctrlProp380.xml"/><Relationship Id="rId32" Type="http://schemas.openxmlformats.org/officeDocument/2006/relationships/ctrlProp" Target="../ctrlProps/ctrlProp388.xml"/><Relationship Id="rId37" Type="http://schemas.openxmlformats.org/officeDocument/2006/relationships/ctrlProp" Target="../ctrlProps/ctrlProp393.xml"/><Relationship Id="rId40" Type="http://schemas.openxmlformats.org/officeDocument/2006/relationships/ctrlProp" Target="../ctrlProps/ctrlProp396.xml"/><Relationship Id="rId45" Type="http://schemas.openxmlformats.org/officeDocument/2006/relationships/ctrlProp" Target="../ctrlProps/ctrlProp401.xml"/><Relationship Id="rId53" Type="http://schemas.openxmlformats.org/officeDocument/2006/relationships/ctrlProp" Target="../ctrlProps/ctrlProp409.xml"/><Relationship Id="rId58" Type="http://schemas.openxmlformats.org/officeDocument/2006/relationships/ctrlProp" Target="../ctrlProps/ctrlProp414.xml"/><Relationship Id="rId5" Type="http://schemas.openxmlformats.org/officeDocument/2006/relationships/ctrlProp" Target="../ctrlProps/ctrlProp361.xml"/><Relationship Id="rId19" Type="http://schemas.openxmlformats.org/officeDocument/2006/relationships/ctrlProp" Target="../ctrlProps/ctrlProp375.xml"/><Relationship Id="rId4" Type="http://schemas.openxmlformats.org/officeDocument/2006/relationships/image" Target="../media/image24.emf"/><Relationship Id="rId9" Type="http://schemas.openxmlformats.org/officeDocument/2006/relationships/ctrlProp" Target="../ctrlProps/ctrlProp365.xml"/><Relationship Id="rId14" Type="http://schemas.openxmlformats.org/officeDocument/2006/relationships/ctrlProp" Target="../ctrlProps/ctrlProp370.xml"/><Relationship Id="rId22" Type="http://schemas.openxmlformats.org/officeDocument/2006/relationships/ctrlProp" Target="../ctrlProps/ctrlProp378.xml"/><Relationship Id="rId27" Type="http://schemas.openxmlformats.org/officeDocument/2006/relationships/ctrlProp" Target="../ctrlProps/ctrlProp383.xml"/><Relationship Id="rId30" Type="http://schemas.openxmlformats.org/officeDocument/2006/relationships/ctrlProp" Target="../ctrlProps/ctrlProp386.xml"/><Relationship Id="rId35" Type="http://schemas.openxmlformats.org/officeDocument/2006/relationships/ctrlProp" Target="../ctrlProps/ctrlProp391.xml"/><Relationship Id="rId43" Type="http://schemas.openxmlformats.org/officeDocument/2006/relationships/ctrlProp" Target="../ctrlProps/ctrlProp399.xml"/><Relationship Id="rId48" Type="http://schemas.openxmlformats.org/officeDocument/2006/relationships/ctrlProp" Target="../ctrlProps/ctrlProp404.xml"/><Relationship Id="rId56" Type="http://schemas.openxmlformats.org/officeDocument/2006/relationships/ctrlProp" Target="../ctrlProps/ctrlProp412.xml"/><Relationship Id="rId8" Type="http://schemas.openxmlformats.org/officeDocument/2006/relationships/ctrlProp" Target="../ctrlProps/ctrlProp364.xml"/><Relationship Id="rId51" Type="http://schemas.openxmlformats.org/officeDocument/2006/relationships/ctrlProp" Target="../ctrlProps/ctrlProp407.xml"/><Relationship Id="rId3" Type="http://schemas.openxmlformats.org/officeDocument/2006/relationships/control" Target="../activeX/activeX23.xml"/><Relationship Id="rId12" Type="http://schemas.openxmlformats.org/officeDocument/2006/relationships/ctrlProp" Target="../ctrlProps/ctrlProp368.xml"/><Relationship Id="rId17" Type="http://schemas.openxmlformats.org/officeDocument/2006/relationships/ctrlProp" Target="../ctrlProps/ctrlProp373.xml"/><Relationship Id="rId25" Type="http://schemas.openxmlformats.org/officeDocument/2006/relationships/ctrlProp" Target="../ctrlProps/ctrlProp381.xml"/><Relationship Id="rId33" Type="http://schemas.openxmlformats.org/officeDocument/2006/relationships/ctrlProp" Target="../ctrlProps/ctrlProp389.xml"/><Relationship Id="rId38" Type="http://schemas.openxmlformats.org/officeDocument/2006/relationships/ctrlProp" Target="../ctrlProps/ctrlProp394.xml"/><Relationship Id="rId46" Type="http://schemas.openxmlformats.org/officeDocument/2006/relationships/ctrlProp" Target="../ctrlProps/ctrlProp402.xml"/><Relationship Id="rId59" Type="http://schemas.openxmlformats.org/officeDocument/2006/relationships/ctrlProp" Target="../ctrlProps/ctrlProp415.xml"/><Relationship Id="rId20" Type="http://schemas.openxmlformats.org/officeDocument/2006/relationships/ctrlProp" Target="../ctrlProps/ctrlProp376.xml"/><Relationship Id="rId41" Type="http://schemas.openxmlformats.org/officeDocument/2006/relationships/ctrlProp" Target="../ctrlProps/ctrlProp397.xml"/><Relationship Id="rId54" Type="http://schemas.openxmlformats.org/officeDocument/2006/relationships/ctrlProp" Target="../ctrlProps/ctrlProp410.x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362.xml"/><Relationship Id="rId15" Type="http://schemas.openxmlformats.org/officeDocument/2006/relationships/ctrlProp" Target="../ctrlProps/ctrlProp371.xml"/><Relationship Id="rId23" Type="http://schemas.openxmlformats.org/officeDocument/2006/relationships/ctrlProp" Target="../ctrlProps/ctrlProp379.xml"/><Relationship Id="rId28" Type="http://schemas.openxmlformats.org/officeDocument/2006/relationships/ctrlProp" Target="../ctrlProps/ctrlProp384.xml"/><Relationship Id="rId36" Type="http://schemas.openxmlformats.org/officeDocument/2006/relationships/ctrlProp" Target="../ctrlProps/ctrlProp392.xml"/><Relationship Id="rId49" Type="http://schemas.openxmlformats.org/officeDocument/2006/relationships/ctrlProp" Target="../ctrlProps/ctrlProp405.xml"/><Relationship Id="rId57" Type="http://schemas.openxmlformats.org/officeDocument/2006/relationships/ctrlProp" Target="../ctrlProps/ctrlProp413.xml"/><Relationship Id="rId10" Type="http://schemas.openxmlformats.org/officeDocument/2006/relationships/ctrlProp" Target="../ctrlProps/ctrlProp366.xml"/><Relationship Id="rId31" Type="http://schemas.openxmlformats.org/officeDocument/2006/relationships/ctrlProp" Target="../ctrlProps/ctrlProp387.xml"/><Relationship Id="rId44" Type="http://schemas.openxmlformats.org/officeDocument/2006/relationships/ctrlProp" Target="../ctrlProps/ctrlProp400.xml"/><Relationship Id="rId52" Type="http://schemas.openxmlformats.org/officeDocument/2006/relationships/ctrlProp" Target="../ctrlProps/ctrlProp408.xml"/><Relationship Id="rId60" Type="http://schemas.openxmlformats.org/officeDocument/2006/relationships/ctrlProp" Target="../ctrlProps/ctrlProp416.x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21.xml"/><Relationship Id="rId18" Type="http://schemas.openxmlformats.org/officeDocument/2006/relationships/ctrlProp" Target="../ctrlProps/ctrlProp426.xml"/><Relationship Id="rId26" Type="http://schemas.openxmlformats.org/officeDocument/2006/relationships/ctrlProp" Target="../ctrlProps/ctrlProp434.xml"/><Relationship Id="rId39" Type="http://schemas.openxmlformats.org/officeDocument/2006/relationships/ctrlProp" Target="../ctrlProps/ctrlProp447.xml"/><Relationship Id="rId21" Type="http://schemas.openxmlformats.org/officeDocument/2006/relationships/ctrlProp" Target="../ctrlProps/ctrlProp429.xml"/><Relationship Id="rId34" Type="http://schemas.openxmlformats.org/officeDocument/2006/relationships/ctrlProp" Target="../ctrlProps/ctrlProp442.xml"/><Relationship Id="rId7" Type="http://schemas.openxmlformats.org/officeDocument/2006/relationships/control" Target="../activeX/activeX26.xml"/><Relationship Id="rId2" Type="http://schemas.openxmlformats.org/officeDocument/2006/relationships/vmlDrawing" Target="../drawings/vmlDrawing13.vml"/><Relationship Id="rId16" Type="http://schemas.openxmlformats.org/officeDocument/2006/relationships/ctrlProp" Target="../ctrlProps/ctrlProp424.xml"/><Relationship Id="rId20" Type="http://schemas.openxmlformats.org/officeDocument/2006/relationships/ctrlProp" Target="../ctrlProps/ctrlProp428.xml"/><Relationship Id="rId29" Type="http://schemas.openxmlformats.org/officeDocument/2006/relationships/ctrlProp" Target="../ctrlProps/ctrlProp437.xml"/><Relationship Id="rId41" Type="http://schemas.openxmlformats.org/officeDocument/2006/relationships/ctrlProp" Target="../ctrlProps/ctrlProp449.xml"/><Relationship Id="rId1" Type="http://schemas.openxmlformats.org/officeDocument/2006/relationships/drawing" Target="../drawings/drawing15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419.xml"/><Relationship Id="rId24" Type="http://schemas.openxmlformats.org/officeDocument/2006/relationships/ctrlProp" Target="../ctrlProps/ctrlProp432.xml"/><Relationship Id="rId32" Type="http://schemas.openxmlformats.org/officeDocument/2006/relationships/ctrlProp" Target="../ctrlProps/ctrlProp440.xml"/><Relationship Id="rId37" Type="http://schemas.openxmlformats.org/officeDocument/2006/relationships/ctrlProp" Target="../ctrlProps/ctrlProp445.xml"/><Relationship Id="rId40" Type="http://schemas.openxmlformats.org/officeDocument/2006/relationships/ctrlProp" Target="../ctrlProps/ctrlProp448.xml"/><Relationship Id="rId5" Type="http://schemas.openxmlformats.org/officeDocument/2006/relationships/control" Target="../activeX/activeX25.xml"/><Relationship Id="rId15" Type="http://schemas.openxmlformats.org/officeDocument/2006/relationships/ctrlProp" Target="../ctrlProps/ctrlProp423.xml"/><Relationship Id="rId23" Type="http://schemas.openxmlformats.org/officeDocument/2006/relationships/ctrlProp" Target="../ctrlProps/ctrlProp431.xml"/><Relationship Id="rId28" Type="http://schemas.openxmlformats.org/officeDocument/2006/relationships/ctrlProp" Target="../ctrlProps/ctrlProp436.xml"/><Relationship Id="rId36" Type="http://schemas.openxmlformats.org/officeDocument/2006/relationships/ctrlProp" Target="../ctrlProps/ctrlProp444.xml"/><Relationship Id="rId10" Type="http://schemas.openxmlformats.org/officeDocument/2006/relationships/ctrlProp" Target="../ctrlProps/ctrlProp418.xml"/><Relationship Id="rId19" Type="http://schemas.openxmlformats.org/officeDocument/2006/relationships/ctrlProp" Target="../ctrlProps/ctrlProp427.xml"/><Relationship Id="rId31" Type="http://schemas.openxmlformats.org/officeDocument/2006/relationships/ctrlProp" Target="../ctrlProps/ctrlProp439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417.xml"/><Relationship Id="rId14" Type="http://schemas.openxmlformats.org/officeDocument/2006/relationships/ctrlProp" Target="../ctrlProps/ctrlProp422.xml"/><Relationship Id="rId22" Type="http://schemas.openxmlformats.org/officeDocument/2006/relationships/ctrlProp" Target="../ctrlProps/ctrlProp430.xml"/><Relationship Id="rId27" Type="http://schemas.openxmlformats.org/officeDocument/2006/relationships/ctrlProp" Target="../ctrlProps/ctrlProp435.xml"/><Relationship Id="rId30" Type="http://schemas.openxmlformats.org/officeDocument/2006/relationships/ctrlProp" Target="../ctrlProps/ctrlProp438.xml"/><Relationship Id="rId35" Type="http://schemas.openxmlformats.org/officeDocument/2006/relationships/ctrlProp" Target="../ctrlProps/ctrlProp443.xml"/><Relationship Id="rId8" Type="http://schemas.openxmlformats.org/officeDocument/2006/relationships/image" Target="../media/image27.emf"/><Relationship Id="rId3" Type="http://schemas.openxmlformats.org/officeDocument/2006/relationships/control" Target="../activeX/activeX24.xml"/><Relationship Id="rId12" Type="http://schemas.openxmlformats.org/officeDocument/2006/relationships/ctrlProp" Target="../ctrlProps/ctrlProp420.xml"/><Relationship Id="rId17" Type="http://schemas.openxmlformats.org/officeDocument/2006/relationships/ctrlProp" Target="../ctrlProps/ctrlProp425.xml"/><Relationship Id="rId25" Type="http://schemas.openxmlformats.org/officeDocument/2006/relationships/ctrlProp" Target="../ctrlProps/ctrlProp433.xml"/><Relationship Id="rId33" Type="http://schemas.openxmlformats.org/officeDocument/2006/relationships/ctrlProp" Target="../ctrlProps/ctrlProp441.xml"/><Relationship Id="rId38" Type="http://schemas.openxmlformats.org/officeDocument/2006/relationships/ctrlProp" Target="../ctrlProps/ctrlProp446.x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55.xml"/><Relationship Id="rId18" Type="http://schemas.openxmlformats.org/officeDocument/2006/relationships/ctrlProp" Target="../ctrlProps/ctrlProp460.xml"/><Relationship Id="rId26" Type="http://schemas.openxmlformats.org/officeDocument/2006/relationships/ctrlProp" Target="../ctrlProps/ctrlProp468.xml"/><Relationship Id="rId3" Type="http://schemas.openxmlformats.org/officeDocument/2006/relationships/vmlDrawing" Target="../drawings/vmlDrawing14.vml"/><Relationship Id="rId21" Type="http://schemas.openxmlformats.org/officeDocument/2006/relationships/ctrlProp" Target="../ctrlProps/ctrlProp463.xml"/><Relationship Id="rId34" Type="http://schemas.openxmlformats.org/officeDocument/2006/relationships/ctrlProp" Target="../ctrlProps/ctrlProp476.xml"/><Relationship Id="rId7" Type="http://schemas.openxmlformats.org/officeDocument/2006/relationships/image" Target="../media/image29.emf"/><Relationship Id="rId12" Type="http://schemas.openxmlformats.org/officeDocument/2006/relationships/ctrlProp" Target="../ctrlProps/ctrlProp454.xml"/><Relationship Id="rId17" Type="http://schemas.openxmlformats.org/officeDocument/2006/relationships/ctrlProp" Target="../ctrlProps/ctrlProp459.xml"/><Relationship Id="rId25" Type="http://schemas.openxmlformats.org/officeDocument/2006/relationships/ctrlProp" Target="../ctrlProps/ctrlProp467.xml"/><Relationship Id="rId33" Type="http://schemas.openxmlformats.org/officeDocument/2006/relationships/ctrlProp" Target="../ctrlProps/ctrlProp4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458.xml"/><Relationship Id="rId20" Type="http://schemas.openxmlformats.org/officeDocument/2006/relationships/ctrlProp" Target="../ctrlProps/ctrlProp462.xml"/><Relationship Id="rId29" Type="http://schemas.openxmlformats.org/officeDocument/2006/relationships/ctrlProp" Target="../ctrlProps/ctrlProp47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11" Type="http://schemas.openxmlformats.org/officeDocument/2006/relationships/ctrlProp" Target="../ctrlProps/ctrlProp453.xml"/><Relationship Id="rId24" Type="http://schemas.openxmlformats.org/officeDocument/2006/relationships/ctrlProp" Target="../ctrlProps/ctrlProp466.xml"/><Relationship Id="rId32" Type="http://schemas.openxmlformats.org/officeDocument/2006/relationships/ctrlProp" Target="../ctrlProps/ctrlProp474.xml"/><Relationship Id="rId5" Type="http://schemas.openxmlformats.org/officeDocument/2006/relationships/image" Target="../media/image28.emf"/><Relationship Id="rId15" Type="http://schemas.openxmlformats.org/officeDocument/2006/relationships/ctrlProp" Target="../ctrlProps/ctrlProp457.xml"/><Relationship Id="rId23" Type="http://schemas.openxmlformats.org/officeDocument/2006/relationships/ctrlProp" Target="../ctrlProps/ctrlProp465.xml"/><Relationship Id="rId28" Type="http://schemas.openxmlformats.org/officeDocument/2006/relationships/ctrlProp" Target="../ctrlProps/ctrlProp470.xml"/><Relationship Id="rId10" Type="http://schemas.openxmlformats.org/officeDocument/2006/relationships/ctrlProp" Target="../ctrlProps/ctrlProp452.xml"/><Relationship Id="rId19" Type="http://schemas.openxmlformats.org/officeDocument/2006/relationships/ctrlProp" Target="../ctrlProps/ctrlProp461.xml"/><Relationship Id="rId31" Type="http://schemas.openxmlformats.org/officeDocument/2006/relationships/ctrlProp" Target="../ctrlProps/ctrlProp473.xml"/><Relationship Id="rId4" Type="http://schemas.openxmlformats.org/officeDocument/2006/relationships/control" Target="../activeX/activeX27.xml"/><Relationship Id="rId9" Type="http://schemas.openxmlformats.org/officeDocument/2006/relationships/ctrlProp" Target="../ctrlProps/ctrlProp451.xml"/><Relationship Id="rId14" Type="http://schemas.openxmlformats.org/officeDocument/2006/relationships/ctrlProp" Target="../ctrlProps/ctrlProp456.xml"/><Relationship Id="rId22" Type="http://schemas.openxmlformats.org/officeDocument/2006/relationships/ctrlProp" Target="../ctrlProps/ctrlProp464.xml"/><Relationship Id="rId27" Type="http://schemas.openxmlformats.org/officeDocument/2006/relationships/ctrlProp" Target="../ctrlProps/ctrlProp469.xml"/><Relationship Id="rId30" Type="http://schemas.openxmlformats.org/officeDocument/2006/relationships/ctrlProp" Target="../ctrlProps/ctrlProp472.xml"/><Relationship Id="rId35" Type="http://schemas.openxmlformats.org/officeDocument/2006/relationships/ctrlProp" Target="../ctrlProps/ctrlProp477.xml"/><Relationship Id="rId8" Type="http://schemas.openxmlformats.org/officeDocument/2006/relationships/ctrlProp" Target="../ctrlProps/ctrlProp450.x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84.xml"/><Relationship Id="rId18" Type="http://schemas.openxmlformats.org/officeDocument/2006/relationships/ctrlProp" Target="../ctrlProps/ctrlProp489.xml"/><Relationship Id="rId26" Type="http://schemas.openxmlformats.org/officeDocument/2006/relationships/ctrlProp" Target="../ctrlProps/ctrlProp497.xml"/><Relationship Id="rId39" Type="http://schemas.openxmlformats.org/officeDocument/2006/relationships/ctrlProp" Target="../ctrlProps/ctrlProp510.xml"/><Relationship Id="rId21" Type="http://schemas.openxmlformats.org/officeDocument/2006/relationships/ctrlProp" Target="../ctrlProps/ctrlProp492.xml"/><Relationship Id="rId34" Type="http://schemas.openxmlformats.org/officeDocument/2006/relationships/ctrlProp" Target="../ctrlProps/ctrlProp505.xml"/><Relationship Id="rId42" Type="http://schemas.openxmlformats.org/officeDocument/2006/relationships/ctrlProp" Target="../ctrlProps/ctrlProp513.xml"/><Relationship Id="rId47" Type="http://schemas.openxmlformats.org/officeDocument/2006/relationships/ctrlProp" Target="../ctrlProps/ctrlProp518.xml"/><Relationship Id="rId50" Type="http://schemas.openxmlformats.org/officeDocument/2006/relationships/ctrlProp" Target="../ctrlProps/ctrlProp521.xml"/><Relationship Id="rId7" Type="http://schemas.openxmlformats.org/officeDocument/2006/relationships/ctrlProp" Target="../ctrlProps/ctrlProp478.xml"/><Relationship Id="rId2" Type="http://schemas.openxmlformats.org/officeDocument/2006/relationships/vmlDrawing" Target="../drawings/vmlDrawing15.vml"/><Relationship Id="rId16" Type="http://schemas.openxmlformats.org/officeDocument/2006/relationships/ctrlProp" Target="../ctrlProps/ctrlProp487.xml"/><Relationship Id="rId29" Type="http://schemas.openxmlformats.org/officeDocument/2006/relationships/ctrlProp" Target="../ctrlProps/ctrlProp500.xml"/><Relationship Id="rId11" Type="http://schemas.openxmlformats.org/officeDocument/2006/relationships/ctrlProp" Target="../ctrlProps/ctrlProp482.xml"/><Relationship Id="rId24" Type="http://schemas.openxmlformats.org/officeDocument/2006/relationships/ctrlProp" Target="../ctrlProps/ctrlProp495.xml"/><Relationship Id="rId32" Type="http://schemas.openxmlformats.org/officeDocument/2006/relationships/ctrlProp" Target="../ctrlProps/ctrlProp503.xml"/><Relationship Id="rId37" Type="http://schemas.openxmlformats.org/officeDocument/2006/relationships/ctrlProp" Target="../ctrlProps/ctrlProp508.xml"/><Relationship Id="rId40" Type="http://schemas.openxmlformats.org/officeDocument/2006/relationships/ctrlProp" Target="../ctrlProps/ctrlProp511.xml"/><Relationship Id="rId45" Type="http://schemas.openxmlformats.org/officeDocument/2006/relationships/ctrlProp" Target="../ctrlProps/ctrlProp516.xml"/><Relationship Id="rId5" Type="http://schemas.openxmlformats.org/officeDocument/2006/relationships/control" Target="../activeX/activeX30.xml"/><Relationship Id="rId15" Type="http://schemas.openxmlformats.org/officeDocument/2006/relationships/ctrlProp" Target="../ctrlProps/ctrlProp486.xml"/><Relationship Id="rId23" Type="http://schemas.openxmlformats.org/officeDocument/2006/relationships/ctrlProp" Target="../ctrlProps/ctrlProp494.xml"/><Relationship Id="rId28" Type="http://schemas.openxmlformats.org/officeDocument/2006/relationships/ctrlProp" Target="../ctrlProps/ctrlProp499.xml"/><Relationship Id="rId36" Type="http://schemas.openxmlformats.org/officeDocument/2006/relationships/ctrlProp" Target="../ctrlProps/ctrlProp507.xml"/><Relationship Id="rId49" Type="http://schemas.openxmlformats.org/officeDocument/2006/relationships/ctrlProp" Target="../ctrlProps/ctrlProp520.xml"/><Relationship Id="rId10" Type="http://schemas.openxmlformats.org/officeDocument/2006/relationships/ctrlProp" Target="../ctrlProps/ctrlProp481.xml"/><Relationship Id="rId19" Type="http://schemas.openxmlformats.org/officeDocument/2006/relationships/ctrlProp" Target="../ctrlProps/ctrlProp490.xml"/><Relationship Id="rId31" Type="http://schemas.openxmlformats.org/officeDocument/2006/relationships/ctrlProp" Target="../ctrlProps/ctrlProp502.xml"/><Relationship Id="rId44" Type="http://schemas.openxmlformats.org/officeDocument/2006/relationships/ctrlProp" Target="../ctrlProps/ctrlProp515.xml"/><Relationship Id="rId52" Type="http://schemas.openxmlformats.org/officeDocument/2006/relationships/ctrlProp" Target="../ctrlProps/ctrlProp523.xml"/><Relationship Id="rId4" Type="http://schemas.openxmlformats.org/officeDocument/2006/relationships/image" Target="../media/image30.emf"/><Relationship Id="rId9" Type="http://schemas.openxmlformats.org/officeDocument/2006/relationships/ctrlProp" Target="../ctrlProps/ctrlProp480.xml"/><Relationship Id="rId14" Type="http://schemas.openxmlformats.org/officeDocument/2006/relationships/ctrlProp" Target="../ctrlProps/ctrlProp485.xml"/><Relationship Id="rId22" Type="http://schemas.openxmlformats.org/officeDocument/2006/relationships/ctrlProp" Target="../ctrlProps/ctrlProp493.xml"/><Relationship Id="rId27" Type="http://schemas.openxmlformats.org/officeDocument/2006/relationships/ctrlProp" Target="../ctrlProps/ctrlProp498.xml"/><Relationship Id="rId30" Type="http://schemas.openxmlformats.org/officeDocument/2006/relationships/ctrlProp" Target="../ctrlProps/ctrlProp501.xml"/><Relationship Id="rId35" Type="http://schemas.openxmlformats.org/officeDocument/2006/relationships/ctrlProp" Target="../ctrlProps/ctrlProp506.xml"/><Relationship Id="rId43" Type="http://schemas.openxmlformats.org/officeDocument/2006/relationships/ctrlProp" Target="../ctrlProps/ctrlProp514.xml"/><Relationship Id="rId48" Type="http://schemas.openxmlformats.org/officeDocument/2006/relationships/ctrlProp" Target="../ctrlProps/ctrlProp519.xml"/><Relationship Id="rId8" Type="http://schemas.openxmlformats.org/officeDocument/2006/relationships/ctrlProp" Target="../ctrlProps/ctrlProp479.xml"/><Relationship Id="rId51" Type="http://schemas.openxmlformats.org/officeDocument/2006/relationships/ctrlProp" Target="../ctrlProps/ctrlProp522.xml"/><Relationship Id="rId3" Type="http://schemas.openxmlformats.org/officeDocument/2006/relationships/control" Target="../activeX/activeX29.xml"/><Relationship Id="rId12" Type="http://schemas.openxmlformats.org/officeDocument/2006/relationships/ctrlProp" Target="../ctrlProps/ctrlProp483.xml"/><Relationship Id="rId17" Type="http://schemas.openxmlformats.org/officeDocument/2006/relationships/ctrlProp" Target="../ctrlProps/ctrlProp488.xml"/><Relationship Id="rId25" Type="http://schemas.openxmlformats.org/officeDocument/2006/relationships/ctrlProp" Target="../ctrlProps/ctrlProp496.xml"/><Relationship Id="rId33" Type="http://schemas.openxmlformats.org/officeDocument/2006/relationships/ctrlProp" Target="../ctrlProps/ctrlProp504.xml"/><Relationship Id="rId38" Type="http://schemas.openxmlformats.org/officeDocument/2006/relationships/ctrlProp" Target="../ctrlProps/ctrlProp509.xml"/><Relationship Id="rId46" Type="http://schemas.openxmlformats.org/officeDocument/2006/relationships/ctrlProp" Target="../ctrlProps/ctrlProp517.xml"/><Relationship Id="rId20" Type="http://schemas.openxmlformats.org/officeDocument/2006/relationships/ctrlProp" Target="../ctrlProps/ctrlProp491.xml"/><Relationship Id="rId41" Type="http://schemas.openxmlformats.org/officeDocument/2006/relationships/ctrlProp" Target="../ctrlProps/ctrlProp512.xml"/><Relationship Id="rId1" Type="http://schemas.openxmlformats.org/officeDocument/2006/relationships/drawing" Target="../drawings/drawing17.xml"/><Relationship Id="rId6" Type="http://schemas.openxmlformats.org/officeDocument/2006/relationships/image" Target="../media/image31.emf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2.xml"/><Relationship Id="rId18" Type="http://schemas.openxmlformats.org/officeDocument/2006/relationships/ctrlProp" Target="../ctrlProps/ctrlProp537.xml"/><Relationship Id="rId26" Type="http://schemas.openxmlformats.org/officeDocument/2006/relationships/ctrlProp" Target="../ctrlProps/ctrlProp545.xml"/><Relationship Id="rId39" Type="http://schemas.openxmlformats.org/officeDocument/2006/relationships/ctrlProp" Target="../ctrlProps/ctrlProp558.xml"/><Relationship Id="rId21" Type="http://schemas.openxmlformats.org/officeDocument/2006/relationships/ctrlProp" Target="../ctrlProps/ctrlProp540.xml"/><Relationship Id="rId34" Type="http://schemas.openxmlformats.org/officeDocument/2006/relationships/ctrlProp" Target="../ctrlProps/ctrlProp553.xml"/><Relationship Id="rId42" Type="http://schemas.openxmlformats.org/officeDocument/2006/relationships/ctrlProp" Target="../ctrlProps/ctrlProp561.xml"/><Relationship Id="rId7" Type="http://schemas.openxmlformats.org/officeDocument/2006/relationships/ctrlProp" Target="../ctrlProps/ctrlProp526.xml"/><Relationship Id="rId2" Type="http://schemas.openxmlformats.org/officeDocument/2006/relationships/vmlDrawing" Target="../drawings/vmlDrawing16.vml"/><Relationship Id="rId16" Type="http://schemas.openxmlformats.org/officeDocument/2006/relationships/ctrlProp" Target="../ctrlProps/ctrlProp535.xml"/><Relationship Id="rId29" Type="http://schemas.openxmlformats.org/officeDocument/2006/relationships/ctrlProp" Target="../ctrlProps/ctrlProp548.x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525.xml"/><Relationship Id="rId11" Type="http://schemas.openxmlformats.org/officeDocument/2006/relationships/ctrlProp" Target="../ctrlProps/ctrlProp530.xml"/><Relationship Id="rId24" Type="http://schemas.openxmlformats.org/officeDocument/2006/relationships/ctrlProp" Target="../ctrlProps/ctrlProp543.xml"/><Relationship Id="rId32" Type="http://schemas.openxmlformats.org/officeDocument/2006/relationships/ctrlProp" Target="../ctrlProps/ctrlProp551.xml"/><Relationship Id="rId37" Type="http://schemas.openxmlformats.org/officeDocument/2006/relationships/ctrlProp" Target="../ctrlProps/ctrlProp556.xml"/><Relationship Id="rId40" Type="http://schemas.openxmlformats.org/officeDocument/2006/relationships/ctrlProp" Target="../ctrlProps/ctrlProp559.xml"/><Relationship Id="rId45" Type="http://schemas.openxmlformats.org/officeDocument/2006/relationships/ctrlProp" Target="../ctrlProps/ctrlProp564.xml"/><Relationship Id="rId5" Type="http://schemas.openxmlformats.org/officeDocument/2006/relationships/ctrlProp" Target="../ctrlProps/ctrlProp524.xml"/><Relationship Id="rId15" Type="http://schemas.openxmlformats.org/officeDocument/2006/relationships/ctrlProp" Target="../ctrlProps/ctrlProp534.xml"/><Relationship Id="rId23" Type="http://schemas.openxmlformats.org/officeDocument/2006/relationships/ctrlProp" Target="../ctrlProps/ctrlProp542.xml"/><Relationship Id="rId28" Type="http://schemas.openxmlformats.org/officeDocument/2006/relationships/ctrlProp" Target="../ctrlProps/ctrlProp547.xml"/><Relationship Id="rId36" Type="http://schemas.openxmlformats.org/officeDocument/2006/relationships/ctrlProp" Target="../ctrlProps/ctrlProp555.xml"/><Relationship Id="rId10" Type="http://schemas.openxmlformats.org/officeDocument/2006/relationships/ctrlProp" Target="../ctrlProps/ctrlProp529.xml"/><Relationship Id="rId19" Type="http://schemas.openxmlformats.org/officeDocument/2006/relationships/ctrlProp" Target="../ctrlProps/ctrlProp538.xml"/><Relationship Id="rId31" Type="http://schemas.openxmlformats.org/officeDocument/2006/relationships/ctrlProp" Target="../ctrlProps/ctrlProp550.xml"/><Relationship Id="rId44" Type="http://schemas.openxmlformats.org/officeDocument/2006/relationships/ctrlProp" Target="../ctrlProps/ctrlProp563.xml"/><Relationship Id="rId4" Type="http://schemas.openxmlformats.org/officeDocument/2006/relationships/image" Target="../media/image32.emf"/><Relationship Id="rId9" Type="http://schemas.openxmlformats.org/officeDocument/2006/relationships/ctrlProp" Target="../ctrlProps/ctrlProp528.xml"/><Relationship Id="rId14" Type="http://schemas.openxmlformats.org/officeDocument/2006/relationships/ctrlProp" Target="../ctrlProps/ctrlProp533.xml"/><Relationship Id="rId22" Type="http://schemas.openxmlformats.org/officeDocument/2006/relationships/ctrlProp" Target="../ctrlProps/ctrlProp541.xml"/><Relationship Id="rId27" Type="http://schemas.openxmlformats.org/officeDocument/2006/relationships/ctrlProp" Target="../ctrlProps/ctrlProp546.xml"/><Relationship Id="rId30" Type="http://schemas.openxmlformats.org/officeDocument/2006/relationships/ctrlProp" Target="../ctrlProps/ctrlProp549.xml"/><Relationship Id="rId35" Type="http://schemas.openxmlformats.org/officeDocument/2006/relationships/ctrlProp" Target="../ctrlProps/ctrlProp554.xml"/><Relationship Id="rId43" Type="http://schemas.openxmlformats.org/officeDocument/2006/relationships/ctrlProp" Target="../ctrlProps/ctrlProp562.xml"/><Relationship Id="rId8" Type="http://schemas.openxmlformats.org/officeDocument/2006/relationships/ctrlProp" Target="../ctrlProps/ctrlProp527.xml"/><Relationship Id="rId3" Type="http://schemas.openxmlformats.org/officeDocument/2006/relationships/control" Target="../activeX/activeX31.xml"/><Relationship Id="rId12" Type="http://schemas.openxmlformats.org/officeDocument/2006/relationships/ctrlProp" Target="../ctrlProps/ctrlProp531.xml"/><Relationship Id="rId17" Type="http://schemas.openxmlformats.org/officeDocument/2006/relationships/ctrlProp" Target="../ctrlProps/ctrlProp536.xml"/><Relationship Id="rId25" Type="http://schemas.openxmlformats.org/officeDocument/2006/relationships/ctrlProp" Target="../ctrlProps/ctrlProp544.xml"/><Relationship Id="rId33" Type="http://schemas.openxmlformats.org/officeDocument/2006/relationships/ctrlProp" Target="../ctrlProps/ctrlProp552.xml"/><Relationship Id="rId38" Type="http://schemas.openxmlformats.org/officeDocument/2006/relationships/ctrlProp" Target="../ctrlProps/ctrlProp557.xml"/><Relationship Id="rId46" Type="http://schemas.openxmlformats.org/officeDocument/2006/relationships/ctrlProp" Target="../ctrlProps/ctrlProp565.xml"/><Relationship Id="rId20" Type="http://schemas.openxmlformats.org/officeDocument/2006/relationships/ctrlProp" Target="../ctrlProps/ctrlProp539.xml"/><Relationship Id="rId41" Type="http://schemas.openxmlformats.org/officeDocument/2006/relationships/ctrlProp" Target="../ctrlProps/ctrlProp560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7.xml"/><Relationship Id="rId13" Type="http://schemas.openxmlformats.org/officeDocument/2006/relationships/ctrlProp" Target="../ctrlProps/ctrlProp572.xml"/><Relationship Id="rId18" Type="http://schemas.openxmlformats.org/officeDocument/2006/relationships/ctrlProp" Target="../ctrlProps/ctrlProp577.xml"/><Relationship Id="rId26" Type="http://schemas.openxmlformats.org/officeDocument/2006/relationships/ctrlProp" Target="../ctrlProps/ctrlProp585.xml"/><Relationship Id="rId3" Type="http://schemas.openxmlformats.org/officeDocument/2006/relationships/control" Target="../activeX/activeX32.xml"/><Relationship Id="rId21" Type="http://schemas.openxmlformats.org/officeDocument/2006/relationships/ctrlProp" Target="../ctrlProps/ctrlProp580.xml"/><Relationship Id="rId7" Type="http://schemas.openxmlformats.org/officeDocument/2006/relationships/ctrlProp" Target="../ctrlProps/ctrlProp566.xml"/><Relationship Id="rId12" Type="http://schemas.openxmlformats.org/officeDocument/2006/relationships/ctrlProp" Target="../ctrlProps/ctrlProp571.xml"/><Relationship Id="rId17" Type="http://schemas.openxmlformats.org/officeDocument/2006/relationships/ctrlProp" Target="../ctrlProps/ctrlProp576.xml"/><Relationship Id="rId25" Type="http://schemas.openxmlformats.org/officeDocument/2006/relationships/ctrlProp" Target="../ctrlProps/ctrlProp584.xml"/><Relationship Id="rId2" Type="http://schemas.openxmlformats.org/officeDocument/2006/relationships/vmlDrawing" Target="../drawings/vmlDrawing17.vml"/><Relationship Id="rId16" Type="http://schemas.openxmlformats.org/officeDocument/2006/relationships/ctrlProp" Target="../ctrlProps/ctrlProp575.xml"/><Relationship Id="rId20" Type="http://schemas.openxmlformats.org/officeDocument/2006/relationships/ctrlProp" Target="../ctrlProps/ctrlProp579.xml"/><Relationship Id="rId29" Type="http://schemas.openxmlformats.org/officeDocument/2006/relationships/ctrlProp" Target="../ctrlProps/ctrlProp588.xml"/><Relationship Id="rId1" Type="http://schemas.openxmlformats.org/officeDocument/2006/relationships/drawing" Target="../drawings/drawing19.xml"/><Relationship Id="rId6" Type="http://schemas.openxmlformats.org/officeDocument/2006/relationships/image" Target="../media/image34.emf"/><Relationship Id="rId11" Type="http://schemas.openxmlformats.org/officeDocument/2006/relationships/ctrlProp" Target="../ctrlProps/ctrlProp570.xml"/><Relationship Id="rId24" Type="http://schemas.openxmlformats.org/officeDocument/2006/relationships/ctrlProp" Target="../ctrlProps/ctrlProp583.xml"/><Relationship Id="rId32" Type="http://schemas.openxmlformats.org/officeDocument/2006/relationships/ctrlProp" Target="../ctrlProps/ctrlProp591.xml"/><Relationship Id="rId5" Type="http://schemas.openxmlformats.org/officeDocument/2006/relationships/control" Target="../activeX/activeX33.xml"/><Relationship Id="rId15" Type="http://schemas.openxmlformats.org/officeDocument/2006/relationships/ctrlProp" Target="../ctrlProps/ctrlProp574.xml"/><Relationship Id="rId23" Type="http://schemas.openxmlformats.org/officeDocument/2006/relationships/ctrlProp" Target="../ctrlProps/ctrlProp582.xml"/><Relationship Id="rId28" Type="http://schemas.openxmlformats.org/officeDocument/2006/relationships/ctrlProp" Target="../ctrlProps/ctrlProp587.xml"/><Relationship Id="rId10" Type="http://schemas.openxmlformats.org/officeDocument/2006/relationships/ctrlProp" Target="../ctrlProps/ctrlProp569.xml"/><Relationship Id="rId19" Type="http://schemas.openxmlformats.org/officeDocument/2006/relationships/ctrlProp" Target="../ctrlProps/ctrlProp578.xml"/><Relationship Id="rId31" Type="http://schemas.openxmlformats.org/officeDocument/2006/relationships/ctrlProp" Target="../ctrlProps/ctrlProp590.xml"/><Relationship Id="rId4" Type="http://schemas.openxmlformats.org/officeDocument/2006/relationships/image" Target="../media/image33.emf"/><Relationship Id="rId9" Type="http://schemas.openxmlformats.org/officeDocument/2006/relationships/ctrlProp" Target="../ctrlProps/ctrlProp568.xml"/><Relationship Id="rId14" Type="http://schemas.openxmlformats.org/officeDocument/2006/relationships/ctrlProp" Target="../ctrlProps/ctrlProp573.xml"/><Relationship Id="rId22" Type="http://schemas.openxmlformats.org/officeDocument/2006/relationships/ctrlProp" Target="../ctrlProps/ctrlProp581.xml"/><Relationship Id="rId27" Type="http://schemas.openxmlformats.org/officeDocument/2006/relationships/ctrlProp" Target="../ctrlProps/ctrlProp586.xml"/><Relationship Id="rId30" Type="http://schemas.openxmlformats.org/officeDocument/2006/relationships/ctrlProp" Target="../ctrlProps/ctrlProp589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00.xml"/><Relationship Id="rId18" Type="http://schemas.openxmlformats.org/officeDocument/2006/relationships/ctrlProp" Target="../ctrlProps/ctrlProp605.xml"/><Relationship Id="rId26" Type="http://schemas.openxmlformats.org/officeDocument/2006/relationships/ctrlProp" Target="../ctrlProps/ctrlProp613.xml"/><Relationship Id="rId39" Type="http://schemas.openxmlformats.org/officeDocument/2006/relationships/ctrlProp" Target="../ctrlProps/ctrlProp626.xml"/><Relationship Id="rId21" Type="http://schemas.openxmlformats.org/officeDocument/2006/relationships/ctrlProp" Target="../ctrlProps/ctrlProp608.xml"/><Relationship Id="rId34" Type="http://schemas.openxmlformats.org/officeDocument/2006/relationships/ctrlProp" Target="../ctrlProps/ctrlProp621.xml"/><Relationship Id="rId42" Type="http://schemas.openxmlformats.org/officeDocument/2006/relationships/ctrlProp" Target="../ctrlProps/ctrlProp629.xml"/><Relationship Id="rId47" Type="http://schemas.openxmlformats.org/officeDocument/2006/relationships/ctrlProp" Target="../ctrlProps/ctrlProp634.xml"/><Relationship Id="rId50" Type="http://schemas.openxmlformats.org/officeDocument/2006/relationships/ctrlProp" Target="../ctrlProps/ctrlProp637.xml"/><Relationship Id="rId7" Type="http://schemas.openxmlformats.org/officeDocument/2006/relationships/ctrlProp" Target="../ctrlProps/ctrlProp594.xml"/><Relationship Id="rId2" Type="http://schemas.openxmlformats.org/officeDocument/2006/relationships/vmlDrawing" Target="../drawings/vmlDrawing18.vml"/><Relationship Id="rId16" Type="http://schemas.openxmlformats.org/officeDocument/2006/relationships/ctrlProp" Target="../ctrlProps/ctrlProp603.xml"/><Relationship Id="rId29" Type="http://schemas.openxmlformats.org/officeDocument/2006/relationships/ctrlProp" Target="../ctrlProps/ctrlProp616.xml"/><Relationship Id="rId11" Type="http://schemas.openxmlformats.org/officeDocument/2006/relationships/ctrlProp" Target="../ctrlProps/ctrlProp598.xml"/><Relationship Id="rId24" Type="http://schemas.openxmlformats.org/officeDocument/2006/relationships/ctrlProp" Target="../ctrlProps/ctrlProp611.xml"/><Relationship Id="rId32" Type="http://schemas.openxmlformats.org/officeDocument/2006/relationships/ctrlProp" Target="../ctrlProps/ctrlProp619.xml"/><Relationship Id="rId37" Type="http://schemas.openxmlformats.org/officeDocument/2006/relationships/ctrlProp" Target="../ctrlProps/ctrlProp624.xml"/><Relationship Id="rId40" Type="http://schemas.openxmlformats.org/officeDocument/2006/relationships/ctrlProp" Target="../ctrlProps/ctrlProp627.xml"/><Relationship Id="rId45" Type="http://schemas.openxmlformats.org/officeDocument/2006/relationships/ctrlProp" Target="../ctrlProps/ctrlProp632.xml"/><Relationship Id="rId5" Type="http://schemas.openxmlformats.org/officeDocument/2006/relationships/ctrlProp" Target="../ctrlProps/ctrlProp592.xml"/><Relationship Id="rId15" Type="http://schemas.openxmlformats.org/officeDocument/2006/relationships/ctrlProp" Target="../ctrlProps/ctrlProp602.xml"/><Relationship Id="rId23" Type="http://schemas.openxmlformats.org/officeDocument/2006/relationships/ctrlProp" Target="../ctrlProps/ctrlProp610.xml"/><Relationship Id="rId28" Type="http://schemas.openxmlformats.org/officeDocument/2006/relationships/ctrlProp" Target="../ctrlProps/ctrlProp615.xml"/><Relationship Id="rId36" Type="http://schemas.openxmlformats.org/officeDocument/2006/relationships/ctrlProp" Target="../ctrlProps/ctrlProp623.xml"/><Relationship Id="rId49" Type="http://schemas.openxmlformats.org/officeDocument/2006/relationships/ctrlProp" Target="../ctrlProps/ctrlProp636.xml"/><Relationship Id="rId10" Type="http://schemas.openxmlformats.org/officeDocument/2006/relationships/ctrlProp" Target="../ctrlProps/ctrlProp597.xml"/><Relationship Id="rId19" Type="http://schemas.openxmlformats.org/officeDocument/2006/relationships/ctrlProp" Target="../ctrlProps/ctrlProp606.xml"/><Relationship Id="rId31" Type="http://schemas.openxmlformats.org/officeDocument/2006/relationships/ctrlProp" Target="../ctrlProps/ctrlProp618.xml"/><Relationship Id="rId44" Type="http://schemas.openxmlformats.org/officeDocument/2006/relationships/ctrlProp" Target="../ctrlProps/ctrlProp631.xml"/><Relationship Id="rId52" Type="http://schemas.openxmlformats.org/officeDocument/2006/relationships/ctrlProp" Target="../ctrlProps/ctrlProp639.xml"/><Relationship Id="rId4" Type="http://schemas.openxmlformats.org/officeDocument/2006/relationships/image" Target="../media/image35.emf"/><Relationship Id="rId9" Type="http://schemas.openxmlformats.org/officeDocument/2006/relationships/ctrlProp" Target="../ctrlProps/ctrlProp596.xml"/><Relationship Id="rId14" Type="http://schemas.openxmlformats.org/officeDocument/2006/relationships/ctrlProp" Target="../ctrlProps/ctrlProp601.xml"/><Relationship Id="rId22" Type="http://schemas.openxmlformats.org/officeDocument/2006/relationships/ctrlProp" Target="../ctrlProps/ctrlProp609.xml"/><Relationship Id="rId27" Type="http://schemas.openxmlformats.org/officeDocument/2006/relationships/ctrlProp" Target="../ctrlProps/ctrlProp614.xml"/><Relationship Id="rId30" Type="http://schemas.openxmlformats.org/officeDocument/2006/relationships/ctrlProp" Target="../ctrlProps/ctrlProp617.xml"/><Relationship Id="rId35" Type="http://schemas.openxmlformats.org/officeDocument/2006/relationships/ctrlProp" Target="../ctrlProps/ctrlProp622.xml"/><Relationship Id="rId43" Type="http://schemas.openxmlformats.org/officeDocument/2006/relationships/ctrlProp" Target="../ctrlProps/ctrlProp630.xml"/><Relationship Id="rId48" Type="http://schemas.openxmlformats.org/officeDocument/2006/relationships/ctrlProp" Target="../ctrlProps/ctrlProp635.xml"/><Relationship Id="rId8" Type="http://schemas.openxmlformats.org/officeDocument/2006/relationships/ctrlProp" Target="../ctrlProps/ctrlProp595.xml"/><Relationship Id="rId51" Type="http://schemas.openxmlformats.org/officeDocument/2006/relationships/ctrlProp" Target="../ctrlProps/ctrlProp638.xml"/><Relationship Id="rId3" Type="http://schemas.openxmlformats.org/officeDocument/2006/relationships/control" Target="../activeX/activeX34.xml"/><Relationship Id="rId12" Type="http://schemas.openxmlformats.org/officeDocument/2006/relationships/ctrlProp" Target="../ctrlProps/ctrlProp599.xml"/><Relationship Id="rId17" Type="http://schemas.openxmlformats.org/officeDocument/2006/relationships/ctrlProp" Target="../ctrlProps/ctrlProp604.xml"/><Relationship Id="rId25" Type="http://schemas.openxmlformats.org/officeDocument/2006/relationships/ctrlProp" Target="../ctrlProps/ctrlProp612.xml"/><Relationship Id="rId33" Type="http://schemas.openxmlformats.org/officeDocument/2006/relationships/ctrlProp" Target="../ctrlProps/ctrlProp620.xml"/><Relationship Id="rId38" Type="http://schemas.openxmlformats.org/officeDocument/2006/relationships/ctrlProp" Target="../ctrlProps/ctrlProp625.xml"/><Relationship Id="rId46" Type="http://schemas.openxmlformats.org/officeDocument/2006/relationships/ctrlProp" Target="../ctrlProps/ctrlProp633.xml"/><Relationship Id="rId20" Type="http://schemas.openxmlformats.org/officeDocument/2006/relationships/ctrlProp" Target="../ctrlProps/ctrlProp607.xml"/><Relationship Id="rId41" Type="http://schemas.openxmlformats.org/officeDocument/2006/relationships/ctrlProp" Target="../ctrlProps/ctrlProp628.x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593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43.xml"/><Relationship Id="rId13" Type="http://schemas.openxmlformats.org/officeDocument/2006/relationships/ctrlProp" Target="../ctrlProps/ctrlProp648.xml"/><Relationship Id="rId18" Type="http://schemas.openxmlformats.org/officeDocument/2006/relationships/ctrlProp" Target="../ctrlProps/ctrlProp653.xml"/><Relationship Id="rId26" Type="http://schemas.openxmlformats.org/officeDocument/2006/relationships/ctrlProp" Target="../ctrlProps/ctrlProp661.xml"/><Relationship Id="rId3" Type="http://schemas.openxmlformats.org/officeDocument/2006/relationships/control" Target="../activeX/activeX35.xml"/><Relationship Id="rId21" Type="http://schemas.openxmlformats.org/officeDocument/2006/relationships/ctrlProp" Target="../ctrlProps/ctrlProp656.xml"/><Relationship Id="rId7" Type="http://schemas.openxmlformats.org/officeDocument/2006/relationships/ctrlProp" Target="../ctrlProps/ctrlProp642.xml"/><Relationship Id="rId12" Type="http://schemas.openxmlformats.org/officeDocument/2006/relationships/ctrlProp" Target="../ctrlProps/ctrlProp647.xml"/><Relationship Id="rId17" Type="http://schemas.openxmlformats.org/officeDocument/2006/relationships/ctrlProp" Target="../ctrlProps/ctrlProp652.xml"/><Relationship Id="rId25" Type="http://schemas.openxmlformats.org/officeDocument/2006/relationships/ctrlProp" Target="../ctrlProps/ctrlProp660.xml"/><Relationship Id="rId2" Type="http://schemas.openxmlformats.org/officeDocument/2006/relationships/vmlDrawing" Target="../drawings/vmlDrawing19.vml"/><Relationship Id="rId16" Type="http://schemas.openxmlformats.org/officeDocument/2006/relationships/ctrlProp" Target="../ctrlProps/ctrlProp651.xml"/><Relationship Id="rId20" Type="http://schemas.openxmlformats.org/officeDocument/2006/relationships/ctrlProp" Target="../ctrlProps/ctrlProp655.x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641.xml"/><Relationship Id="rId11" Type="http://schemas.openxmlformats.org/officeDocument/2006/relationships/ctrlProp" Target="../ctrlProps/ctrlProp646.xml"/><Relationship Id="rId24" Type="http://schemas.openxmlformats.org/officeDocument/2006/relationships/ctrlProp" Target="../ctrlProps/ctrlProp659.xml"/><Relationship Id="rId5" Type="http://schemas.openxmlformats.org/officeDocument/2006/relationships/ctrlProp" Target="../ctrlProps/ctrlProp640.xml"/><Relationship Id="rId15" Type="http://schemas.openxmlformats.org/officeDocument/2006/relationships/ctrlProp" Target="../ctrlProps/ctrlProp650.xml"/><Relationship Id="rId23" Type="http://schemas.openxmlformats.org/officeDocument/2006/relationships/ctrlProp" Target="../ctrlProps/ctrlProp658.xml"/><Relationship Id="rId10" Type="http://schemas.openxmlformats.org/officeDocument/2006/relationships/ctrlProp" Target="../ctrlProps/ctrlProp645.xml"/><Relationship Id="rId19" Type="http://schemas.openxmlformats.org/officeDocument/2006/relationships/ctrlProp" Target="../ctrlProps/ctrlProp654.xml"/><Relationship Id="rId4" Type="http://schemas.openxmlformats.org/officeDocument/2006/relationships/image" Target="../media/image36.emf"/><Relationship Id="rId9" Type="http://schemas.openxmlformats.org/officeDocument/2006/relationships/ctrlProp" Target="../ctrlProps/ctrlProp644.xml"/><Relationship Id="rId14" Type="http://schemas.openxmlformats.org/officeDocument/2006/relationships/ctrlProp" Target="../ctrlProps/ctrlProp649.xml"/><Relationship Id="rId22" Type="http://schemas.openxmlformats.org/officeDocument/2006/relationships/ctrlProp" Target="../ctrlProps/ctrlProp657.xml"/><Relationship Id="rId27" Type="http://schemas.openxmlformats.org/officeDocument/2006/relationships/ctrlProp" Target="../ctrlProps/ctrlProp662.xml"/></Relationships>
</file>

<file path=xl/worksheets/_rels/sheet2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84.xml"/><Relationship Id="rId21" Type="http://schemas.openxmlformats.org/officeDocument/2006/relationships/ctrlProp" Target="../ctrlProps/ctrlProp679.xml"/><Relationship Id="rId42" Type="http://schemas.openxmlformats.org/officeDocument/2006/relationships/ctrlProp" Target="../ctrlProps/ctrlProp700.xml"/><Relationship Id="rId47" Type="http://schemas.openxmlformats.org/officeDocument/2006/relationships/ctrlProp" Target="../ctrlProps/ctrlProp705.xml"/><Relationship Id="rId63" Type="http://schemas.openxmlformats.org/officeDocument/2006/relationships/ctrlProp" Target="../ctrlProps/ctrlProp721.xml"/><Relationship Id="rId68" Type="http://schemas.openxmlformats.org/officeDocument/2006/relationships/ctrlProp" Target="../ctrlProps/ctrlProp726.xml"/><Relationship Id="rId84" Type="http://schemas.openxmlformats.org/officeDocument/2006/relationships/ctrlProp" Target="../ctrlProps/ctrlProp742.xml"/><Relationship Id="rId89" Type="http://schemas.openxmlformats.org/officeDocument/2006/relationships/ctrlProp" Target="../ctrlProps/ctrlProp747.xml"/><Relationship Id="rId16" Type="http://schemas.openxmlformats.org/officeDocument/2006/relationships/ctrlProp" Target="../ctrlProps/ctrlProp674.xml"/><Relationship Id="rId11" Type="http://schemas.openxmlformats.org/officeDocument/2006/relationships/ctrlProp" Target="../ctrlProps/ctrlProp669.xml"/><Relationship Id="rId32" Type="http://schemas.openxmlformats.org/officeDocument/2006/relationships/ctrlProp" Target="../ctrlProps/ctrlProp690.xml"/><Relationship Id="rId37" Type="http://schemas.openxmlformats.org/officeDocument/2006/relationships/ctrlProp" Target="../ctrlProps/ctrlProp695.xml"/><Relationship Id="rId53" Type="http://schemas.openxmlformats.org/officeDocument/2006/relationships/ctrlProp" Target="../ctrlProps/ctrlProp711.xml"/><Relationship Id="rId58" Type="http://schemas.openxmlformats.org/officeDocument/2006/relationships/ctrlProp" Target="../ctrlProps/ctrlProp716.xml"/><Relationship Id="rId74" Type="http://schemas.openxmlformats.org/officeDocument/2006/relationships/ctrlProp" Target="../ctrlProps/ctrlProp732.xml"/><Relationship Id="rId79" Type="http://schemas.openxmlformats.org/officeDocument/2006/relationships/ctrlProp" Target="../ctrlProps/ctrlProp737.xml"/><Relationship Id="rId5" Type="http://schemas.openxmlformats.org/officeDocument/2006/relationships/ctrlProp" Target="../ctrlProps/ctrlProp663.xml"/><Relationship Id="rId90" Type="http://schemas.openxmlformats.org/officeDocument/2006/relationships/ctrlProp" Target="../ctrlProps/ctrlProp748.xml"/><Relationship Id="rId95" Type="http://schemas.openxmlformats.org/officeDocument/2006/relationships/ctrlProp" Target="../ctrlProps/ctrlProp753.xml"/><Relationship Id="rId22" Type="http://schemas.openxmlformats.org/officeDocument/2006/relationships/ctrlProp" Target="../ctrlProps/ctrlProp680.xml"/><Relationship Id="rId27" Type="http://schemas.openxmlformats.org/officeDocument/2006/relationships/ctrlProp" Target="../ctrlProps/ctrlProp685.xml"/><Relationship Id="rId43" Type="http://schemas.openxmlformats.org/officeDocument/2006/relationships/ctrlProp" Target="../ctrlProps/ctrlProp701.xml"/><Relationship Id="rId48" Type="http://schemas.openxmlformats.org/officeDocument/2006/relationships/ctrlProp" Target="../ctrlProps/ctrlProp706.xml"/><Relationship Id="rId64" Type="http://schemas.openxmlformats.org/officeDocument/2006/relationships/ctrlProp" Target="../ctrlProps/ctrlProp722.xml"/><Relationship Id="rId69" Type="http://schemas.openxmlformats.org/officeDocument/2006/relationships/ctrlProp" Target="../ctrlProps/ctrlProp727.xml"/><Relationship Id="rId80" Type="http://schemas.openxmlformats.org/officeDocument/2006/relationships/ctrlProp" Target="../ctrlProps/ctrlProp738.xml"/><Relationship Id="rId85" Type="http://schemas.openxmlformats.org/officeDocument/2006/relationships/ctrlProp" Target="../ctrlProps/ctrlProp743.xml"/><Relationship Id="rId3" Type="http://schemas.openxmlformats.org/officeDocument/2006/relationships/control" Target="../activeX/activeX36.xml"/><Relationship Id="rId12" Type="http://schemas.openxmlformats.org/officeDocument/2006/relationships/ctrlProp" Target="../ctrlProps/ctrlProp670.xml"/><Relationship Id="rId17" Type="http://schemas.openxmlformats.org/officeDocument/2006/relationships/ctrlProp" Target="../ctrlProps/ctrlProp675.xml"/><Relationship Id="rId25" Type="http://schemas.openxmlformats.org/officeDocument/2006/relationships/ctrlProp" Target="../ctrlProps/ctrlProp683.xml"/><Relationship Id="rId33" Type="http://schemas.openxmlformats.org/officeDocument/2006/relationships/ctrlProp" Target="../ctrlProps/ctrlProp691.xml"/><Relationship Id="rId38" Type="http://schemas.openxmlformats.org/officeDocument/2006/relationships/ctrlProp" Target="../ctrlProps/ctrlProp696.xml"/><Relationship Id="rId46" Type="http://schemas.openxmlformats.org/officeDocument/2006/relationships/ctrlProp" Target="../ctrlProps/ctrlProp704.xml"/><Relationship Id="rId59" Type="http://schemas.openxmlformats.org/officeDocument/2006/relationships/ctrlProp" Target="../ctrlProps/ctrlProp717.xml"/><Relationship Id="rId67" Type="http://schemas.openxmlformats.org/officeDocument/2006/relationships/ctrlProp" Target="../ctrlProps/ctrlProp725.xml"/><Relationship Id="rId20" Type="http://schemas.openxmlformats.org/officeDocument/2006/relationships/ctrlProp" Target="../ctrlProps/ctrlProp678.xml"/><Relationship Id="rId41" Type="http://schemas.openxmlformats.org/officeDocument/2006/relationships/ctrlProp" Target="../ctrlProps/ctrlProp699.xml"/><Relationship Id="rId54" Type="http://schemas.openxmlformats.org/officeDocument/2006/relationships/ctrlProp" Target="../ctrlProps/ctrlProp712.xml"/><Relationship Id="rId62" Type="http://schemas.openxmlformats.org/officeDocument/2006/relationships/ctrlProp" Target="../ctrlProps/ctrlProp720.xml"/><Relationship Id="rId70" Type="http://schemas.openxmlformats.org/officeDocument/2006/relationships/ctrlProp" Target="../ctrlProps/ctrlProp728.xml"/><Relationship Id="rId75" Type="http://schemas.openxmlformats.org/officeDocument/2006/relationships/ctrlProp" Target="../ctrlProps/ctrlProp733.xml"/><Relationship Id="rId83" Type="http://schemas.openxmlformats.org/officeDocument/2006/relationships/ctrlProp" Target="../ctrlProps/ctrlProp741.xml"/><Relationship Id="rId88" Type="http://schemas.openxmlformats.org/officeDocument/2006/relationships/ctrlProp" Target="../ctrlProps/ctrlProp746.xml"/><Relationship Id="rId91" Type="http://schemas.openxmlformats.org/officeDocument/2006/relationships/ctrlProp" Target="../ctrlProps/ctrlProp749.xml"/><Relationship Id="rId96" Type="http://schemas.openxmlformats.org/officeDocument/2006/relationships/ctrlProp" Target="../ctrlProps/ctrlProp754.x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664.xml"/><Relationship Id="rId15" Type="http://schemas.openxmlformats.org/officeDocument/2006/relationships/ctrlProp" Target="../ctrlProps/ctrlProp673.xml"/><Relationship Id="rId23" Type="http://schemas.openxmlformats.org/officeDocument/2006/relationships/ctrlProp" Target="../ctrlProps/ctrlProp681.xml"/><Relationship Id="rId28" Type="http://schemas.openxmlformats.org/officeDocument/2006/relationships/ctrlProp" Target="../ctrlProps/ctrlProp686.xml"/><Relationship Id="rId36" Type="http://schemas.openxmlformats.org/officeDocument/2006/relationships/ctrlProp" Target="../ctrlProps/ctrlProp694.xml"/><Relationship Id="rId49" Type="http://schemas.openxmlformats.org/officeDocument/2006/relationships/ctrlProp" Target="../ctrlProps/ctrlProp707.xml"/><Relationship Id="rId57" Type="http://schemas.openxmlformats.org/officeDocument/2006/relationships/ctrlProp" Target="../ctrlProps/ctrlProp715.xml"/><Relationship Id="rId10" Type="http://schemas.openxmlformats.org/officeDocument/2006/relationships/ctrlProp" Target="../ctrlProps/ctrlProp668.xml"/><Relationship Id="rId31" Type="http://schemas.openxmlformats.org/officeDocument/2006/relationships/ctrlProp" Target="../ctrlProps/ctrlProp689.xml"/><Relationship Id="rId44" Type="http://schemas.openxmlformats.org/officeDocument/2006/relationships/ctrlProp" Target="../ctrlProps/ctrlProp702.xml"/><Relationship Id="rId52" Type="http://schemas.openxmlformats.org/officeDocument/2006/relationships/ctrlProp" Target="../ctrlProps/ctrlProp710.xml"/><Relationship Id="rId60" Type="http://schemas.openxmlformats.org/officeDocument/2006/relationships/ctrlProp" Target="../ctrlProps/ctrlProp718.xml"/><Relationship Id="rId65" Type="http://schemas.openxmlformats.org/officeDocument/2006/relationships/ctrlProp" Target="../ctrlProps/ctrlProp723.xml"/><Relationship Id="rId73" Type="http://schemas.openxmlformats.org/officeDocument/2006/relationships/ctrlProp" Target="../ctrlProps/ctrlProp731.xml"/><Relationship Id="rId78" Type="http://schemas.openxmlformats.org/officeDocument/2006/relationships/ctrlProp" Target="../ctrlProps/ctrlProp736.xml"/><Relationship Id="rId81" Type="http://schemas.openxmlformats.org/officeDocument/2006/relationships/ctrlProp" Target="../ctrlProps/ctrlProp739.xml"/><Relationship Id="rId86" Type="http://schemas.openxmlformats.org/officeDocument/2006/relationships/ctrlProp" Target="../ctrlProps/ctrlProp744.xml"/><Relationship Id="rId94" Type="http://schemas.openxmlformats.org/officeDocument/2006/relationships/ctrlProp" Target="../ctrlProps/ctrlProp752.xml"/><Relationship Id="rId4" Type="http://schemas.openxmlformats.org/officeDocument/2006/relationships/image" Target="../media/image37.emf"/><Relationship Id="rId9" Type="http://schemas.openxmlformats.org/officeDocument/2006/relationships/ctrlProp" Target="../ctrlProps/ctrlProp667.xml"/><Relationship Id="rId13" Type="http://schemas.openxmlformats.org/officeDocument/2006/relationships/ctrlProp" Target="../ctrlProps/ctrlProp671.xml"/><Relationship Id="rId18" Type="http://schemas.openxmlformats.org/officeDocument/2006/relationships/ctrlProp" Target="../ctrlProps/ctrlProp676.xml"/><Relationship Id="rId39" Type="http://schemas.openxmlformats.org/officeDocument/2006/relationships/ctrlProp" Target="../ctrlProps/ctrlProp697.xml"/><Relationship Id="rId34" Type="http://schemas.openxmlformats.org/officeDocument/2006/relationships/ctrlProp" Target="../ctrlProps/ctrlProp692.xml"/><Relationship Id="rId50" Type="http://schemas.openxmlformats.org/officeDocument/2006/relationships/ctrlProp" Target="../ctrlProps/ctrlProp708.xml"/><Relationship Id="rId55" Type="http://schemas.openxmlformats.org/officeDocument/2006/relationships/ctrlProp" Target="../ctrlProps/ctrlProp713.xml"/><Relationship Id="rId76" Type="http://schemas.openxmlformats.org/officeDocument/2006/relationships/ctrlProp" Target="../ctrlProps/ctrlProp734.xml"/><Relationship Id="rId97" Type="http://schemas.openxmlformats.org/officeDocument/2006/relationships/ctrlProp" Target="../ctrlProps/ctrlProp755.xml"/><Relationship Id="rId7" Type="http://schemas.openxmlformats.org/officeDocument/2006/relationships/ctrlProp" Target="../ctrlProps/ctrlProp665.xml"/><Relationship Id="rId71" Type="http://schemas.openxmlformats.org/officeDocument/2006/relationships/ctrlProp" Target="../ctrlProps/ctrlProp729.xml"/><Relationship Id="rId92" Type="http://schemas.openxmlformats.org/officeDocument/2006/relationships/ctrlProp" Target="../ctrlProps/ctrlProp750.xml"/><Relationship Id="rId2" Type="http://schemas.openxmlformats.org/officeDocument/2006/relationships/vmlDrawing" Target="../drawings/vmlDrawing20.vml"/><Relationship Id="rId29" Type="http://schemas.openxmlformats.org/officeDocument/2006/relationships/ctrlProp" Target="../ctrlProps/ctrlProp687.xml"/><Relationship Id="rId24" Type="http://schemas.openxmlformats.org/officeDocument/2006/relationships/ctrlProp" Target="../ctrlProps/ctrlProp682.xml"/><Relationship Id="rId40" Type="http://schemas.openxmlformats.org/officeDocument/2006/relationships/ctrlProp" Target="../ctrlProps/ctrlProp698.xml"/><Relationship Id="rId45" Type="http://schemas.openxmlformats.org/officeDocument/2006/relationships/ctrlProp" Target="../ctrlProps/ctrlProp703.xml"/><Relationship Id="rId66" Type="http://schemas.openxmlformats.org/officeDocument/2006/relationships/ctrlProp" Target="../ctrlProps/ctrlProp724.xml"/><Relationship Id="rId87" Type="http://schemas.openxmlformats.org/officeDocument/2006/relationships/ctrlProp" Target="../ctrlProps/ctrlProp745.xml"/><Relationship Id="rId61" Type="http://schemas.openxmlformats.org/officeDocument/2006/relationships/ctrlProp" Target="../ctrlProps/ctrlProp719.xml"/><Relationship Id="rId82" Type="http://schemas.openxmlformats.org/officeDocument/2006/relationships/ctrlProp" Target="../ctrlProps/ctrlProp740.xml"/><Relationship Id="rId19" Type="http://schemas.openxmlformats.org/officeDocument/2006/relationships/ctrlProp" Target="../ctrlProps/ctrlProp677.xml"/><Relationship Id="rId14" Type="http://schemas.openxmlformats.org/officeDocument/2006/relationships/ctrlProp" Target="../ctrlProps/ctrlProp672.xml"/><Relationship Id="rId30" Type="http://schemas.openxmlformats.org/officeDocument/2006/relationships/ctrlProp" Target="../ctrlProps/ctrlProp688.xml"/><Relationship Id="rId35" Type="http://schemas.openxmlformats.org/officeDocument/2006/relationships/ctrlProp" Target="../ctrlProps/ctrlProp693.xml"/><Relationship Id="rId56" Type="http://schemas.openxmlformats.org/officeDocument/2006/relationships/ctrlProp" Target="../ctrlProps/ctrlProp714.xml"/><Relationship Id="rId77" Type="http://schemas.openxmlformats.org/officeDocument/2006/relationships/ctrlProp" Target="../ctrlProps/ctrlProp735.xml"/><Relationship Id="rId8" Type="http://schemas.openxmlformats.org/officeDocument/2006/relationships/ctrlProp" Target="../ctrlProps/ctrlProp666.xml"/><Relationship Id="rId51" Type="http://schemas.openxmlformats.org/officeDocument/2006/relationships/ctrlProp" Target="../ctrlProps/ctrlProp709.xml"/><Relationship Id="rId72" Type="http://schemas.openxmlformats.org/officeDocument/2006/relationships/ctrlProp" Target="../ctrlProps/ctrlProp730.xml"/><Relationship Id="rId93" Type="http://schemas.openxmlformats.org/officeDocument/2006/relationships/ctrlProp" Target="../ctrlProps/ctrlProp751.xml"/></Relationships>
</file>

<file path=xl/worksheets/_rels/sheet2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74.xml"/><Relationship Id="rId21" Type="http://schemas.openxmlformats.org/officeDocument/2006/relationships/ctrlProp" Target="../ctrlProps/ctrlProp769.xml"/><Relationship Id="rId42" Type="http://schemas.openxmlformats.org/officeDocument/2006/relationships/ctrlProp" Target="../ctrlProps/ctrlProp790.xml"/><Relationship Id="rId47" Type="http://schemas.openxmlformats.org/officeDocument/2006/relationships/ctrlProp" Target="../ctrlProps/ctrlProp795.xml"/><Relationship Id="rId63" Type="http://schemas.openxmlformats.org/officeDocument/2006/relationships/ctrlProp" Target="../ctrlProps/ctrlProp811.xml"/><Relationship Id="rId68" Type="http://schemas.openxmlformats.org/officeDocument/2006/relationships/ctrlProp" Target="../ctrlProps/ctrlProp816.xml"/><Relationship Id="rId84" Type="http://schemas.openxmlformats.org/officeDocument/2006/relationships/ctrlProp" Target="../ctrlProps/ctrlProp832.xml"/><Relationship Id="rId89" Type="http://schemas.openxmlformats.org/officeDocument/2006/relationships/ctrlProp" Target="../ctrlProps/ctrlProp837.xml"/><Relationship Id="rId112" Type="http://schemas.openxmlformats.org/officeDocument/2006/relationships/ctrlProp" Target="../ctrlProps/ctrlProp860.xml"/><Relationship Id="rId16" Type="http://schemas.openxmlformats.org/officeDocument/2006/relationships/ctrlProp" Target="../ctrlProps/ctrlProp764.xml"/><Relationship Id="rId107" Type="http://schemas.openxmlformats.org/officeDocument/2006/relationships/ctrlProp" Target="../ctrlProps/ctrlProp855.xml"/><Relationship Id="rId11" Type="http://schemas.openxmlformats.org/officeDocument/2006/relationships/ctrlProp" Target="../ctrlProps/ctrlProp759.xml"/><Relationship Id="rId32" Type="http://schemas.openxmlformats.org/officeDocument/2006/relationships/ctrlProp" Target="../ctrlProps/ctrlProp780.xml"/><Relationship Id="rId37" Type="http://schemas.openxmlformats.org/officeDocument/2006/relationships/ctrlProp" Target="../ctrlProps/ctrlProp785.xml"/><Relationship Id="rId53" Type="http://schemas.openxmlformats.org/officeDocument/2006/relationships/ctrlProp" Target="../ctrlProps/ctrlProp801.xml"/><Relationship Id="rId58" Type="http://schemas.openxmlformats.org/officeDocument/2006/relationships/ctrlProp" Target="../ctrlProps/ctrlProp806.xml"/><Relationship Id="rId74" Type="http://schemas.openxmlformats.org/officeDocument/2006/relationships/ctrlProp" Target="../ctrlProps/ctrlProp822.xml"/><Relationship Id="rId79" Type="http://schemas.openxmlformats.org/officeDocument/2006/relationships/ctrlProp" Target="../ctrlProps/ctrlProp827.xml"/><Relationship Id="rId102" Type="http://schemas.openxmlformats.org/officeDocument/2006/relationships/ctrlProp" Target="../ctrlProps/ctrlProp850.xml"/><Relationship Id="rId5" Type="http://schemas.openxmlformats.org/officeDocument/2006/relationships/image" Target="../media/image38.emf"/><Relationship Id="rId90" Type="http://schemas.openxmlformats.org/officeDocument/2006/relationships/ctrlProp" Target="../ctrlProps/ctrlProp838.xml"/><Relationship Id="rId95" Type="http://schemas.openxmlformats.org/officeDocument/2006/relationships/ctrlProp" Target="../ctrlProps/ctrlProp843.xml"/><Relationship Id="rId22" Type="http://schemas.openxmlformats.org/officeDocument/2006/relationships/ctrlProp" Target="../ctrlProps/ctrlProp770.xml"/><Relationship Id="rId27" Type="http://schemas.openxmlformats.org/officeDocument/2006/relationships/ctrlProp" Target="../ctrlProps/ctrlProp775.xml"/><Relationship Id="rId43" Type="http://schemas.openxmlformats.org/officeDocument/2006/relationships/ctrlProp" Target="../ctrlProps/ctrlProp791.xml"/><Relationship Id="rId48" Type="http://schemas.openxmlformats.org/officeDocument/2006/relationships/ctrlProp" Target="../ctrlProps/ctrlProp796.xml"/><Relationship Id="rId64" Type="http://schemas.openxmlformats.org/officeDocument/2006/relationships/ctrlProp" Target="../ctrlProps/ctrlProp812.xml"/><Relationship Id="rId69" Type="http://schemas.openxmlformats.org/officeDocument/2006/relationships/ctrlProp" Target="../ctrlProps/ctrlProp817.xml"/><Relationship Id="rId80" Type="http://schemas.openxmlformats.org/officeDocument/2006/relationships/ctrlProp" Target="../ctrlProps/ctrlProp828.xml"/><Relationship Id="rId85" Type="http://schemas.openxmlformats.org/officeDocument/2006/relationships/ctrlProp" Target="../ctrlProps/ctrlProp833.xml"/><Relationship Id="rId12" Type="http://schemas.openxmlformats.org/officeDocument/2006/relationships/ctrlProp" Target="../ctrlProps/ctrlProp760.xml"/><Relationship Id="rId17" Type="http://schemas.openxmlformats.org/officeDocument/2006/relationships/ctrlProp" Target="../ctrlProps/ctrlProp765.xml"/><Relationship Id="rId33" Type="http://schemas.openxmlformats.org/officeDocument/2006/relationships/ctrlProp" Target="../ctrlProps/ctrlProp781.xml"/><Relationship Id="rId38" Type="http://schemas.openxmlformats.org/officeDocument/2006/relationships/ctrlProp" Target="../ctrlProps/ctrlProp786.xml"/><Relationship Id="rId59" Type="http://schemas.openxmlformats.org/officeDocument/2006/relationships/ctrlProp" Target="../ctrlProps/ctrlProp807.xml"/><Relationship Id="rId103" Type="http://schemas.openxmlformats.org/officeDocument/2006/relationships/ctrlProp" Target="../ctrlProps/ctrlProp851.xml"/><Relationship Id="rId108" Type="http://schemas.openxmlformats.org/officeDocument/2006/relationships/ctrlProp" Target="../ctrlProps/ctrlProp856.xml"/><Relationship Id="rId54" Type="http://schemas.openxmlformats.org/officeDocument/2006/relationships/ctrlProp" Target="../ctrlProps/ctrlProp802.xml"/><Relationship Id="rId70" Type="http://schemas.openxmlformats.org/officeDocument/2006/relationships/ctrlProp" Target="../ctrlProps/ctrlProp818.xml"/><Relationship Id="rId75" Type="http://schemas.openxmlformats.org/officeDocument/2006/relationships/ctrlProp" Target="../ctrlProps/ctrlProp823.xml"/><Relationship Id="rId91" Type="http://schemas.openxmlformats.org/officeDocument/2006/relationships/ctrlProp" Target="../ctrlProps/ctrlProp839.xml"/><Relationship Id="rId96" Type="http://schemas.openxmlformats.org/officeDocument/2006/relationships/ctrlProp" Target="../ctrlProps/ctrlProp84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8.xml"/><Relationship Id="rId15" Type="http://schemas.openxmlformats.org/officeDocument/2006/relationships/ctrlProp" Target="../ctrlProps/ctrlProp763.xml"/><Relationship Id="rId23" Type="http://schemas.openxmlformats.org/officeDocument/2006/relationships/ctrlProp" Target="../ctrlProps/ctrlProp771.xml"/><Relationship Id="rId28" Type="http://schemas.openxmlformats.org/officeDocument/2006/relationships/ctrlProp" Target="../ctrlProps/ctrlProp776.xml"/><Relationship Id="rId36" Type="http://schemas.openxmlformats.org/officeDocument/2006/relationships/ctrlProp" Target="../ctrlProps/ctrlProp784.xml"/><Relationship Id="rId49" Type="http://schemas.openxmlformats.org/officeDocument/2006/relationships/ctrlProp" Target="../ctrlProps/ctrlProp797.xml"/><Relationship Id="rId57" Type="http://schemas.openxmlformats.org/officeDocument/2006/relationships/ctrlProp" Target="../ctrlProps/ctrlProp805.xml"/><Relationship Id="rId106" Type="http://schemas.openxmlformats.org/officeDocument/2006/relationships/ctrlProp" Target="../ctrlProps/ctrlProp854.xml"/><Relationship Id="rId10" Type="http://schemas.openxmlformats.org/officeDocument/2006/relationships/ctrlProp" Target="../ctrlProps/ctrlProp758.xml"/><Relationship Id="rId31" Type="http://schemas.openxmlformats.org/officeDocument/2006/relationships/ctrlProp" Target="../ctrlProps/ctrlProp779.xml"/><Relationship Id="rId44" Type="http://schemas.openxmlformats.org/officeDocument/2006/relationships/ctrlProp" Target="../ctrlProps/ctrlProp792.xml"/><Relationship Id="rId52" Type="http://schemas.openxmlformats.org/officeDocument/2006/relationships/ctrlProp" Target="../ctrlProps/ctrlProp800.xml"/><Relationship Id="rId60" Type="http://schemas.openxmlformats.org/officeDocument/2006/relationships/ctrlProp" Target="../ctrlProps/ctrlProp808.xml"/><Relationship Id="rId65" Type="http://schemas.openxmlformats.org/officeDocument/2006/relationships/ctrlProp" Target="../ctrlProps/ctrlProp813.xml"/><Relationship Id="rId73" Type="http://schemas.openxmlformats.org/officeDocument/2006/relationships/ctrlProp" Target="../ctrlProps/ctrlProp821.xml"/><Relationship Id="rId78" Type="http://schemas.openxmlformats.org/officeDocument/2006/relationships/ctrlProp" Target="../ctrlProps/ctrlProp826.xml"/><Relationship Id="rId81" Type="http://schemas.openxmlformats.org/officeDocument/2006/relationships/ctrlProp" Target="../ctrlProps/ctrlProp829.xml"/><Relationship Id="rId86" Type="http://schemas.openxmlformats.org/officeDocument/2006/relationships/ctrlProp" Target="../ctrlProps/ctrlProp834.xml"/><Relationship Id="rId94" Type="http://schemas.openxmlformats.org/officeDocument/2006/relationships/ctrlProp" Target="../ctrlProps/ctrlProp842.xml"/><Relationship Id="rId99" Type="http://schemas.openxmlformats.org/officeDocument/2006/relationships/ctrlProp" Target="../ctrlProps/ctrlProp847.xml"/><Relationship Id="rId101" Type="http://schemas.openxmlformats.org/officeDocument/2006/relationships/ctrlProp" Target="../ctrlProps/ctrlProp849.xml"/><Relationship Id="rId4" Type="http://schemas.openxmlformats.org/officeDocument/2006/relationships/control" Target="../activeX/activeX37.xml"/><Relationship Id="rId9" Type="http://schemas.openxmlformats.org/officeDocument/2006/relationships/ctrlProp" Target="../ctrlProps/ctrlProp757.xml"/><Relationship Id="rId13" Type="http://schemas.openxmlformats.org/officeDocument/2006/relationships/ctrlProp" Target="../ctrlProps/ctrlProp761.xml"/><Relationship Id="rId18" Type="http://schemas.openxmlformats.org/officeDocument/2006/relationships/ctrlProp" Target="../ctrlProps/ctrlProp766.xml"/><Relationship Id="rId39" Type="http://schemas.openxmlformats.org/officeDocument/2006/relationships/ctrlProp" Target="../ctrlProps/ctrlProp787.xml"/><Relationship Id="rId109" Type="http://schemas.openxmlformats.org/officeDocument/2006/relationships/ctrlProp" Target="../ctrlProps/ctrlProp857.xml"/><Relationship Id="rId34" Type="http://schemas.openxmlformats.org/officeDocument/2006/relationships/ctrlProp" Target="../ctrlProps/ctrlProp782.xml"/><Relationship Id="rId50" Type="http://schemas.openxmlformats.org/officeDocument/2006/relationships/ctrlProp" Target="../ctrlProps/ctrlProp798.xml"/><Relationship Id="rId55" Type="http://schemas.openxmlformats.org/officeDocument/2006/relationships/ctrlProp" Target="../ctrlProps/ctrlProp803.xml"/><Relationship Id="rId76" Type="http://schemas.openxmlformats.org/officeDocument/2006/relationships/ctrlProp" Target="../ctrlProps/ctrlProp824.xml"/><Relationship Id="rId97" Type="http://schemas.openxmlformats.org/officeDocument/2006/relationships/ctrlProp" Target="../ctrlProps/ctrlProp845.xml"/><Relationship Id="rId104" Type="http://schemas.openxmlformats.org/officeDocument/2006/relationships/ctrlProp" Target="../ctrlProps/ctrlProp852.xml"/><Relationship Id="rId7" Type="http://schemas.openxmlformats.org/officeDocument/2006/relationships/image" Target="../media/image19.emf"/><Relationship Id="rId71" Type="http://schemas.openxmlformats.org/officeDocument/2006/relationships/ctrlProp" Target="../ctrlProps/ctrlProp819.xml"/><Relationship Id="rId92" Type="http://schemas.openxmlformats.org/officeDocument/2006/relationships/ctrlProp" Target="../ctrlProps/ctrlProp840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777.xml"/><Relationship Id="rId24" Type="http://schemas.openxmlformats.org/officeDocument/2006/relationships/ctrlProp" Target="../ctrlProps/ctrlProp772.xml"/><Relationship Id="rId40" Type="http://schemas.openxmlformats.org/officeDocument/2006/relationships/ctrlProp" Target="../ctrlProps/ctrlProp788.xml"/><Relationship Id="rId45" Type="http://schemas.openxmlformats.org/officeDocument/2006/relationships/ctrlProp" Target="../ctrlProps/ctrlProp793.xml"/><Relationship Id="rId66" Type="http://schemas.openxmlformats.org/officeDocument/2006/relationships/ctrlProp" Target="../ctrlProps/ctrlProp814.xml"/><Relationship Id="rId87" Type="http://schemas.openxmlformats.org/officeDocument/2006/relationships/ctrlProp" Target="../ctrlProps/ctrlProp835.xml"/><Relationship Id="rId110" Type="http://schemas.openxmlformats.org/officeDocument/2006/relationships/ctrlProp" Target="../ctrlProps/ctrlProp858.xml"/><Relationship Id="rId61" Type="http://schemas.openxmlformats.org/officeDocument/2006/relationships/ctrlProp" Target="../ctrlProps/ctrlProp809.xml"/><Relationship Id="rId82" Type="http://schemas.openxmlformats.org/officeDocument/2006/relationships/ctrlProp" Target="../ctrlProps/ctrlProp830.xml"/><Relationship Id="rId19" Type="http://schemas.openxmlformats.org/officeDocument/2006/relationships/ctrlProp" Target="../ctrlProps/ctrlProp767.xml"/><Relationship Id="rId14" Type="http://schemas.openxmlformats.org/officeDocument/2006/relationships/ctrlProp" Target="../ctrlProps/ctrlProp762.xml"/><Relationship Id="rId30" Type="http://schemas.openxmlformats.org/officeDocument/2006/relationships/ctrlProp" Target="../ctrlProps/ctrlProp778.xml"/><Relationship Id="rId35" Type="http://schemas.openxmlformats.org/officeDocument/2006/relationships/ctrlProp" Target="../ctrlProps/ctrlProp783.xml"/><Relationship Id="rId56" Type="http://schemas.openxmlformats.org/officeDocument/2006/relationships/ctrlProp" Target="../ctrlProps/ctrlProp804.xml"/><Relationship Id="rId77" Type="http://schemas.openxmlformats.org/officeDocument/2006/relationships/ctrlProp" Target="../ctrlProps/ctrlProp825.xml"/><Relationship Id="rId100" Type="http://schemas.openxmlformats.org/officeDocument/2006/relationships/ctrlProp" Target="../ctrlProps/ctrlProp848.xml"/><Relationship Id="rId105" Type="http://schemas.openxmlformats.org/officeDocument/2006/relationships/ctrlProp" Target="../ctrlProps/ctrlProp853.xml"/><Relationship Id="rId8" Type="http://schemas.openxmlformats.org/officeDocument/2006/relationships/ctrlProp" Target="../ctrlProps/ctrlProp756.xml"/><Relationship Id="rId51" Type="http://schemas.openxmlformats.org/officeDocument/2006/relationships/ctrlProp" Target="../ctrlProps/ctrlProp799.xml"/><Relationship Id="rId72" Type="http://schemas.openxmlformats.org/officeDocument/2006/relationships/ctrlProp" Target="../ctrlProps/ctrlProp820.xml"/><Relationship Id="rId93" Type="http://schemas.openxmlformats.org/officeDocument/2006/relationships/ctrlProp" Target="../ctrlProps/ctrlProp841.xml"/><Relationship Id="rId98" Type="http://schemas.openxmlformats.org/officeDocument/2006/relationships/ctrlProp" Target="../ctrlProps/ctrlProp846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773.xml"/><Relationship Id="rId46" Type="http://schemas.openxmlformats.org/officeDocument/2006/relationships/ctrlProp" Target="../ctrlProps/ctrlProp794.xml"/><Relationship Id="rId67" Type="http://schemas.openxmlformats.org/officeDocument/2006/relationships/ctrlProp" Target="../ctrlProps/ctrlProp815.xml"/><Relationship Id="rId20" Type="http://schemas.openxmlformats.org/officeDocument/2006/relationships/ctrlProp" Target="../ctrlProps/ctrlProp768.xml"/><Relationship Id="rId41" Type="http://schemas.openxmlformats.org/officeDocument/2006/relationships/ctrlProp" Target="../ctrlProps/ctrlProp789.xml"/><Relationship Id="rId62" Type="http://schemas.openxmlformats.org/officeDocument/2006/relationships/ctrlProp" Target="../ctrlProps/ctrlProp810.xml"/><Relationship Id="rId83" Type="http://schemas.openxmlformats.org/officeDocument/2006/relationships/ctrlProp" Target="../ctrlProps/ctrlProp831.xml"/><Relationship Id="rId88" Type="http://schemas.openxmlformats.org/officeDocument/2006/relationships/ctrlProp" Target="../ctrlProps/ctrlProp836.xml"/><Relationship Id="rId111" Type="http://schemas.openxmlformats.org/officeDocument/2006/relationships/ctrlProp" Target="../ctrlProps/ctrlProp85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www.porterselectricmotorservice.com/images/radial%20ball%20bearing%20fit%20tolerances.pdf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B4:I38"/>
  <sheetViews>
    <sheetView showGridLines="0" showRowColHeaders="0" zoomScaleNormal="100" workbookViewId="0">
      <selection activeCell="E56" sqref="D56:E56"/>
    </sheetView>
  </sheetViews>
  <sheetFormatPr defaultColWidth="9.140625" defaultRowHeight="15" x14ac:dyDescent="0.25"/>
  <cols>
    <col min="2" max="2" width="6.42578125" customWidth="1"/>
    <col min="3" max="3" width="11.7109375" customWidth="1"/>
  </cols>
  <sheetData>
    <row r="4" spans="2:9" ht="24" customHeight="1" x14ac:dyDescent="0.35">
      <c r="B4" s="961" t="s">
        <v>41</v>
      </c>
      <c r="C4" s="961"/>
      <c r="D4" s="961"/>
      <c r="E4" s="961"/>
      <c r="F4" s="961"/>
      <c r="G4" s="961"/>
      <c r="H4" s="961"/>
      <c r="I4" s="961"/>
    </row>
    <row r="6" spans="2:9" ht="24" thickBot="1" x14ac:dyDescent="0.4">
      <c r="B6" s="960" t="s">
        <v>268</v>
      </c>
      <c r="C6" s="960"/>
      <c r="D6" s="960"/>
      <c r="E6" s="960"/>
      <c r="F6" s="960"/>
      <c r="G6" s="960"/>
      <c r="H6" s="960"/>
      <c r="I6" s="960"/>
    </row>
    <row r="8" spans="2:9" ht="18.75" x14ac:dyDescent="0.3">
      <c r="C8" s="32" t="s">
        <v>404</v>
      </c>
      <c r="E8" s="32" t="s">
        <v>405</v>
      </c>
      <c r="H8" s="32" t="s">
        <v>406</v>
      </c>
    </row>
    <row r="31" ht="15" customHeight="1" x14ac:dyDescent="0.25"/>
    <row r="32" s="611" customFormat="1" ht="15" customHeight="1" x14ac:dyDescent="0.25"/>
    <row r="33" spans="2:9" s="611" customFormat="1" ht="15" customHeight="1" x14ac:dyDescent="0.25"/>
    <row r="34" spans="2:9" s="611" customFormat="1" ht="15" customHeight="1" x14ac:dyDescent="0.25"/>
    <row r="35" spans="2:9" s="611" customFormat="1" ht="15" customHeight="1" x14ac:dyDescent="0.25"/>
    <row r="36" spans="2:9" s="611" customFormat="1" ht="15" customHeight="1" x14ac:dyDescent="0.25"/>
    <row r="37" spans="2:9" s="611" customFormat="1" ht="15" customHeight="1" x14ac:dyDescent="0.25"/>
    <row r="38" spans="2:9" ht="15" customHeight="1" thickBot="1" x14ac:dyDescent="0.3">
      <c r="B38" s="42"/>
      <c r="C38" s="42"/>
      <c r="D38" s="42"/>
      <c r="E38" s="42"/>
      <c r="F38" s="42"/>
      <c r="G38" s="42"/>
      <c r="H38" s="42"/>
      <c r="I38" s="42"/>
    </row>
  </sheetData>
  <sheetProtection sheet="1" selectLockedCells="1"/>
  <mergeCells count="2">
    <mergeCell ref="B6:I6"/>
    <mergeCell ref="B4:I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A24"/>
  <sheetViews>
    <sheetView showGridLines="0" showRowColHeaders="0" tabSelected="1" zoomScaleNormal="100" workbookViewId="0">
      <selection activeCell="P18" sqref="P18"/>
    </sheetView>
  </sheetViews>
  <sheetFormatPr defaultColWidth="9.140625" defaultRowHeight="15" x14ac:dyDescent="0.25"/>
  <cols>
    <col min="1" max="1" width="1.85546875" customWidth="1"/>
    <col min="2" max="2" width="18" style="2" customWidth="1"/>
    <col min="3" max="3" width="20" style="2" customWidth="1"/>
    <col min="4" max="4" width="11.7109375" customWidth="1"/>
    <col min="5" max="5" width="11.140625" style="2" customWidth="1"/>
    <col min="6" max="6" width="18" style="2" customWidth="1"/>
    <col min="7" max="7" width="1.7109375" customWidth="1"/>
    <col min="8" max="8" width="2.140625" customWidth="1"/>
    <col min="9" max="9" width="15.7109375" style="2" customWidth="1"/>
    <col min="10" max="10" width="13.5703125" style="7" customWidth="1"/>
    <col min="11" max="11" width="3.5703125" customWidth="1"/>
    <col min="12" max="12" width="7.85546875" style="3" customWidth="1"/>
    <col min="13" max="13" width="6.42578125" style="7" customWidth="1"/>
    <col min="14" max="14" width="4.85546875" customWidth="1"/>
    <col min="15" max="15" width="9.28515625" style="3" customWidth="1"/>
    <col min="16" max="16" width="12.28515625" style="7" customWidth="1"/>
    <col min="17" max="17" width="2.28515625" customWidth="1"/>
    <col min="18" max="18" width="8.5703125" style="3" customWidth="1"/>
    <col min="19" max="19" width="9.140625" style="7" customWidth="1"/>
    <col min="20" max="20" width="2.42578125" customWidth="1"/>
    <col min="21" max="21" width="1.140625" customWidth="1"/>
  </cols>
  <sheetData>
    <row r="1" spans="1:27" s="611" customFormat="1" x14ac:dyDescent="0.25">
      <c r="C1" s="2"/>
      <c r="D1" s="2"/>
      <c r="E1" s="2"/>
      <c r="F1" s="2"/>
      <c r="G1" s="2"/>
      <c r="K1" s="2"/>
      <c r="L1" s="2"/>
      <c r="M1" s="2"/>
    </row>
    <row r="2" spans="1:27" s="611" customFormat="1" ht="23.25" x14ac:dyDescent="0.25">
      <c r="A2" s="107"/>
      <c r="B2" s="107"/>
      <c r="C2" s="107"/>
      <c r="D2" s="107"/>
      <c r="E2" s="107"/>
      <c r="F2" s="107" t="s">
        <v>1457</v>
      </c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</row>
    <row r="3" spans="1:27" s="611" customFormat="1" ht="15.75" thickBot="1" x14ac:dyDescent="0.3">
      <c r="B3" s="43" t="str">
        <f>IF(OR(Unformatted!C3&gt;0,Unformatted!C18&gt;0),"WARNING: Items highlighted in red are required.","")</f>
        <v/>
      </c>
      <c r="C3" s="429"/>
      <c r="E3" s="409"/>
      <c r="F3" s="409"/>
      <c r="G3" s="419"/>
      <c r="I3" s="442" t="str">
        <f>Unformatted!G17</f>
        <v>VEM# FOUND</v>
      </c>
      <c r="K3" s="419"/>
      <c r="L3" s="396"/>
      <c r="M3" s="410"/>
      <c r="N3" s="419"/>
      <c r="O3" s="396"/>
      <c r="P3" s="396"/>
      <c r="Q3" s="410"/>
      <c r="R3" s="409"/>
      <c r="S3" s="419"/>
    </row>
    <row r="4" spans="1:27" ht="24" thickBot="1" x14ac:dyDescent="0.3">
      <c r="B4" s="962" t="s">
        <v>45</v>
      </c>
      <c r="C4" s="963"/>
      <c r="D4" s="963"/>
      <c r="E4" s="963"/>
      <c r="F4" s="963"/>
      <c r="G4" s="964"/>
      <c r="I4" s="962" t="s">
        <v>34</v>
      </c>
      <c r="J4" s="963"/>
      <c r="K4" s="963"/>
      <c r="L4" s="963"/>
      <c r="M4" s="963"/>
      <c r="N4" s="963"/>
      <c r="O4" s="963"/>
      <c r="P4" s="963"/>
      <c r="Q4" s="963"/>
      <c r="R4" s="963"/>
      <c r="S4" s="963"/>
      <c r="T4" s="963"/>
      <c r="U4" s="964"/>
    </row>
    <row r="5" spans="1:27" ht="11.25" customHeight="1" thickBot="1" x14ac:dyDescent="0.3">
      <c r="B5" s="31"/>
      <c r="G5" s="4"/>
      <c r="I5" s="31"/>
      <c r="R5" s="108"/>
      <c r="S5" s="108"/>
      <c r="T5" s="108"/>
      <c r="U5" s="4"/>
    </row>
    <row r="6" spans="1:27" ht="27.6" customHeight="1" thickBot="1" x14ac:dyDescent="0.3">
      <c r="B6" s="109" t="s">
        <v>1391</v>
      </c>
      <c r="C6" s="3"/>
      <c r="E6" s="110" t="s">
        <v>1388</v>
      </c>
      <c r="F6" s="86">
        <v>2669</v>
      </c>
      <c r="G6" s="4"/>
      <c r="I6" s="111" t="s">
        <v>1036</v>
      </c>
      <c r="J6" s="969" t="str">
        <f>Unformatted!G20</f>
        <v>Reliance</v>
      </c>
      <c r="K6" s="970"/>
      <c r="L6" s="971"/>
      <c r="N6" s="110" t="s">
        <v>1396</v>
      </c>
      <c r="O6" s="405"/>
      <c r="P6" s="405"/>
      <c r="R6" s="118" t="s">
        <v>52</v>
      </c>
      <c r="U6" s="112"/>
    </row>
    <row r="7" spans="1:27" ht="12.75" customHeight="1" thickBot="1" x14ac:dyDescent="0.3">
      <c r="B7" s="113"/>
      <c r="C7" s="3"/>
      <c r="E7" s="3"/>
      <c r="F7" s="7"/>
      <c r="G7" s="4"/>
      <c r="I7" s="113"/>
      <c r="J7" s="203"/>
      <c r="M7" s="166"/>
      <c r="N7" s="114"/>
      <c r="R7" s="118"/>
      <c r="S7" s="115" t="b">
        <v>0</v>
      </c>
      <c r="T7" s="108"/>
      <c r="U7" s="4"/>
    </row>
    <row r="8" spans="1:27" ht="27.6" customHeight="1" thickBot="1" x14ac:dyDescent="0.3">
      <c r="B8" s="109" t="s">
        <v>1384</v>
      </c>
      <c r="C8" s="3"/>
      <c r="E8" s="110" t="s">
        <v>1467</v>
      </c>
      <c r="F8" s="84" t="s">
        <v>1597</v>
      </c>
      <c r="G8" s="4"/>
      <c r="I8" s="31"/>
      <c r="J8" s="85" t="str">
        <f>Unformatted!G23</f>
        <v>25</v>
      </c>
      <c r="K8" s="646"/>
      <c r="L8" s="119" t="s">
        <v>48</v>
      </c>
      <c r="M8" s="972" t="str">
        <f>Unformatted!G24</f>
        <v>X250TY</v>
      </c>
      <c r="N8" s="973"/>
      <c r="O8" s="974"/>
      <c r="P8" s="119" t="s">
        <v>1326</v>
      </c>
      <c r="Q8" s="972" t="str">
        <f>Unformatted!G25</f>
        <v>P</v>
      </c>
      <c r="R8" s="973"/>
      <c r="S8" s="974"/>
      <c r="T8" s="108"/>
      <c r="U8" s="4"/>
    </row>
    <row r="9" spans="1:27" ht="12" customHeight="1" thickBot="1" x14ac:dyDescent="0.3">
      <c r="B9" s="116"/>
      <c r="C9" s="211" t="str">
        <f>IF(AND(Unformatted!F5&gt;1,C10&lt;&gt;""),"ERROR: Two Customers selected!","")</f>
        <v/>
      </c>
      <c r="E9" s="3"/>
      <c r="F9" s="647"/>
      <c r="G9" s="4"/>
      <c r="I9" s="31"/>
      <c r="J9" s="117"/>
      <c r="S9" s="19"/>
      <c r="U9" s="4"/>
    </row>
    <row r="10" spans="1:27" ht="27.6" customHeight="1" thickBot="1" x14ac:dyDescent="0.3">
      <c r="B10" s="109" t="s">
        <v>1468</v>
      </c>
      <c r="C10" s="965" t="s">
        <v>1595</v>
      </c>
      <c r="D10" s="966"/>
      <c r="E10" s="110" t="s">
        <v>1390</v>
      </c>
      <c r="F10" s="84"/>
      <c r="G10" s="4"/>
      <c r="I10" s="406" t="s">
        <v>1190</v>
      </c>
      <c r="J10" s="972">
        <v>460</v>
      </c>
      <c r="K10" s="973"/>
      <c r="L10" s="973"/>
      <c r="M10" s="973"/>
      <c r="N10" s="974"/>
      <c r="P10" s="397" t="s">
        <v>75</v>
      </c>
      <c r="Q10" s="646"/>
      <c r="R10"/>
      <c r="U10" s="4"/>
    </row>
    <row r="11" spans="1:27" ht="16.5" customHeight="1" thickBot="1" x14ac:dyDescent="0.3">
      <c r="B11" s="113"/>
      <c r="C11" s="117"/>
      <c r="G11" s="4"/>
      <c r="I11" s="31"/>
      <c r="U11" s="4"/>
    </row>
    <row r="12" spans="1:27" ht="27.6" customHeight="1" thickBot="1" x14ac:dyDescent="0.3">
      <c r="B12" s="111" t="s">
        <v>1469</v>
      </c>
      <c r="C12" s="967"/>
      <c r="D12" s="968"/>
      <c r="E12" s="110" t="s">
        <v>1392</v>
      </c>
      <c r="F12" s="87">
        <v>43823</v>
      </c>
      <c r="G12" s="4"/>
      <c r="I12" s="406" t="s">
        <v>1192</v>
      </c>
      <c r="J12" s="972" t="s">
        <v>1599</v>
      </c>
      <c r="K12" s="973"/>
      <c r="L12" s="973"/>
      <c r="M12" s="973"/>
      <c r="N12" s="974"/>
      <c r="O12" s="110" t="s">
        <v>1397</v>
      </c>
      <c r="P12" s="401" t="str">
        <f>Unformatted!G33</f>
        <v>3</v>
      </c>
      <c r="R12" s="110" t="s">
        <v>1463</v>
      </c>
      <c r="S12" s="401" t="str">
        <f>Unformatted!G38</f>
        <v>B</v>
      </c>
      <c r="U12" s="120"/>
    </row>
    <row r="13" spans="1:27" ht="13.5" customHeight="1" thickBot="1" x14ac:dyDescent="0.3">
      <c r="B13" s="113"/>
      <c r="C13" s="7"/>
      <c r="E13" s="3"/>
      <c r="F13" s="121"/>
      <c r="G13" s="4"/>
      <c r="I13" s="31"/>
      <c r="J13" s="19"/>
      <c r="M13" s="19"/>
      <c r="S13" s="19"/>
      <c r="U13" s="4"/>
    </row>
    <row r="14" spans="1:27" ht="27.6" customHeight="1" thickBot="1" x14ac:dyDescent="0.3">
      <c r="B14" s="111" t="s">
        <v>1470</v>
      </c>
      <c r="C14" s="967"/>
      <c r="D14" s="968"/>
      <c r="E14" s="110" t="s">
        <v>1393</v>
      </c>
      <c r="F14" s="87"/>
      <c r="G14" s="4"/>
      <c r="I14" s="406" t="s">
        <v>1395</v>
      </c>
      <c r="J14" s="986" t="str">
        <f>Unformatted!G28</f>
        <v>1760</v>
      </c>
      <c r="K14" s="987"/>
      <c r="L14" s="987"/>
      <c r="M14" s="987"/>
      <c r="N14" s="988"/>
      <c r="O14" s="110" t="s">
        <v>1398</v>
      </c>
      <c r="P14" s="401" t="str">
        <f>Unformatted!G34</f>
        <v>60</v>
      </c>
      <c r="R14" s="110" t="s">
        <v>1403</v>
      </c>
      <c r="S14" s="401" t="str">
        <f>Unformatted!G39</f>
        <v/>
      </c>
      <c r="T14" s="108"/>
      <c r="U14" s="112"/>
    </row>
    <row r="15" spans="1:27" ht="13.5" customHeight="1" thickBot="1" x14ac:dyDescent="0.3">
      <c r="B15" s="113"/>
      <c r="C15" s="7"/>
      <c r="G15" s="4"/>
      <c r="I15" s="31"/>
      <c r="J15" s="19"/>
      <c r="M15" s="19"/>
      <c r="P15" s="19"/>
      <c r="S15" s="19"/>
      <c r="U15" s="4"/>
    </row>
    <row r="16" spans="1:27" ht="27.6" customHeight="1" thickBot="1" x14ac:dyDescent="0.3">
      <c r="B16" s="111" t="s">
        <v>1387</v>
      </c>
      <c r="C16" s="967"/>
      <c r="D16" s="985"/>
      <c r="G16" s="4"/>
      <c r="I16" s="122"/>
      <c r="J16" s="972" t="str">
        <f>Unformatted!G29</f>
        <v/>
      </c>
      <c r="K16" s="973"/>
      <c r="L16" s="973"/>
      <c r="M16" s="973"/>
      <c r="N16" s="974"/>
      <c r="O16" s="110" t="s">
        <v>1406</v>
      </c>
      <c r="P16" s="664" t="str">
        <f>Unformatted!G35</f>
        <v>1.15</v>
      </c>
      <c r="R16" s="110" t="s">
        <v>1405</v>
      </c>
      <c r="S16" s="401" t="str">
        <f>Unformatted!G40</f>
        <v/>
      </c>
      <c r="U16" s="4"/>
    </row>
    <row r="17" spans="2:21" ht="13.5" customHeight="1" thickBot="1" x14ac:dyDescent="0.3">
      <c r="B17" s="113"/>
      <c r="D17" s="2"/>
      <c r="G17" s="4"/>
      <c r="I17" s="31"/>
      <c r="J17" s="19"/>
      <c r="M17" s="19"/>
      <c r="P17" s="19"/>
      <c r="S17" s="19"/>
      <c r="U17" s="4"/>
    </row>
    <row r="18" spans="2:21" ht="27.6" customHeight="1" thickBot="1" x14ac:dyDescent="0.3">
      <c r="B18" s="109" t="s">
        <v>1471</v>
      </c>
      <c r="D18" s="2"/>
      <c r="G18" s="4"/>
      <c r="I18" s="111"/>
      <c r="J18" s="972" t="str">
        <f>Unformatted!G30</f>
        <v/>
      </c>
      <c r="K18" s="973"/>
      <c r="L18" s="973"/>
      <c r="M18" s="973"/>
      <c r="N18" s="974"/>
      <c r="O18" s="110" t="s">
        <v>1462</v>
      </c>
      <c r="P18" s="401">
        <v>40</v>
      </c>
      <c r="R18" s="110" t="s">
        <v>1404</v>
      </c>
      <c r="S18" s="400" t="str">
        <f>Unformatted!G41</f>
        <v/>
      </c>
      <c r="T18" s="178" t="s">
        <v>607</v>
      </c>
      <c r="U18" s="4"/>
    </row>
    <row r="19" spans="2:21" ht="13.5" customHeight="1" thickBot="1" x14ac:dyDescent="0.3">
      <c r="B19" s="113"/>
      <c r="D19" s="2"/>
      <c r="G19" s="4"/>
      <c r="I19" s="31"/>
      <c r="J19" s="19"/>
      <c r="M19" s="19"/>
      <c r="P19" s="19"/>
      <c r="S19" s="19"/>
      <c r="U19" s="4"/>
    </row>
    <row r="20" spans="2:21" ht="27.6" customHeight="1" thickBot="1" x14ac:dyDescent="0.3">
      <c r="B20" s="31"/>
      <c r="D20" s="2"/>
      <c r="G20" s="4"/>
      <c r="I20" s="111"/>
      <c r="J20" s="972" t="str">
        <f>Unformatted!G31</f>
        <v/>
      </c>
      <c r="K20" s="973"/>
      <c r="L20" s="973"/>
      <c r="M20" s="973"/>
      <c r="N20" s="974"/>
      <c r="O20" s="110" t="s">
        <v>1400</v>
      </c>
      <c r="P20" s="400" t="str">
        <f>Unformatted!G37</f>
        <v/>
      </c>
      <c r="R20" s="110" t="s">
        <v>1464</v>
      </c>
      <c r="S20" s="400" t="str">
        <f>Unformatted!G42</f>
        <v>F</v>
      </c>
      <c r="T20" s="19"/>
      <c r="U20" s="4"/>
    </row>
    <row r="21" spans="2:21" ht="15.75" thickBot="1" x14ac:dyDescent="0.3">
      <c r="B21" s="975" t="s">
        <v>1472</v>
      </c>
      <c r="D21" s="2"/>
      <c r="G21" s="4"/>
      <c r="I21" s="113"/>
      <c r="J21" s="19"/>
      <c r="M21" s="19"/>
      <c r="P21" s="19"/>
      <c r="U21" s="4"/>
    </row>
    <row r="22" spans="2:21" ht="15" customHeight="1" x14ac:dyDescent="0.25">
      <c r="B22" s="975"/>
      <c r="G22" s="4"/>
      <c r="I22" s="978" t="s">
        <v>1465</v>
      </c>
      <c r="J22" s="979" t="str">
        <f>Unformatted!G43</f>
        <v/>
      </c>
      <c r="K22" s="980"/>
      <c r="L22" s="980"/>
      <c r="M22" s="981"/>
      <c r="N22" s="976" t="s">
        <v>1466</v>
      </c>
      <c r="O22" s="977"/>
      <c r="P22" s="979" t="str">
        <f>Unformatted!G44</f>
        <v/>
      </c>
      <c r="Q22" s="980"/>
      <c r="R22" s="980"/>
      <c r="S22" s="981"/>
      <c r="U22" s="4"/>
    </row>
    <row r="23" spans="2:21" ht="15.75" customHeight="1" thickBot="1" x14ac:dyDescent="0.3">
      <c r="B23" s="31"/>
      <c r="G23" s="4"/>
      <c r="I23" s="978"/>
      <c r="J23" s="982"/>
      <c r="K23" s="983"/>
      <c r="L23" s="983"/>
      <c r="M23" s="984"/>
      <c r="N23" s="976"/>
      <c r="O23" s="977"/>
      <c r="P23" s="982"/>
      <c r="Q23" s="983"/>
      <c r="R23" s="983"/>
      <c r="S23" s="984"/>
      <c r="U23" s="4"/>
    </row>
    <row r="24" spans="2:21" ht="15.75" thickBot="1" x14ac:dyDescent="0.3">
      <c r="B24" s="139"/>
      <c r="C24" s="123"/>
      <c r="D24" s="5"/>
      <c r="E24" s="123"/>
      <c r="F24" s="123"/>
      <c r="G24" s="6"/>
      <c r="I24" s="139"/>
      <c r="J24" s="124"/>
      <c r="K24" s="5"/>
      <c r="L24" s="41"/>
      <c r="M24" s="124"/>
      <c r="N24" s="5"/>
      <c r="O24" s="41"/>
      <c r="P24" s="124"/>
      <c r="Q24" s="5"/>
      <c r="R24" s="41"/>
      <c r="S24" s="124"/>
      <c r="T24" s="5"/>
      <c r="U24" s="6"/>
    </row>
  </sheetData>
  <sheetProtection sheet="1" selectLockedCells="1"/>
  <dataConsolidate/>
  <mergeCells count="20">
    <mergeCell ref="C14:D14"/>
    <mergeCell ref="C16:D16"/>
    <mergeCell ref="J20:N20"/>
    <mergeCell ref="J18:N18"/>
    <mergeCell ref="J16:N16"/>
    <mergeCell ref="J14:N14"/>
    <mergeCell ref="B21:B22"/>
    <mergeCell ref="N22:O23"/>
    <mergeCell ref="I22:I23"/>
    <mergeCell ref="P22:S23"/>
    <mergeCell ref="J22:M23"/>
    <mergeCell ref="I4:U4"/>
    <mergeCell ref="C10:D10"/>
    <mergeCell ref="C12:D12"/>
    <mergeCell ref="B4:G4"/>
    <mergeCell ref="J6:L6"/>
    <mergeCell ref="M8:O8"/>
    <mergeCell ref="Q8:S8"/>
    <mergeCell ref="J10:N10"/>
    <mergeCell ref="J12:N12"/>
  </mergeCells>
  <dataValidations count="2">
    <dataValidation allowBlank="1" showInputMessage="1" showErrorMessage="1" promptTitle="ALERT" prompt="_x000a_Please enter exactly as seen on the nameplate (i.e. 100/50, 5/2.5, 24.4/12.2, etc.)_x000a__x000a_Ensure amperage is in the correct configuration for the voltage (i.e. 230/460 = 40/20 OR 460/230 = 2.5/5)." sqref="J12" xr:uid="{7F68BD4E-E471-47A2-9E2A-E247E3A80477}"/>
    <dataValidation allowBlank="1" showInputMessage="1" sqref="E12" xr:uid="{12FA41D7-5846-4487-B6FB-2175F707D182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7" r:id="rId4" name="TextBox1">
          <controlPr locked="0" defaultSize="0" autoFill="0" autoLine="0" autoPict="0" linkedCell="Unformatted!E9" r:id="rId5">
            <anchor moveWithCells="1">
              <from>
                <xdr:col>2</xdr:col>
                <xdr:colOff>9525</xdr:colOff>
                <xdr:row>16</xdr:row>
                <xdr:rowOff>85725</xdr:rowOff>
              </from>
              <to>
                <xdr:col>6</xdr:col>
                <xdr:colOff>0</xdr:colOff>
                <xdr:row>19</xdr:row>
                <xdr:rowOff>76200</xdr:rowOff>
              </to>
            </anchor>
          </controlPr>
        </control>
      </mc:Choice>
      <mc:Fallback>
        <control shapeId="3087" r:id="rId4" name="TextBox1"/>
      </mc:Fallback>
    </mc:AlternateContent>
    <mc:AlternateContent xmlns:mc="http://schemas.openxmlformats.org/markup-compatibility/2006">
      <mc:Choice Requires="x14">
        <control shapeId="3088" r:id="rId6" name="TextBox2">
          <controlPr locked="0" defaultSize="0" autoLine="0" autoPict="0" linkedCell="Unformatted!E10" r:id="rId7">
            <anchor moveWithCells="1">
              <from>
                <xdr:col>2</xdr:col>
                <xdr:colOff>9525</xdr:colOff>
                <xdr:row>19</xdr:row>
                <xdr:rowOff>152400</xdr:rowOff>
              </from>
              <to>
                <xdr:col>6</xdr:col>
                <xdr:colOff>0</xdr:colOff>
                <xdr:row>23</xdr:row>
                <xdr:rowOff>114300</xdr:rowOff>
              </to>
            </anchor>
          </controlPr>
        </control>
      </mc:Choice>
      <mc:Fallback>
        <control shapeId="3088" r:id="rId6" name="TextBox2"/>
      </mc:Fallback>
    </mc:AlternateContent>
    <mc:AlternateContent xmlns:mc="http://schemas.openxmlformats.org/markup-compatibility/2006">
      <mc:Choice Requires="x14">
        <control shapeId="3091" r:id="rId8" name="Drop Down 19">
          <controlPr defaultSize="0" autoLine="0" autoPict="0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514350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" r:id="rId9" name="Drop Down 20">
          <controlPr defaultSize="0" autoLine="0" autoPict="0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3</xdr:col>
                <xdr:colOff>514350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6" r:id="rId10" name="Group Box 34">
          <controlPr defaultSize="0" autoFill="0" autoPict="0" macro="[0]!no_move">
            <anchor moveWithCells="1">
              <from>
                <xdr:col>17</xdr:col>
                <xdr:colOff>457200</xdr:colOff>
                <xdr:row>4</xdr:row>
                <xdr:rowOff>57150</xdr:rowOff>
              </from>
              <to>
                <xdr:col>19</xdr:col>
                <xdr:colOff>76200</xdr:colOff>
                <xdr:row>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11" name="Option Button 38">
          <controlPr defaultSize="0" autoFill="0" autoLine="0" autoPict="0">
            <anchor moveWithCells="1">
              <from>
                <xdr:col>17</xdr:col>
                <xdr:colOff>476250</xdr:colOff>
                <xdr:row>4</xdr:row>
                <xdr:rowOff>85725</xdr:rowOff>
              </from>
              <to>
                <xdr:col>19</xdr:col>
                <xdr:colOff>123825</xdr:colOff>
                <xdr:row>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12" name="Option Button 39">
          <controlPr defaultSize="0" autoFill="0" autoLine="0" autoPict="0">
            <anchor moveWithCells="1">
              <from>
                <xdr:col>17</xdr:col>
                <xdr:colOff>476250</xdr:colOff>
                <xdr:row>5</xdr:row>
                <xdr:rowOff>133350</xdr:rowOff>
              </from>
              <to>
                <xdr:col>20</xdr:col>
                <xdr:colOff>0</xdr:colOff>
                <xdr:row>5</xdr:row>
                <xdr:rowOff>333375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3" r:id="rId13" name="Drop Down 41">
          <controlPr defaultSize="0" autoLine="0" autoPict="0">
            <anchor moveWithCells="1">
              <from>
                <xdr:col>8</xdr:col>
                <xdr:colOff>47625</xdr:colOff>
                <xdr:row>7</xdr:row>
                <xdr:rowOff>9525</xdr:rowOff>
              </from>
              <to>
                <xdr:col>8</xdr:col>
                <xdr:colOff>1028700</xdr:colOff>
                <xdr:row>7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4" r:id="rId14" name="Drop Down 42">
          <controlPr defaultSize="0" autoLine="0" autoPict="0">
            <anchor moveWithCells="1">
              <from>
                <xdr:col>8</xdr:col>
                <xdr:colOff>190500</xdr:colOff>
                <xdr:row>15</xdr:row>
                <xdr:rowOff>9525</xdr:rowOff>
              </from>
              <to>
                <xdr:col>8</xdr:col>
                <xdr:colOff>1019175</xdr:colOff>
                <xdr:row>15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15" name="Drop Down 49">
          <controlPr defaultSize="0" autoLine="0" autoPict="0">
            <anchor moveWithCells="1">
              <from>
                <xdr:col>8</xdr:col>
                <xdr:colOff>200025</xdr:colOff>
                <xdr:row>17</xdr:row>
                <xdr:rowOff>9525</xdr:rowOff>
              </from>
              <to>
                <xdr:col>8</xdr:col>
                <xdr:colOff>1019175</xdr:colOff>
                <xdr:row>17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2" r:id="rId16" name="Drop Down 50">
          <controlPr defaultSize="0" autoLine="0" autoPict="0">
            <anchor moveWithCells="1">
              <from>
                <xdr:col>8</xdr:col>
                <xdr:colOff>190500</xdr:colOff>
                <xdr:row>19</xdr:row>
                <xdr:rowOff>9525</xdr:rowOff>
              </from>
              <to>
                <xdr:col>8</xdr:col>
                <xdr:colOff>1019175</xdr:colOff>
                <xdr:row>19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" r:id="rId17" name="Drop Down 51">
          <controlPr defaultSize="0" autoLine="0" autoPict="0">
            <anchor moveWithCells="1">
              <from>
                <xdr:col>16</xdr:col>
                <xdr:colOff>47625</xdr:colOff>
                <xdr:row>9</xdr:row>
                <xdr:rowOff>0</xdr:rowOff>
              </from>
              <to>
                <xdr:col>18</xdr:col>
                <xdr:colOff>466725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6" r:id="rId18" name="Drop Down 64">
          <controlPr defaultSize="0" autoLine="0" autoPict="0">
            <anchor moveWithCells="1">
              <from>
                <xdr:col>14</xdr:col>
                <xdr:colOff>0</xdr:colOff>
                <xdr:row>5</xdr:row>
                <xdr:rowOff>0</xdr:rowOff>
              </from>
              <to>
                <xdr:col>16</xdr:col>
                <xdr:colOff>9525</xdr:colOff>
                <xdr:row>6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6" id="{00000000-000E-0000-0000-000005000000}">
            <xm:f>Unformatted!$C$9=1</xm:f>
            <x14:dxf>
              <font>
                <b/>
                <i val="0"/>
                <color rgb="FFFF0000"/>
              </font>
            </x14:dxf>
          </x14:cfRule>
          <xm:sqref>B18</xm:sqref>
        </x14:conditionalFormatting>
        <x14:conditionalFormatting xmlns:xm="http://schemas.microsoft.com/office/excel/2006/main">
          <x14:cfRule type="expression" priority="45" id="{00000000-000E-0000-0000-000004000000}">
            <xm:f>Unformatted!$C$11=1</xm:f>
            <x14:dxf>
              <font>
                <b/>
                <i val="0"/>
                <color rgb="FFFF0000"/>
              </font>
            </x14:dxf>
          </x14:cfRule>
          <xm:sqref>E6</xm:sqref>
        </x14:conditionalFormatting>
        <x14:conditionalFormatting xmlns:xm="http://schemas.microsoft.com/office/excel/2006/main">
          <x14:cfRule type="expression" priority="41" id="{0345393B-0501-439A-9718-6EA75302813B}">
            <xm:f>Unformatted!$C$4=1</xm:f>
            <x14:dxf>
              <font>
                <b/>
                <i val="0"/>
                <color rgb="FFFF0000"/>
              </font>
            </x14:dxf>
          </x14:cfRule>
          <xm:sqref>B6</xm:sqref>
        </x14:conditionalFormatting>
        <x14:conditionalFormatting xmlns:xm="http://schemas.microsoft.com/office/excel/2006/main">
          <x14:cfRule type="expression" priority="40" id="{7CE7FC85-843A-48D3-981E-C7BBEFCDDB44}">
            <xm:f>AND(C10="",Unformatted!$C$5=1)</xm:f>
            <x14:dxf>
              <font>
                <b/>
                <i val="0"/>
                <color rgb="FFFF0000"/>
              </font>
            </x14:dxf>
          </x14:cfRule>
          <xm:sqref>B8</xm:sqref>
        </x14:conditionalFormatting>
        <x14:conditionalFormatting xmlns:xm="http://schemas.microsoft.com/office/excel/2006/main">
          <x14:cfRule type="expression" priority="39" id="{F5E89F59-C30F-4ACF-80C8-7A8825323CCC}">
            <xm:f>Unformatted!$C$6=1</xm:f>
            <x14:dxf>
              <font>
                <b/>
                <i val="0"/>
                <color rgb="FFFF0000"/>
              </font>
            </x14:dxf>
          </x14:cfRule>
          <xm:sqref>B12</xm:sqref>
        </x14:conditionalFormatting>
        <x14:conditionalFormatting xmlns:xm="http://schemas.microsoft.com/office/excel/2006/main">
          <x14:cfRule type="expression" priority="37" id="{26936D3A-0077-45EB-B9AE-FAA900011A41}">
            <xm:f>Unformatted!$C$7=1</xm:f>
            <x14:dxf>
              <font>
                <b/>
                <i val="0"/>
                <color rgb="FFFF0000"/>
              </font>
            </x14:dxf>
          </x14:cfRule>
          <xm:sqref>B14</xm:sqref>
        </x14:conditionalFormatting>
        <x14:conditionalFormatting xmlns:xm="http://schemas.microsoft.com/office/excel/2006/main">
          <x14:cfRule type="expression" priority="35" id="{31AFCB9E-789D-49F6-9C60-53629CD1977C}">
            <xm:f>Unformatted!$C$12</xm:f>
            <x14:dxf>
              <font>
                <b/>
                <i val="0"/>
                <color rgb="FFFF0000"/>
              </font>
            </x14:dxf>
          </x14:cfRule>
          <xm:sqref>E8</xm:sqref>
        </x14:conditionalFormatting>
        <x14:conditionalFormatting xmlns:xm="http://schemas.microsoft.com/office/excel/2006/main">
          <x14:cfRule type="expression" priority="34" id="{0E3A9961-40D0-4F3A-B98E-7DF8CA11E6E9}">
            <xm:f>Unformatted!$C$14=1</xm:f>
            <x14:dxf>
              <font>
                <b/>
                <i val="0"/>
                <color rgb="FFFF0000"/>
              </font>
            </x14:dxf>
          </x14:cfRule>
          <xm:sqref>E12</xm:sqref>
        </x14:conditionalFormatting>
        <x14:conditionalFormatting xmlns:xm="http://schemas.microsoft.com/office/excel/2006/main">
          <x14:cfRule type="expression" priority="33" id="{B18AAF6D-009E-4316-AA88-72FFC8B93B3E}">
            <xm:f>Unformatted!$C$15=1</xm:f>
            <x14:dxf>
              <font>
                <b/>
                <i val="0"/>
                <color rgb="FFFF0000"/>
              </font>
            </x14:dxf>
          </x14:cfRule>
          <xm:sqref>E14</xm:sqref>
        </x14:conditionalFormatting>
        <x14:conditionalFormatting xmlns:xm="http://schemas.microsoft.com/office/excel/2006/main">
          <x14:cfRule type="expression" priority="11" id="{B8304061-3822-4A05-84B2-9F4C25473F8A}">
            <xm:f>Unformatted!$C$13=1</xm:f>
            <x14:dxf>
              <font>
                <b/>
                <i val="0"/>
                <color rgb="FFFF0000"/>
              </font>
            </x14:dxf>
          </x14:cfRule>
          <xm:sqref>E10</xm:sqref>
        </x14:conditionalFormatting>
        <x14:conditionalFormatting xmlns:xm="http://schemas.microsoft.com/office/excel/2006/main">
          <x14:cfRule type="expression" priority="10" id="{23881530-3306-41DE-B539-9AE111F5CF10}">
            <xm:f>Unformatted!$C$19=1</xm:f>
            <x14:dxf>
              <font>
                <b/>
                <i val="0"/>
                <color rgb="FFFF0000"/>
              </font>
            </x14:dxf>
          </x14:cfRule>
          <xm:sqref>P10</xm:sqref>
        </x14:conditionalFormatting>
        <x14:conditionalFormatting xmlns:xm="http://schemas.microsoft.com/office/excel/2006/main">
          <x14:cfRule type="expression" priority="9" id="{2D81D14F-BF1F-4D63-86AF-58CB09A1C89F}">
            <xm:f>Unformatted!$C$5=1</xm:f>
            <x14:dxf>
              <font>
                <b/>
                <i val="0"/>
                <color rgb="FFFF0000"/>
              </font>
            </x14:dxf>
          </x14:cfRule>
          <xm:sqref>B10</xm:sqref>
        </x14:conditionalFormatting>
        <x14:conditionalFormatting xmlns:xm="http://schemas.microsoft.com/office/excel/2006/main">
          <x14:cfRule type="expression" priority="3540" id="{873A1412-5D7B-4B49-AD61-9074E699EF28}">
            <xm:f>Unformatted!$C$21=1</xm:f>
            <x14:dxf>
              <font>
                <b/>
                <i val="0"/>
                <color rgb="FFFF0000"/>
              </font>
            </x14:dxf>
          </x14:cfRule>
          <xm:sqref>N6</xm:sqref>
        </x14:conditionalFormatting>
        <x14:conditionalFormatting xmlns:xm="http://schemas.microsoft.com/office/excel/2006/main">
          <x14:cfRule type="expression" priority="3571" id="{19E53CD4-62C0-4E81-85DA-7CE4C1153009}">
            <xm:f>Unformatted!C20</xm:f>
            <x14:dxf>
              <font>
                <b/>
                <i val="0"/>
                <color rgb="FFFF0000"/>
              </font>
            </x14:dxf>
          </x14:cfRule>
          <xm:sqref>I6</xm:sqref>
        </x14:conditionalFormatting>
        <x14:conditionalFormatting xmlns:xm="http://schemas.microsoft.com/office/excel/2006/main">
          <x14:cfRule type="expression" priority="4600" id="{A6E80BB0-433A-4B93-8D68-86B346A9A1E6}">
            <xm:f>Unformatted!$C$22=1</xm:f>
            <x14:dxf>
              <font>
                <b/>
                <i val="0"/>
                <color rgb="FFFF0000"/>
              </font>
            </x14:dxf>
          </x14:cfRule>
          <xm:sqref>R6</xm:sqref>
        </x14:conditionalFormatting>
        <x14:conditionalFormatting xmlns:xm="http://schemas.microsoft.com/office/excel/2006/main">
          <x14:cfRule type="expression" priority="4601" id="{0E636B57-647C-4C2E-93D8-822DD78AB800}">
            <xm:f>Unformatted!$C$24=1</xm:f>
            <x14:dxf>
              <font>
                <b/>
                <i val="0"/>
                <color rgb="FFFF0000"/>
              </font>
            </x14:dxf>
          </x14:cfRule>
          <xm:sqref>L8</xm:sqref>
        </x14:conditionalFormatting>
        <x14:conditionalFormatting xmlns:xm="http://schemas.microsoft.com/office/excel/2006/main">
          <x14:cfRule type="expression" priority="4670" id="{AACEFF1E-9D45-47BD-8EC5-843E6F6B3987}">
            <xm:f>Unformatted!$C$28=1</xm:f>
            <x14:dxf>
              <font>
                <b/>
                <i val="0"/>
                <color rgb="FFFF0000"/>
              </font>
            </x14:dxf>
          </x14:cfRule>
          <xm:sqref>I14</xm:sqref>
        </x14:conditionalFormatting>
        <x14:conditionalFormatting xmlns:xm="http://schemas.microsoft.com/office/excel/2006/main">
          <x14:cfRule type="expression" priority="4671" id="{3F8A2B47-CA91-485D-AE74-107253AFDF4A}">
            <xm:f>Unformatted!$C$25=1</xm:f>
            <x14:dxf>
              <font>
                <color rgb="FFFF0000"/>
              </font>
            </x14:dxf>
          </x14:cfRule>
          <xm:sqref>I21 P8</xm:sqref>
        </x14:conditionalFormatting>
        <x14:conditionalFormatting xmlns:xm="http://schemas.microsoft.com/office/excel/2006/main">
          <x14:cfRule type="expression" priority="4672" id="{3A545197-CD4B-4D11-A7B8-701C82D70F43}">
            <xm:f>Unformatted!$C$26=1</xm:f>
            <x14:dxf>
              <font>
                <b/>
                <i val="0"/>
                <color rgb="FFFF0000"/>
              </font>
            </x14:dxf>
          </x14:cfRule>
          <xm:sqref>I10</xm:sqref>
        </x14:conditionalFormatting>
        <x14:conditionalFormatting xmlns:xm="http://schemas.microsoft.com/office/excel/2006/main">
          <x14:cfRule type="expression" priority="4673" id="{0028D46B-F31E-49CE-8056-985EE2AC6576}">
            <xm:f>Unformatted!$C$27=1</xm:f>
            <x14:dxf>
              <font>
                <b/>
                <i val="0"/>
                <color rgb="FFFF0000"/>
              </font>
            </x14:dxf>
          </x14:cfRule>
          <xm:sqref>I12</xm:sqref>
        </x14:conditionalFormatting>
        <x14:conditionalFormatting xmlns:xm="http://schemas.microsoft.com/office/excel/2006/main">
          <x14:cfRule type="expression" priority="4674" id="{1120F77E-F90C-4EC2-9524-9BC032A96EE4}">
            <xm:f>Unformatted!$C$29=1</xm:f>
            <x14:dxf>
              <font>
                <color rgb="FFFF0000"/>
              </font>
            </x14:dxf>
          </x14:cfRule>
          <xm:sqref>I16</xm:sqref>
        </x14:conditionalFormatting>
        <x14:conditionalFormatting xmlns:xm="http://schemas.microsoft.com/office/excel/2006/main">
          <x14:cfRule type="expression" priority="4675" id="{5261903E-2789-4BDC-81E3-6E5B3F8B6A9F}">
            <xm:f>Unformatted!$C$30=1</xm:f>
            <x14:dxf>
              <font>
                <b/>
                <i val="0"/>
                <color rgb="FFFF0000"/>
              </font>
            </x14:dxf>
          </x14:cfRule>
          <xm:sqref>I18</xm:sqref>
        </x14:conditionalFormatting>
        <x14:conditionalFormatting xmlns:xm="http://schemas.microsoft.com/office/excel/2006/main">
          <x14:cfRule type="expression" priority="4676" id="{38EF3038-4399-47B5-A09A-5B69551AC7D7}">
            <xm:f>Unformatted!$C$31=1</xm:f>
            <x14:dxf>
              <font>
                <color rgb="FFFF0000"/>
              </font>
            </x14:dxf>
          </x14:cfRule>
          <xm:sqref>I20</xm:sqref>
        </x14:conditionalFormatting>
        <x14:conditionalFormatting xmlns:xm="http://schemas.microsoft.com/office/excel/2006/main">
          <x14:cfRule type="expression" priority="4678" id="{307BFC21-112D-4FBD-AD6C-72983A068607}">
            <xm:f>Unformatted!$C$33=1</xm:f>
            <x14:dxf>
              <font>
                <color rgb="FFFF0000"/>
              </font>
            </x14:dxf>
          </x14:cfRule>
          <xm:sqref>O12</xm:sqref>
        </x14:conditionalFormatting>
        <x14:conditionalFormatting xmlns:xm="http://schemas.microsoft.com/office/excel/2006/main">
          <x14:cfRule type="expression" priority="4679" id="{F3592D0E-FBCF-4EBC-8B8A-8CC2159BAEEA}">
            <xm:f>Unformatted!$C$34=1</xm:f>
            <x14:dxf>
              <font>
                <color rgb="FFFF0000"/>
              </font>
            </x14:dxf>
          </x14:cfRule>
          <xm:sqref>O14</xm:sqref>
        </x14:conditionalFormatting>
        <x14:conditionalFormatting xmlns:xm="http://schemas.microsoft.com/office/excel/2006/main">
          <x14:cfRule type="expression" priority="4680" id="{2064EAAD-92EC-41FD-AC77-5F664AB61E87}">
            <xm:f>Unformatted!$C$35=1</xm:f>
            <x14:dxf>
              <font>
                <b/>
                <i val="0"/>
                <color rgb="FFFF0000"/>
              </font>
            </x14:dxf>
          </x14:cfRule>
          <xm:sqref>O16</xm:sqref>
        </x14:conditionalFormatting>
        <x14:conditionalFormatting xmlns:xm="http://schemas.microsoft.com/office/excel/2006/main">
          <x14:cfRule type="expression" priority="4681" id="{023A124D-F933-4965-BD4D-C8DCF313DB6C}">
            <xm:f>Unformatted!$C$36=1</xm:f>
            <x14:dxf>
              <font>
                <color rgb="FFFF0000"/>
              </font>
            </x14:dxf>
          </x14:cfRule>
          <xm:sqref>O21 O18</xm:sqref>
        </x14:conditionalFormatting>
        <x14:conditionalFormatting xmlns:xm="http://schemas.microsoft.com/office/excel/2006/main">
          <x14:cfRule type="expression" priority="4682" id="{A3F8A565-62EC-40F3-B6A7-1B7F4F2F2FAB}">
            <xm:f>Unformatted!$C$42=1</xm:f>
            <x14:dxf>
              <font>
                <color rgb="FFFF0000"/>
              </font>
            </x14:dxf>
          </x14:cfRule>
          <xm:sqref>L21 R20</xm:sqref>
        </x14:conditionalFormatting>
        <x14:conditionalFormatting xmlns:xm="http://schemas.microsoft.com/office/excel/2006/main">
          <x14:cfRule type="expression" priority="4683" id="{027ED27A-9875-494F-A812-C2426EA7A091}">
            <xm:f>Unformatted!$C$37=1</xm:f>
            <x14:dxf>
              <font>
                <color rgb="FFFF0000"/>
              </font>
            </x14:dxf>
          </x14:cfRule>
          <xm:sqref>O20</xm:sqref>
        </x14:conditionalFormatting>
        <x14:conditionalFormatting xmlns:xm="http://schemas.microsoft.com/office/excel/2006/main">
          <x14:cfRule type="expression" priority="4" id="{E22900D9-7E82-40E0-90D0-1558539C3BE2}">
            <xm:f>Unformatted!$G$17="WARNING: VEM# NOT FOUND IN MOTORBASE"</xm:f>
            <x14:dxf>
              <font>
                <b/>
                <i val="0"/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I3</xm:sqref>
        </x14:conditionalFormatting>
        <x14:conditionalFormatting xmlns:xm="http://schemas.microsoft.com/office/excel/2006/main">
          <x14:cfRule type="expression" priority="2" id="{6E2A4753-99E6-415F-B14B-7AA6ED2E4D45}">
            <xm:f>Unformatted!$C$3&gt;0</xm:f>
            <x14:dxf>
              <font>
                <b/>
                <i val="0"/>
                <color rgb="FFFF0000"/>
              </font>
            </x14:dxf>
          </x14:cfRule>
          <xm:sqref>B4:G4</xm:sqref>
        </x14:conditionalFormatting>
        <x14:conditionalFormatting xmlns:xm="http://schemas.microsoft.com/office/excel/2006/main">
          <x14:cfRule type="expression" priority="1" id="{9458BCF6-69CD-41C7-ABA2-B2AA2A572F68}">
            <xm:f>Unformatted!$C$18&gt;0</xm:f>
            <x14:dxf>
              <font>
                <b/>
                <i val="0"/>
                <color rgb="FFFF0000"/>
              </font>
            </x14:dxf>
          </x14:cfRule>
          <xm:sqref>I4:U4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47379-5589-4661-A8A0-B045BFE939C3}">
  <sheetPr codeName="Sheet27"/>
  <dimension ref="A1:AB27"/>
  <sheetViews>
    <sheetView showGridLines="0" showRowColHeaders="0" zoomScaleNormal="100" workbookViewId="0">
      <selection activeCell="D10" sqref="D10:F10"/>
    </sheetView>
  </sheetViews>
  <sheetFormatPr defaultColWidth="9.140625" defaultRowHeight="15" x14ac:dyDescent="0.25"/>
  <cols>
    <col min="1" max="1" width="1.7109375" style="7" customWidth="1"/>
    <col min="2" max="2" width="2" style="7" customWidth="1"/>
    <col min="3" max="3" width="13" style="7" customWidth="1"/>
    <col min="4" max="4" width="10.7109375" style="7" customWidth="1"/>
    <col min="5" max="5" width="11.28515625" style="7" customWidth="1"/>
    <col min="6" max="6" width="8" style="7" customWidth="1"/>
    <col min="7" max="7" width="4.85546875" style="7" customWidth="1"/>
    <col min="8" max="9" width="2.140625" style="7" customWidth="1"/>
    <col min="10" max="10" width="10.85546875" style="7" customWidth="1"/>
    <col min="11" max="11" width="14.5703125" style="7" customWidth="1"/>
    <col min="12" max="12" width="14" style="7" customWidth="1"/>
    <col min="13" max="14" width="9.5703125" style="7" customWidth="1"/>
    <col min="15" max="15" width="2.85546875" style="7" customWidth="1"/>
    <col min="16" max="16" width="2.140625" style="7" customWidth="1"/>
    <col min="17" max="17" width="1.28515625" style="7" customWidth="1"/>
    <col min="18" max="20" width="10.28515625" style="7" customWidth="1"/>
    <col min="21" max="21" width="2.85546875" style="7" customWidth="1"/>
    <col min="22" max="23" width="15.140625" style="7" customWidth="1"/>
    <col min="24" max="24" width="1.42578125" style="7" customWidth="1"/>
    <col min="25" max="26" width="10.28515625" style="7" customWidth="1"/>
    <col min="27" max="27" width="1.85546875" style="7" customWidth="1"/>
    <col min="28" max="28" width="1.5703125" style="7" customWidth="1"/>
    <col min="29" max="29" width="0.85546875" style="7" customWidth="1"/>
    <col min="30" max="30" width="15.42578125" style="7" customWidth="1"/>
    <col min="31" max="31" width="7.42578125" style="7" customWidth="1"/>
    <col min="32" max="32" width="7.7109375" style="7" customWidth="1"/>
    <col min="33" max="34" width="8" style="7" customWidth="1"/>
    <col min="35" max="35" width="1.7109375" style="7" customWidth="1"/>
    <col min="36" max="16384" width="9.140625" style="7"/>
  </cols>
  <sheetData>
    <row r="1" spans="1:28" s="611" customFormat="1" x14ac:dyDescent="0.25">
      <c r="C1" s="2"/>
      <c r="D1" s="2"/>
      <c r="E1" s="2"/>
      <c r="F1" s="2"/>
      <c r="G1" s="2"/>
      <c r="K1" s="2"/>
      <c r="L1" s="2"/>
      <c r="M1" s="2"/>
      <c r="N1" s="2"/>
    </row>
    <row r="2" spans="1:28" s="611" customFormat="1" ht="23.25" x14ac:dyDescent="0.25">
      <c r="A2" s="107"/>
      <c r="B2" s="107"/>
      <c r="C2" s="107"/>
      <c r="D2" s="107"/>
      <c r="E2" s="107"/>
      <c r="F2" s="107"/>
      <c r="G2" s="107"/>
      <c r="H2" s="107"/>
      <c r="I2" s="107"/>
      <c r="J2" s="107" t="s">
        <v>269</v>
      </c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</row>
    <row r="3" spans="1:28" s="611" customFormat="1" ht="15.75" thickBot="1" x14ac:dyDescent="0.3">
      <c r="C3" s="429" t="str">
        <f>IF(Unformatted!C47&gt;0,"WARNING: Items highlighted in red are required.", "")</f>
        <v>WARNING: Items highlighted in red are required.</v>
      </c>
      <c r="E3" s="409"/>
      <c r="F3" s="409"/>
      <c r="G3" s="419"/>
      <c r="I3" s="430"/>
      <c r="J3" s="430" t="str">
        <f>IF(Unformatted!F80=4,"WARNING: Make note of special pipe configuration!","")</f>
        <v/>
      </c>
      <c r="K3" s="419"/>
      <c r="L3" s="396"/>
      <c r="M3" s="396"/>
      <c r="N3" s="410"/>
      <c r="O3" s="419"/>
      <c r="P3" s="396"/>
      <c r="Q3" s="396"/>
      <c r="R3" s="410"/>
      <c r="S3" s="409"/>
      <c r="T3" s="419"/>
    </row>
    <row r="4" spans="1:28" ht="24" thickBot="1" x14ac:dyDescent="0.4">
      <c r="B4" s="962" t="s">
        <v>1174</v>
      </c>
      <c r="C4" s="963"/>
      <c r="D4" s="963"/>
      <c r="E4" s="963"/>
      <c r="F4" s="963"/>
      <c r="G4" s="964"/>
      <c r="H4" s="440"/>
      <c r="I4" s="992" t="s">
        <v>458</v>
      </c>
      <c r="J4" s="993"/>
      <c r="K4" s="993"/>
      <c r="L4" s="993"/>
      <c r="M4" s="993"/>
      <c r="N4" s="993"/>
      <c r="O4" s="994"/>
      <c r="Q4" s="962" t="s">
        <v>1180</v>
      </c>
      <c r="R4" s="963"/>
      <c r="S4" s="963"/>
      <c r="T4" s="963"/>
      <c r="U4" s="963"/>
      <c r="V4" s="963"/>
      <c r="W4" s="963"/>
      <c r="X4" s="964"/>
    </row>
    <row r="5" spans="1:28" ht="12.75" customHeight="1" thickBot="1" x14ac:dyDescent="0.3">
      <c r="B5" s="11"/>
      <c r="C5" s="410"/>
      <c r="D5" s="413" t="b">
        <v>0</v>
      </c>
      <c r="E5" s="413"/>
      <c r="F5" s="396"/>
      <c r="G5" s="390"/>
      <c r="H5" s="2"/>
      <c r="I5" s="31"/>
      <c r="J5" s="396"/>
      <c r="K5" s="396"/>
      <c r="L5" s="396"/>
      <c r="M5" s="396"/>
      <c r="N5" s="396"/>
      <c r="O5" s="423"/>
      <c r="Q5" s="433"/>
      <c r="R5" s="419"/>
      <c r="S5" s="419"/>
      <c r="T5" s="419"/>
      <c r="U5" s="419"/>
      <c r="V5" s="419"/>
      <c r="W5" s="419"/>
      <c r="X5" s="484"/>
    </row>
    <row r="6" spans="1:28" ht="22.5" customHeight="1" thickBot="1" x14ac:dyDescent="0.3">
      <c r="B6" s="11"/>
      <c r="C6" s="411"/>
      <c r="D6" s="414" t="b">
        <v>0</v>
      </c>
      <c r="E6" s="414"/>
      <c r="F6" s="410"/>
      <c r="G6" s="390"/>
      <c r="H6" s="2"/>
      <c r="I6" s="31"/>
      <c r="J6" s="457" t="s">
        <v>1324</v>
      </c>
      <c r="K6" s="396"/>
      <c r="L6" s="547" t="s">
        <v>1325</v>
      </c>
      <c r="M6" s="1005"/>
      <c r="N6" s="1006"/>
      <c r="O6" s="4"/>
      <c r="Q6" s="433"/>
      <c r="R6" s="419"/>
      <c r="S6" s="419"/>
      <c r="T6" s="419"/>
      <c r="U6" s="419"/>
      <c r="V6" s="419"/>
      <c r="W6" s="419"/>
      <c r="X6" s="484"/>
    </row>
    <row r="7" spans="1:28" ht="7.5" customHeight="1" x14ac:dyDescent="0.25">
      <c r="B7" s="11"/>
      <c r="C7" s="409"/>
      <c r="D7" s="410"/>
      <c r="E7" s="410"/>
      <c r="F7" s="410"/>
      <c r="G7" s="390"/>
      <c r="H7" s="2"/>
      <c r="I7" s="31"/>
      <c r="J7" s="396"/>
      <c r="K7" s="409"/>
      <c r="L7" s="419"/>
      <c r="M7" s="419"/>
      <c r="N7" s="396"/>
      <c r="O7" s="4"/>
      <c r="Q7" s="433"/>
      <c r="R7" s="419"/>
      <c r="S7" s="419"/>
      <c r="T7" s="419"/>
      <c r="U7" s="419"/>
      <c r="V7" s="419"/>
      <c r="W7" s="419"/>
      <c r="X7" s="484"/>
    </row>
    <row r="8" spans="1:28" ht="22.5" customHeight="1" x14ac:dyDescent="0.25">
      <c r="B8" s="11"/>
      <c r="C8" s="410"/>
      <c r="D8" s="410"/>
      <c r="E8" s="410"/>
      <c r="F8" s="410"/>
      <c r="G8" s="390"/>
      <c r="H8" s="2"/>
      <c r="I8" s="31"/>
      <c r="J8" s="458" t="s">
        <v>1327</v>
      </c>
      <c r="K8" s="409"/>
      <c r="L8" s="396"/>
      <c r="M8" s="396"/>
      <c r="N8" s="396"/>
      <c r="O8" s="645"/>
      <c r="Q8" s="433"/>
      <c r="R8" s="419"/>
      <c r="S8" s="419"/>
      <c r="T8" s="419"/>
      <c r="U8" s="419"/>
      <c r="V8" s="419"/>
      <c r="W8" s="419"/>
      <c r="X8" s="484"/>
    </row>
    <row r="9" spans="1:28" ht="7.5" customHeight="1" thickBot="1" x14ac:dyDescent="0.3">
      <c r="B9" s="11"/>
      <c r="C9" s="409"/>
      <c r="D9" s="409"/>
      <c r="E9" s="409"/>
      <c r="F9" s="396"/>
      <c r="G9" s="390"/>
      <c r="H9" s="2"/>
      <c r="I9" s="31"/>
      <c r="J9" s="396"/>
      <c r="K9" s="396"/>
      <c r="L9" s="396"/>
      <c r="M9" s="396"/>
      <c r="N9" s="396"/>
      <c r="O9" s="4"/>
      <c r="Q9" s="433"/>
      <c r="R9" s="419"/>
      <c r="S9" s="419"/>
      <c r="T9" s="419"/>
      <c r="U9" s="419"/>
      <c r="V9" s="419"/>
      <c r="W9" s="419"/>
      <c r="X9" s="484"/>
    </row>
    <row r="10" spans="1:28" ht="22.5" customHeight="1" thickBot="1" x14ac:dyDescent="0.4">
      <c r="B10" s="11"/>
      <c r="C10" s="457" t="s">
        <v>1175</v>
      </c>
      <c r="D10" s="995"/>
      <c r="E10" s="996"/>
      <c r="F10" s="997"/>
      <c r="G10" s="390"/>
      <c r="H10" s="2"/>
      <c r="I10" s="31"/>
      <c r="J10" s="457" t="s">
        <v>1326</v>
      </c>
      <c r="K10" s="998"/>
      <c r="L10" s="999"/>
      <c r="M10" s="999"/>
      <c r="N10" s="1000"/>
      <c r="O10" s="424"/>
      <c r="Q10" s="433"/>
      <c r="R10" s="419"/>
      <c r="S10" s="419"/>
      <c r="T10" s="419"/>
      <c r="U10" s="419"/>
      <c r="V10" s="419"/>
      <c r="W10" s="419"/>
      <c r="X10" s="484"/>
    </row>
    <row r="11" spans="1:28" ht="11.25" customHeight="1" thickBot="1" x14ac:dyDescent="0.3">
      <c r="B11" s="11"/>
      <c r="C11" s="409"/>
      <c r="D11" s="409"/>
      <c r="E11" s="409"/>
      <c r="F11" s="396"/>
      <c r="G11" s="390"/>
      <c r="H11" s="2"/>
      <c r="I11" s="31"/>
      <c r="J11" s="396"/>
      <c r="K11" s="409"/>
      <c r="L11" s="396"/>
      <c r="M11" s="396"/>
      <c r="N11" s="409"/>
      <c r="O11" s="390"/>
      <c r="Q11" s="433"/>
      <c r="R11" s="419"/>
      <c r="S11" s="419"/>
      <c r="T11" s="419"/>
      <c r="U11" s="419"/>
      <c r="V11" s="419"/>
      <c r="W11" s="419"/>
      <c r="X11" s="484"/>
    </row>
    <row r="12" spans="1:28" ht="23.25" customHeight="1" thickBot="1" x14ac:dyDescent="0.3">
      <c r="B12" s="962" t="s">
        <v>150</v>
      </c>
      <c r="C12" s="963"/>
      <c r="D12" s="963"/>
      <c r="E12" s="963"/>
      <c r="F12" s="963"/>
      <c r="G12" s="964"/>
      <c r="H12" s="2"/>
      <c r="I12" s="962" t="s">
        <v>1179</v>
      </c>
      <c r="J12" s="963"/>
      <c r="K12" s="963"/>
      <c r="L12" s="963"/>
      <c r="M12" s="963"/>
      <c r="N12" s="963"/>
      <c r="O12" s="964"/>
      <c r="Q12" s="433"/>
      <c r="R12" s="419"/>
      <c r="S12" s="419"/>
      <c r="T12" s="419"/>
      <c r="U12" s="419"/>
      <c r="V12" s="419"/>
      <c r="W12" s="419"/>
      <c r="X12" s="484"/>
    </row>
    <row r="13" spans="1:28" ht="18.75" customHeight="1" x14ac:dyDescent="0.25">
      <c r="B13" s="11"/>
      <c r="C13" s="409"/>
      <c r="D13" s="409"/>
      <c r="E13" s="409"/>
      <c r="F13" s="396"/>
      <c r="G13" s="390"/>
      <c r="H13" s="2"/>
      <c r="I13" s="31"/>
      <c r="J13" s="396"/>
      <c r="K13" s="409"/>
      <c r="L13" s="417"/>
      <c r="M13" s="417"/>
      <c r="N13" s="396"/>
      <c r="O13" s="4"/>
      <c r="Q13" s="433"/>
      <c r="R13" s="419"/>
      <c r="S13" s="419"/>
      <c r="T13" s="419"/>
      <c r="U13" s="419"/>
      <c r="V13" s="419"/>
      <c r="W13" s="419"/>
      <c r="X13" s="484"/>
    </row>
    <row r="14" spans="1:28" ht="18.75" customHeight="1" x14ac:dyDescent="0.25">
      <c r="B14" s="11"/>
      <c r="C14" s="409"/>
      <c r="D14" s="1001" t="s">
        <v>1185</v>
      </c>
      <c r="E14" s="1001"/>
      <c r="F14" s="396"/>
      <c r="G14" s="390"/>
      <c r="H14" s="518"/>
      <c r="I14" s="113"/>
      <c r="J14" s="396" t="s">
        <v>1176</v>
      </c>
      <c r="K14" s="409"/>
      <c r="L14" s="409"/>
      <c r="M14" s="409"/>
      <c r="N14" s="409"/>
      <c r="O14" s="390"/>
      <c r="Q14" s="433"/>
      <c r="R14" s="419"/>
      <c r="S14" s="419"/>
      <c r="T14" s="419"/>
      <c r="U14" s="419"/>
      <c r="V14" s="419"/>
      <c r="W14" s="419"/>
      <c r="X14" s="484"/>
    </row>
    <row r="15" spans="1:28" ht="19.5" customHeight="1" x14ac:dyDescent="0.25">
      <c r="B15" s="11"/>
      <c r="C15" s="409"/>
      <c r="D15" s="1001"/>
      <c r="E15" s="1001"/>
      <c r="F15" s="396"/>
      <c r="G15" s="390"/>
      <c r="H15" s="2"/>
      <c r="I15" s="31"/>
      <c r="J15" s="396"/>
      <c r="K15" s="396"/>
      <c r="L15" s="409"/>
      <c r="M15" s="409"/>
      <c r="N15" s="410"/>
      <c r="O15" s="132"/>
      <c r="Q15" s="433"/>
      <c r="R15" s="419"/>
      <c r="S15" s="419"/>
      <c r="T15" s="419"/>
      <c r="U15" s="419"/>
      <c r="V15" s="419"/>
      <c r="W15" s="419"/>
      <c r="X15" s="484"/>
    </row>
    <row r="16" spans="1:28" ht="7.5" customHeight="1" thickBot="1" x14ac:dyDescent="0.3">
      <c r="B16" s="11"/>
      <c r="C16" s="409"/>
      <c r="D16" s="409"/>
      <c r="E16" s="409"/>
      <c r="F16" s="396"/>
      <c r="G16" s="390"/>
      <c r="H16" s="2"/>
      <c r="I16" s="31"/>
      <c r="J16" s="396"/>
      <c r="K16" s="396"/>
      <c r="L16" s="409"/>
      <c r="M16" s="409"/>
      <c r="N16" s="410"/>
      <c r="O16" s="132"/>
      <c r="Q16" s="433"/>
      <c r="R16" s="419"/>
      <c r="S16" s="419"/>
      <c r="T16" s="419"/>
      <c r="U16" s="419"/>
      <c r="V16" s="419"/>
      <c r="W16" s="419"/>
      <c r="X16" s="484"/>
    </row>
    <row r="17" spans="2:24" ht="25.5" customHeight="1" thickBot="1" x14ac:dyDescent="0.4">
      <c r="B17" s="11"/>
      <c r="C17" s="409"/>
      <c r="D17" s="458" t="s">
        <v>1328</v>
      </c>
      <c r="E17" s="483"/>
      <c r="F17" s="396"/>
      <c r="G17" s="390"/>
      <c r="H17" s="2"/>
      <c r="I17" s="992" t="s">
        <v>1178</v>
      </c>
      <c r="J17" s="993"/>
      <c r="K17" s="993"/>
      <c r="L17" s="993"/>
      <c r="M17" s="993"/>
      <c r="N17" s="993"/>
      <c r="O17" s="994"/>
      <c r="Q17" s="433"/>
      <c r="R17" s="419"/>
      <c r="S17" s="419"/>
      <c r="T17" s="419"/>
      <c r="U17" s="419"/>
      <c r="V17" s="419"/>
      <c r="W17" s="419"/>
      <c r="X17" s="484"/>
    </row>
    <row r="18" spans="2:24" ht="7.5" customHeight="1" thickBot="1" x14ac:dyDescent="0.4">
      <c r="B18" s="11"/>
      <c r="C18" s="443"/>
      <c r="D18" s="483"/>
      <c r="E18" s="483"/>
      <c r="F18" s="409" t="s">
        <v>1176</v>
      </c>
      <c r="G18" s="390"/>
      <c r="H18" s="2"/>
      <c r="I18" s="418"/>
      <c r="J18" s="421"/>
      <c r="K18" s="421"/>
      <c r="L18" s="421"/>
      <c r="M18" s="421"/>
      <c r="N18" s="421"/>
      <c r="O18" s="422"/>
      <c r="Q18" s="433"/>
      <c r="R18" s="419"/>
      <c r="S18" s="419"/>
      <c r="T18" s="419"/>
      <c r="U18" s="419"/>
      <c r="V18" s="419"/>
      <c r="W18" s="419"/>
      <c r="X18" s="484"/>
    </row>
    <row r="19" spans="2:24" ht="22.5" customHeight="1" thickBot="1" x14ac:dyDescent="0.3">
      <c r="B19" s="11"/>
      <c r="D19" s="457" t="s">
        <v>1329</v>
      </c>
      <c r="E19" s="419"/>
      <c r="F19" s="419"/>
      <c r="G19" s="390"/>
      <c r="H19" s="2"/>
      <c r="I19" s="11"/>
      <c r="J19" s="482" t="s">
        <v>1177</v>
      </c>
      <c r="K19" s="409"/>
      <c r="M19" s="457" t="s">
        <v>1476</v>
      </c>
      <c r="N19" s="202"/>
      <c r="O19" s="4"/>
      <c r="Q19" s="433"/>
      <c r="R19" s="419"/>
      <c r="S19" s="419"/>
      <c r="T19" s="419"/>
      <c r="U19" s="419"/>
      <c r="V19" s="419"/>
      <c r="W19" s="419"/>
      <c r="X19" s="484"/>
    </row>
    <row r="20" spans="2:24" ht="7.5" customHeight="1" thickBot="1" x14ac:dyDescent="0.3">
      <c r="B20" s="11"/>
      <c r="C20" s="524"/>
      <c r="E20" s="410"/>
      <c r="F20" s="412"/>
      <c r="G20" s="390"/>
      <c r="H20" s="2"/>
      <c r="I20" s="11"/>
      <c r="J20" s="410"/>
      <c r="K20" s="409"/>
      <c r="L20" s="416"/>
      <c r="M20" s="655"/>
      <c r="N20" s="396"/>
      <c r="O20" s="4"/>
      <c r="Q20" s="433"/>
      <c r="R20" s="419"/>
      <c r="S20" s="419"/>
      <c r="T20" s="419"/>
      <c r="U20" s="419"/>
      <c r="V20" s="419"/>
      <c r="W20" s="419"/>
      <c r="X20" s="484"/>
    </row>
    <row r="21" spans="2:24" ht="22.5" customHeight="1" thickBot="1" x14ac:dyDescent="0.3">
      <c r="B21" s="11"/>
      <c r="C21" s="524"/>
      <c r="D21" s="457" t="s">
        <v>1461</v>
      </c>
      <c r="E21" s="86"/>
      <c r="F21" s="396"/>
      <c r="G21" s="390"/>
      <c r="H21" s="2"/>
      <c r="I21" s="11"/>
      <c r="J21" s="457" t="s">
        <v>1175</v>
      </c>
      <c r="K21" s="1002"/>
      <c r="L21" s="1003"/>
      <c r="M21" s="1003"/>
      <c r="N21" s="1004"/>
      <c r="O21" s="439"/>
      <c r="Q21" s="433"/>
      <c r="R21" s="419"/>
      <c r="S21" s="419"/>
      <c r="T21" s="419"/>
      <c r="U21" s="419"/>
      <c r="V21" s="419"/>
      <c r="W21" s="419"/>
      <c r="X21" s="484"/>
    </row>
    <row r="22" spans="2:24" ht="7.5" customHeight="1" thickBot="1" x14ac:dyDescent="0.3">
      <c r="B22" s="11"/>
      <c r="C22" s="524"/>
      <c r="D22" s="396"/>
      <c r="E22" s="396"/>
      <c r="F22" s="396"/>
      <c r="G22" s="4"/>
      <c r="H22" s="2"/>
      <c r="I22" s="11"/>
      <c r="J22" s="409"/>
      <c r="K22" s="409"/>
      <c r="L22" s="409"/>
      <c r="M22" s="409"/>
      <c r="N22" s="396"/>
      <c r="O22" s="4"/>
      <c r="Q22" s="433"/>
      <c r="R22" s="419"/>
      <c r="S22" s="419"/>
      <c r="T22" s="419"/>
      <c r="U22" s="419"/>
      <c r="V22" s="419"/>
      <c r="W22" s="419"/>
      <c r="X22" s="484"/>
    </row>
    <row r="23" spans="2:24" ht="22.5" customHeight="1" thickBot="1" x14ac:dyDescent="0.3">
      <c r="B23" s="11"/>
      <c r="C23" s="524"/>
      <c r="D23" s="547" t="s">
        <v>1323</v>
      </c>
      <c r="E23" s="84"/>
      <c r="F23" s="405"/>
      <c r="G23" s="390"/>
      <c r="H23" s="518"/>
      <c r="I23" s="11"/>
      <c r="J23" s="457" t="s">
        <v>1377</v>
      </c>
      <c r="K23" s="409"/>
      <c r="L23" s="457" t="s">
        <v>1206</v>
      </c>
      <c r="M23" s="457"/>
      <c r="N23" s="396"/>
      <c r="O23" s="4"/>
      <c r="Q23" s="433"/>
      <c r="R23" s="419"/>
      <c r="S23" s="419"/>
      <c r="T23" s="419"/>
      <c r="U23" s="419"/>
      <c r="V23" s="419"/>
      <c r="W23" s="419"/>
      <c r="X23" s="484"/>
    </row>
    <row r="24" spans="2:24" ht="7.5" customHeight="1" thickBot="1" x14ac:dyDescent="0.3">
      <c r="B24" s="11"/>
      <c r="C24" s="396"/>
      <c r="F24" s="396"/>
      <c r="G24" s="4"/>
      <c r="H24" s="2"/>
      <c r="I24" s="11"/>
      <c r="J24" s="409"/>
      <c r="K24" s="409"/>
      <c r="L24" s="409"/>
      <c r="M24" s="409"/>
      <c r="N24" s="396"/>
      <c r="O24" s="4"/>
      <c r="Q24" s="433"/>
      <c r="R24" s="419"/>
      <c r="S24" s="419"/>
      <c r="T24" s="419"/>
      <c r="U24" s="419"/>
      <c r="V24" s="419"/>
      <c r="W24" s="419"/>
      <c r="X24" s="484"/>
    </row>
    <row r="25" spans="2:24" ht="19.5" customHeight="1" thickBot="1" x14ac:dyDescent="0.3">
      <c r="B25" s="433"/>
      <c r="C25" s="419"/>
      <c r="F25" s="419"/>
      <c r="G25" s="484"/>
      <c r="H25" s="546"/>
      <c r="I25" s="433"/>
      <c r="J25" s="419"/>
      <c r="K25" s="547" t="s">
        <v>1322</v>
      </c>
      <c r="L25" s="989"/>
      <c r="M25" s="990"/>
      <c r="N25" s="991"/>
      <c r="O25" s="484"/>
      <c r="Q25" s="433"/>
      <c r="R25" s="419"/>
      <c r="S25" s="419"/>
      <c r="T25" s="419"/>
      <c r="U25" s="419"/>
      <c r="V25" s="419"/>
      <c r="W25" s="419"/>
      <c r="X25" s="484"/>
    </row>
    <row r="26" spans="2:24" ht="7.5" customHeight="1" thickBot="1" x14ac:dyDescent="0.3">
      <c r="B26" s="391"/>
      <c r="C26" s="124"/>
      <c r="D26" s="124"/>
      <c r="E26" s="124"/>
      <c r="F26" s="124"/>
      <c r="G26" s="485"/>
      <c r="H26" s="546"/>
      <c r="I26" s="391"/>
      <c r="J26" s="124"/>
      <c r="K26" s="124"/>
      <c r="L26" s="124"/>
      <c r="M26" s="124"/>
      <c r="N26" s="124"/>
      <c r="O26" s="485"/>
      <c r="Q26" s="391"/>
      <c r="R26" s="124"/>
      <c r="S26" s="124"/>
      <c r="T26" s="124"/>
      <c r="U26" s="124"/>
      <c r="V26" s="124"/>
      <c r="W26" s="124"/>
      <c r="X26" s="485"/>
    </row>
    <row r="27" spans="2:24" ht="7.5" customHeight="1" x14ac:dyDescent="0.25"/>
  </sheetData>
  <sheetProtection sheet="1" selectLockedCells="1"/>
  <mergeCells count="12">
    <mergeCell ref="B12:G12"/>
    <mergeCell ref="I12:O12"/>
    <mergeCell ref="Q4:X4"/>
    <mergeCell ref="L25:N25"/>
    <mergeCell ref="B4:G4"/>
    <mergeCell ref="I4:O4"/>
    <mergeCell ref="D10:F10"/>
    <mergeCell ref="K10:N10"/>
    <mergeCell ref="D14:E15"/>
    <mergeCell ref="I17:O17"/>
    <mergeCell ref="K21:N21"/>
    <mergeCell ref="M6:N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0465" r:id="rId3" name="TextBox1">
          <controlPr locked="0" defaultSize="0" autoLine="0" autoPict="0" linkedCell="Unformatted!E81" r:id="rId4">
            <anchor moveWithCells="1">
              <from>
                <xdr:col>16</xdr:col>
                <xdr:colOff>66675</xdr:colOff>
                <xdr:row>4</xdr:row>
                <xdr:rowOff>76200</xdr:rowOff>
              </from>
              <to>
                <xdr:col>23</xdr:col>
                <xdr:colOff>19050</xdr:colOff>
                <xdr:row>25</xdr:row>
                <xdr:rowOff>19050</xdr:rowOff>
              </to>
            </anchor>
          </controlPr>
        </control>
      </mc:Choice>
      <mc:Fallback>
        <control shapeId="190465" r:id="rId3" name="TextBox1"/>
      </mc:Fallback>
    </mc:AlternateContent>
    <mc:AlternateContent xmlns:mc="http://schemas.openxmlformats.org/markup-compatibility/2006">
      <mc:Choice Requires="x14">
        <control shapeId="190466" r:id="rId5" name="Option Button 2">
          <controlPr locked="0" defaultSize="0" autoFill="0" autoLine="0" autoPict="0">
            <anchor moveWithCells="1">
              <from>
                <xdr:col>2</xdr:col>
                <xdr:colOff>76200</xdr:colOff>
                <xdr:row>4</xdr:row>
                <xdr:rowOff>76200</xdr:rowOff>
              </from>
              <to>
                <xdr:col>3</xdr:col>
                <xdr:colOff>190500</xdr:colOff>
                <xdr:row>5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67" r:id="rId6" name="Option Button 3">
          <controlPr defaultSize="0" autoFill="0" autoLine="0" autoPict="0">
            <anchor moveWithCells="1">
              <from>
                <xdr:col>2</xdr:col>
                <xdr:colOff>76200</xdr:colOff>
                <xdr:row>5</xdr:row>
                <xdr:rowOff>123825</xdr:rowOff>
              </from>
              <to>
                <xdr:col>3</xdr:col>
                <xdr:colOff>190500</xdr:colOff>
                <xdr:row>6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68" r:id="rId7" name="Check Box 4">
          <controlPr locked="0" defaultSize="0" autoFill="0" autoLine="0" autoPict="0">
            <anchor moveWithCells="1">
              <from>
                <xdr:col>3</xdr:col>
                <xdr:colOff>409575</xdr:colOff>
                <xdr:row>5</xdr:row>
                <xdr:rowOff>171450</xdr:rowOff>
              </from>
              <to>
                <xdr:col>4</xdr:col>
                <xdr:colOff>523875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69" r:id="rId8" name="Check Box 5">
          <controlPr locked="0" defaultSize="0" autoFill="0" autoLine="0" autoPict="0">
            <anchor moveWithCells="1">
              <from>
                <xdr:col>3</xdr:col>
                <xdr:colOff>409575</xdr:colOff>
                <xdr:row>7</xdr:row>
                <xdr:rowOff>47625</xdr:rowOff>
              </from>
              <to>
                <xdr:col>4</xdr:col>
                <xdr:colOff>523875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70" r:id="rId9" name="Check Box 6">
          <controlPr locked="0" defaultSize="0" autoFill="0" autoLine="0" autoPict="0" altText="Gearbox">
            <anchor moveWithCells="1">
              <from>
                <xdr:col>3</xdr:col>
                <xdr:colOff>409575</xdr:colOff>
                <xdr:row>4</xdr:row>
                <xdr:rowOff>85725</xdr:rowOff>
              </from>
              <to>
                <xdr:col>4</xdr:col>
                <xdr:colOff>523875</xdr:colOff>
                <xdr:row>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71" r:id="rId10" name="Group Box 7">
          <controlPr defaultSize="0" autoFill="0" autoPict="0" macro="[0]!no_move">
            <anchor moveWithCells="1">
              <from>
                <xdr:col>1</xdr:col>
                <xdr:colOff>114300</xdr:colOff>
                <xdr:row>12</xdr:row>
                <xdr:rowOff>38100</xdr:rowOff>
              </from>
              <to>
                <xdr:col>3</xdr:col>
                <xdr:colOff>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72" r:id="rId11" name="Check Box 8">
          <controlPr defaultSize="0" autoFill="0" autoLine="0" autoPict="0">
            <anchor moveWithCells="1">
              <from>
                <xdr:col>2</xdr:col>
                <xdr:colOff>57150</xdr:colOff>
                <xdr:row>20</xdr:row>
                <xdr:rowOff>171450</xdr:rowOff>
              </from>
              <to>
                <xdr:col>2</xdr:col>
                <xdr:colOff>647700</xdr:colOff>
                <xdr:row>22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73" r:id="rId12" name="Check Box 9">
          <controlPr defaultSize="0" autoFill="0" autoLine="0" autoPict="0">
            <anchor moveWithCells="1">
              <from>
                <xdr:col>5</xdr:col>
                <xdr:colOff>114300</xdr:colOff>
                <xdr:row>12</xdr:row>
                <xdr:rowOff>76200</xdr:rowOff>
              </from>
              <to>
                <xdr:col>7</xdr:col>
                <xdr:colOff>19050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74" r:id="rId13" name="Check Box 10">
          <controlPr defaultSize="0" autoFill="0" autoLine="0" autoPict="0">
            <anchor moveWithCells="1">
              <from>
                <xdr:col>5</xdr:col>
                <xdr:colOff>114300</xdr:colOff>
                <xdr:row>13</xdr:row>
                <xdr:rowOff>66675</xdr:rowOff>
              </from>
              <to>
                <xdr:col>7</xdr:col>
                <xdr:colOff>19050</xdr:colOff>
                <xdr:row>14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75" r:id="rId14" name="Option Button 11">
          <controlPr defaultSize="0" autoFill="0" autoLine="0" autoPict="0">
            <anchor moveWithCells="1">
              <from>
                <xdr:col>12</xdr:col>
                <xdr:colOff>438150</xdr:colOff>
                <xdr:row>7</xdr:row>
                <xdr:rowOff>38100</xdr:rowOff>
              </from>
              <to>
                <xdr:col>13</xdr:col>
                <xdr:colOff>600075</xdr:colOff>
                <xdr:row>7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76" r:id="rId15" name="Option Button 12">
          <controlPr defaultSize="0" autoFill="0" autoLine="0" autoPict="0">
            <anchor moveWithCells="1">
              <from>
                <xdr:col>11</xdr:col>
                <xdr:colOff>257175</xdr:colOff>
                <xdr:row>7</xdr:row>
                <xdr:rowOff>28575</xdr:rowOff>
              </from>
              <to>
                <xdr:col>12</xdr:col>
                <xdr:colOff>95250</xdr:colOff>
                <xdr:row>7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79" r:id="rId16" name="Option Button 15">
          <controlPr defaultSize="0" autoFill="0" autoLine="0" autoPict="0">
            <anchor moveWithCells="1">
              <from>
                <xdr:col>2</xdr:col>
                <xdr:colOff>76200</xdr:colOff>
                <xdr:row>6</xdr:row>
                <xdr:rowOff>85725</xdr:rowOff>
              </from>
              <to>
                <xdr:col>2</xdr:col>
                <xdr:colOff>857250</xdr:colOff>
                <xdr:row>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80" r:id="rId17" name="Group Box 16">
          <controlPr defaultSize="0" autoFill="0" autoPict="0" macro="[0]!no_move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13</xdr:col>
                <xdr:colOff>628650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81" r:id="rId18" name="Check Box 17">
          <controlPr locked="0" defaultSize="0" autoFill="0" autoLine="0" autoPict="0" altText="Gearbox">
            <anchor moveWithCells="1">
              <from>
                <xdr:col>4</xdr:col>
                <xdr:colOff>609600</xdr:colOff>
                <xdr:row>4</xdr:row>
                <xdr:rowOff>76200</xdr:rowOff>
              </from>
              <to>
                <xdr:col>6</xdr:col>
                <xdr:colOff>152400</xdr:colOff>
                <xdr:row>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82" r:id="rId19" name="Check Box 18">
          <controlPr defaultSize="0" autoFill="0" autoLine="0" autoPict="0">
            <anchor moveWithCells="1">
              <from>
                <xdr:col>5</xdr:col>
                <xdr:colOff>114300</xdr:colOff>
                <xdr:row>14</xdr:row>
                <xdr:rowOff>47625</xdr:rowOff>
              </from>
              <to>
                <xdr:col>7</xdr:col>
                <xdr:colOff>19050</xdr:colOff>
                <xdr:row>15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83" r:id="rId20" name="Option Button 19">
          <controlPr locked="0" defaultSize="0" autoFill="0" autoLine="0" autoPict="0">
            <anchor moveWithCells="1">
              <from>
                <xdr:col>10</xdr:col>
                <xdr:colOff>190500</xdr:colOff>
                <xdr:row>7</xdr:row>
                <xdr:rowOff>38100</xdr:rowOff>
              </from>
              <to>
                <xdr:col>11</xdr:col>
                <xdr:colOff>0</xdr:colOff>
                <xdr:row>7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84" r:id="rId21" name="Check Box 20">
          <controlPr defaultSize="0" autoFill="0" autoLine="0" autoPict="0">
            <anchor moveWithCells="1">
              <from>
                <xdr:col>4</xdr:col>
                <xdr:colOff>609600</xdr:colOff>
                <xdr:row>5</xdr:row>
                <xdr:rowOff>200025</xdr:rowOff>
              </from>
              <to>
                <xdr:col>6</xdr:col>
                <xdr:colOff>247650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85" r:id="rId22" name="Group Box 21">
          <controlPr defaultSize="0" autoFill="0" autoPict="0">
            <anchor moveWithCells="1">
              <from>
                <xdr:col>10</xdr:col>
                <xdr:colOff>0</xdr:colOff>
                <xdr:row>5</xdr:row>
                <xdr:rowOff>0</xdr:rowOff>
              </from>
              <to>
                <xdr:col>11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86" r:id="rId23" name="Option Button 22">
          <controlPr defaultSize="0" autoFill="0" autoLine="0" autoPict="0">
            <anchor moveWithCells="1">
              <from>
                <xdr:col>10</xdr:col>
                <xdr:colOff>57150</xdr:colOff>
                <xdr:row>5</xdr:row>
                <xdr:rowOff>9525</xdr:rowOff>
              </from>
              <to>
                <xdr:col>10</xdr:col>
                <xdr:colOff>504825</xdr:colOff>
                <xdr:row>5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87" r:id="rId24" name="Option Button 23">
          <controlPr defaultSize="0" autoFill="0" autoLine="0" autoPict="0">
            <anchor moveWithCells="1">
              <from>
                <xdr:col>10</xdr:col>
                <xdr:colOff>523875</xdr:colOff>
                <xdr:row>5</xdr:row>
                <xdr:rowOff>19050</xdr:rowOff>
              </from>
              <to>
                <xdr:col>10</xdr:col>
                <xdr:colOff>942975</xdr:colOff>
                <xdr:row>5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88" r:id="rId25" name="Drop Down 24">
          <controlPr defaultSize="0" autoLine="0" autoPict="0">
            <anchor moveWithCells="1">
              <from>
                <xdr:col>10</xdr:col>
                <xdr:colOff>0</xdr:colOff>
                <xdr:row>22</xdr:row>
                <xdr:rowOff>0</xdr:rowOff>
              </from>
              <to>
                <xdr:col>10</xdr:col>
                <xdr:colOff>962025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89" r:id="rId26" name="Drop Down 25">
          <controlPr defaultSize="0" autoLine="0" autoPict="0">
            <anchor moveWithCells="1">
              <from>
                <xdr:col>12</xdr:col>
                <xdr:colOff>0</xdr:colOff>
                <xdr:row>22</xdr:row>
                <xdr:rowOff>0</xdr:rowOff>
              </from>
              <to>
                <xdr:col>14</xdr:col>
                <xdr:colOff>104775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90" r:id="rId27" name="Group Box 26">
          <controlPr defaultSize="0" autoFill="0" autoPict="0">
            <anchor moveWithCells="1">
              <from>
                <xdr:col>9</xdr:col>
                <xdr:colOff>19050</xdr:colOff>
                <xdr:row>12</xdr:row>
                <xdr:rowOff>66675</xdr:rowOff>
              </from>
              <to>
                <xdr:col>14</xdr:col>
                <xdr:colOff>28575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91" r:id="rId28" name="Check Box 27">
          <controlPr defaultSize="0" autoFill="0" autoLine="0" autoPict="0">
            <anchor moveWithCells="1">
              <from>
                <xdr:col>10</xdr:col>
                <xdr:colOff>790575</xdr:colOff>
                <xdr:row>12</xdr:row>
                <xdr:rowOff>123825</xdr:rowOff>
              </from>
              <to>
                <xdr:col>11</xdr:col>
                <xdr:colOff>742950</xdr:colOff>
                <xdr:row>13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92" r:id="rId29" name="Check Box 28">
          <controlPr defaultSize="0" autoFill="0" autoLine="0" autoPict="0">
            <anchor moveWithCells="1">
              <from>
                <xdr:col>9</xdr:col>
                <xdr:colOff>285750</xdr:colOff>
                <xdr:row>13</xdr:row>
                <xdr:rowOff>190500</xdr:rowOff>
              </from>
              <to>
                <xdr:col>10</xdr:col>
                <xdr:colOff>485775</xdr:colOff>
                <xdr:row>14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93" r:id="rId30" name="Check Box 29">
          <controlPr defaultSize="0" autoFill="0" autoLine="0" autoPict="0">
            <anchor moveWithCells="1">
              <from>
                <xdr:col>12</xdr:col>
                <xdr:colOff>342900</xdr:colOff>
                <xdr:row>12</xdr:row>
                <xdr:rowOff>123825</xdr:rowOff>
              </from>
              <to>
                <xdr:col>13</xdr:col>
                <xdr:colOff>628650</xdr:colOff>
                <xdr:row>13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94" r:id="rId31" name="Check Box 30">
          <controlPr defaultSize="0" autoFill="0" autoLine="0" autoPict="0">
            <anchor moveWithCells="1">
              <from>
                <xdr:col>10</xdr:col>
                <xdr:colOff>790575</xdr:colOff>
                <xdr:row>13</xdr:row>
                <xdr:rowOff>190500</xdr:rowOff>
              </from>
              <to>
                <xdr:col>11</xdr:col>
                <xdr:colOff>742950</xdr:colOff>
                <xdr:row>14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95" r:id="rId32" name="Check Box 31">
          <controlPr defaultSize="0" autoFill="0" autoLine="0" autoPict="0">
            <anchor moveWithCells="1">
              <from>
                <xdr:col>9</xdr:col>
                <xdr:colOff>285750</xdr:colOff>
                <xdr:row>12</xdr:row>
                <xdr:rowOff>123825</xdr:rowOff>
              </from>
              <to>
                <xdr:col>10</xdr:col>
                <xdr:colOff>485775</xdr:colOff>
                <xdr:row>13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96" r:id="rId33" name="Check Box 32">
          <controlPr defaultSize="0" autoFill="0" autoLine="0" autoPict="0">
            <anchor moveWithCells="1">
              <from>
                <xdr:col>12</xdr:col>
                <xdr:colOff>352425</xdr:colOff>
                <xdr:row>13</xdr:row>
                <xdr:rowOff>190500</xdr:rowOff>
              </from>
              <to>
                <xdr:col>14</xdr:col>
                <xdr:colOff>0</xdr:colOff>
                <xdr:row>14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97" r:id="rId34" name="Drop Down 33">
          <controlPr defaultSize="0" autoLine="0" autoPict="0">
            <anchor moveWithCells="1">
              <from>
                <xdr:col>3</xdr:col>
                <xdr:colOff>714375</xdr:colOff>
                <xdr:row>17</xdr:row>
                <xdr:rowOff>95250</xdr:rowOff>
              </from>
              <to>
                <xdr:col>6</xdr:col>
                <xdr:colOff>180975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98" r:id="rId35" name="Drop Down 34">
          <controlPr defaultSize="0" autoLine="0" autoPict="0">
            <anchor moveWithCells="1">
              <from>
                <xdr:col>4</xdr:col>
                <xdr:colOff>0</xdr:colOff>
                <xdr:row>16</xdr:row>
                <xdr:rowOff>28575</xdr:rowOff>
              </from>
              <to>
                <xdr:col>6</xdr:col>
                <xdr:colOff>180975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499" r:id="rId36" name="Option Button 35">
          <controlPr defaultSize="0" autoFill="0" autoLine="0" autoPict="0">
            <anchor moveWithCells="1">
              <from>
                <xdr:col>2</xdr:col>
                <xdr:colOff>171450</xdr:colOff>
                <xdr:row>12</xdr:row>
                <xdr:rowOff>66675</xdr:rowOff>
              </from>
              <to>
                <xdr:col>2</xdr:col>
                <xdr:colOff>771525</xdr:colOff>
                <xdr:row>13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00" r:id="rId37" name="Option Button 36">
          <controlPr defaultSize="0" autoFill="0" autoLine="0" autoPict="0" macro="[0]!OptionButton237_Click">
            <anchor moveWithCells="1">
              <from>
                <xdr:col>2</xdr:col>
                <xdr:colOff>171450</xdr:colOff>
                <xdr:row>13</xdr:row>
                <xdr:rowOff>47625</xdr:rowOff>
              </from>
              <to>
                <xdr:col>2</xdr:col>
                <xdr:colOff>657225</xdr:colOff>
                <xdr:row>14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01" r:id="rId38" name="Option Button 37">
          <controlPr defaultSize="0" autoFill="0" autoLine="0" autoPict="0">
            <anchor moveWithCells="1">
              <from>
                <xdr:col>2</xdr:col>
                <xdr:colOff>161925</xdr:colOff>
                <xdr:row>14</xdr:row>
                <xdr:rowOff>19050</xdr:rowOff>
              </from>
              <to>
                <xdr:col>2</xdr:col>
                <xdr:colOff>752475</xdr:colOff>
                <xdr:row>14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02" r:id="rId39" name="Group Box 38">
          <controlPr defaultSize="0" autoFill="0" autoPict="0">
            <anchor moveWithCells="1">
              <from>
                <xdr:col>1</xdr:col>
                <xdr:colOff>66675</xdr:colOff>
                <xdr:row>4</xdr:row>
                <xdr:rowOff>38100</xdr:rowOff>
              </from>
              <to>
                <xdr:col>3</xdr:col>
                <xdr:colOff>323850</xdr:colOff>
                <xdr:row>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03" r:id="rId40" name="Group Box 39">
          <controlPr defaultSize="0" autoFill="0" autoPict="0">
            <anchor moveWithCells="1">
              <from>
                <xdr:col>10</xdr:col>
                <xdr:colOff>276225</xdr:colOff>
                <xdr:row>18</xdr:row>
                <xdr:rowOff>0</xdr:rowOff>
              </from>
              <to>
                <xdr:col>11</xdr:col>
                <xdr:colOff>409575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04" r:id="rId41" name="Option Button 40">
          <controlPr defaultSize="0" autoFill="0" autoLine="0" autoPict="0">
            <anchor moveWithCells="1">
              <from>
                <xdr:col>10</xdr:col>
                <xdr:colOff>381000</xdr:colOff>
                <xdr:row>18</xdr:row>
                <xdr:rowOff>47625</xdr:rowOff>
              </from>
              <to>
                <xdr:col>10</xdr:col>
                <xdr:colOff>809625</xdr:colOff>
                <xdr:row>18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0505" r:id="rId42" name="Option Button 41">
          <controlPr defaultSize="0" autoFill="0" autoLine="0" autoPict="0">
            <anchor moveWithCells="1">
              <from>
                <xdr:col>10</xdr:col>
                <xdr:colOff>885825</xdr:colOff>
                <xdr:row>18</xdr:row>
                <xdr:rowOff>47625</xdr:rowOff>
              </from>
              <to>
                <xdr:col>11</xdr:col>
                <xdr:colOff>314325</xdr:colOff>
                <xdr:row>18</xdr:row>
                <xdr:rowOff>257175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" id="{49AAEEC1-45D4-461A-94A9-85C4A608A47D}">
            <xm:f>Unformatted!$E$48=""</xm:f>
            <x14:dxf>
              <font>
                <b/>
                <i val="0"/>
                <color rgb="FFFF0000"/>
              </font>
            </x14:dxf>
          </x14:cfRule>
          <xm:sqref>C6</xm:sqref>
        </x14:conditionalFormatting>
        <x14:conditionalFormatting xmlns:xm="http://schemas.microsoft.com/office/excel/2006/main">
          <x14:cfRule type="expression" priority="4705" id="{CFEF0099-2094-429E-9959-DE915A3C4A40}">
            <xm:f>Unformatted!$C$63=1</xm:f>
            <x14:dxf>
              <font>
                <b/>
                <i val="0"/>
                <color rgb="FFFF0000"/>
              </font>
            </x14:dxf>
          </x14:cfRule>
          <xm:sqref>D14</xm:sqref>
        </x14:conditionalFormatting>
        <x14:conditionalFormatting xmlns:xm="http://schemas.microsoft.com/office/excel/2006/main">
          <x14:cfRule type="expression" priority="23" id="{A9B5720D-4A54-4378-8C4E-F87D66980D82}">
            <xm:f>Unformatted!$C$48=1</xm:f>
            <x14:dxf>
              <font>
                <b/>
                <i val="0"/>
                <color rgb="FFFF0000"/>
              </font>
            </x14:dxf>
          </x14:cfRule>
          <xm:sqref>B4:G4</xm:sqref>
        </x14:conditionalFormatting>
        <x14:conditionalFormatting xmlns:xm="http://schemas.microsoft.com/office/excel/2006/main">
          <x14:cfRule type="expression" priority="22" id="{09B63D21-032C-4BE3-A3B4-75FC82A1DC81}">
            <xm:f>Unformatted!$C$60&gt;0</xm:f>
            <x14:dxf>
              <font>
                <b/>
                <i val="0"/>
                <color rgb="FFFF0000"/>
              </font>
            </x14:dxf>
          </x14:cfRule>
          <xm:sqref>B12:G12</xm:sqref>
        </x14:conditionalFormatting>
        <x14:conditionalFormatting xmlns:xm="http://schemas.microsoft.com/office/excel/2006/main">
          <x14:cfRule type="expression" priority="21" id="{BB9A9D1A-5B4E-4B8C-A2FB-242EAF2BCA6A}">
            <xm:f>Unformatted!$C$62=1</xm:f>
            <x14:dxf>
              <font>
                <b/>
                <i val="0"/>
                <color rgb="FFFF0000"/>
              </font>
            </x14:dxf>
          </x14:cfRule>
          <xm:sqref>D17</xm:sqref>
        </x14:conditionalFormatting>
        <x14:conditionalFormatting xmlns:xm="http://schemas.microsoft.com/office/excel/2006/main">
          <x14:cfRule type="expression" priority="18" id="{FEBDF711-E59E-44BA-8317-5CBF5BEBC6B2}">
            <xm:f>Unformatted!$C$64=1</xm:f>
            <x14:dxf>
              <font>
                <b/>
                <i val="0"/>
                <color rgb="FFFF0000"/>
              </font>
            </x14:dxf>
          </x14:cfRule>
          <xm:sqref>D19</xm:sqref>
        </x14:conditionalFormatting>
        <x14:conditionalFormatting xmlns:xm="http://schemas.microsoft.com/office/excel/2006/main">
          <x14:cfRule type="expression" priority="16" id="{9FD84F3C-318A-4A68-A5F5-7CA6935C7A37}">
            <xm:f>Unformatted!$C$66</xm:f>
            <x14:dxf>
              <font>
                <b/>
                <i val="0"/>
                <color rgb="FFFF0000"/>
              </font>
            </x14:dxf>
          </x14:cfRule>
          <xm:sqref>D21</xm:sqref>
        </x14:conditionalFormatting>
        <x14:conditionalFormatting xmlns:xm="http://schemas.microsoft.com/office/excel/2006/main">
          <x14:cfRule type="expression" priority="15" id="{61228682-4778-45E1-8097-C95D83FEE4AC}">
            <xm:f>Unformatted!$C$67</xm:f>
            <x14:dxf>
              <font>
                <b/>
                <i val="0"/>
                <color rgb="FFFF0000"/>
              </font>
            </x14:dxf>
          </x14:cfRule>
          <xm:sqref>D23</xm:sqref>
        </x14:conditionalFormatting>
        <x14:conditionalFormatting xmlns:xm="http://schemas.microsoft.com/office/excel/2006/main">
          <x14:cfRule type="expression" priority="14" id="{4EB41368-0BCA-4529-AE65-1EFF7436FF71}">
            <xm:f>Unformatted!$C$55&gt;0</xm:f>
            <x14:dxf>
              <font>
                <b/>
                <i val="0"/>
                <color rgb="FFFF0000"/>
              </font>
            </x14:dxf>
          </x14:cfRule>
          <xm:sqref>I4:O4</xm:sqref>
        </x14:conditionalFormatting>
        <x14:conditionalFormatting xmlns:xm="http://schemas.microsoft.com/office/excel/2006/main">
          <x14:cfRule type="expression" priority="6523" id="{DB9A655B-047D-4F5E-8832-EE7B38C5B342}">
            <xm:f>AND(OR(Unformatted!#REF!=1,Unformatted!#REF!=2), $N$6="")</xm:f>
            <x14:dxf>
              <font>
                <b/>
                <i val="0"/>
                <color rgb="FFFF0000"/>
              </font>
            </x14:dxf>
          </x14:cfRule>
          <xm:sqref>J10</xm:sqref>
        </x14:conditionalFormatting>
        <x14:conditionalFormatting xmlns:xm="http://schemas.microsoft.com/office/excel/2006/main">
          <x14:cfRule type="expression" priority="6524" id="{8EEE1820-EB80-48AF-BD57-16DF32D3986E}">
            <xm:f>Unformatted!F56=0</xm:f>
            <x14:dxf>
              <font>
                <b/>
                <i val="0"/>
                <color rgb="FFFF0000"/>
              </font>
            </x14:dxf>
          </x14:cfRule>
          <xm:sqref>J6</xm:sqref>
        </x14:conditionalFormatting>
        <x14:conditionalFormatting xmlns:xm="http://schemas.microsoft.com/office/excel/2006/main">
          <x14:cfRule type="expression" priority="12" id="{96889EBA-977A-4DC4-864E-309A07803CCD}">
            <xm:f>Unformatted!$C$58</xm:f>
            <x14:dxf>
              <font>
                <b/>
                <i val="0"/>
                <color rgb="FFFF0000"/>
              </font>
            </x14:dxf>
          </x14:cfRule>
          <xm:sqref>L6</xm:sqref>
        </x14:conditionalFormatting>
        <x14:conditionalFormatting xmlns:xm="http://schemas.microsoft.com/office/excel/2006/main">
          <x14:cfRule type="expression" priority="10" id="{B74D581A-884F-4E57-8B80-608C9744C2C2}">
            <xm:f>IF(OR(Unformatted!$F$56=0,Unformatted!$F$56=2),0,IF(Unformatted!$C$57=1,1))</xm:f>
            <x14:dxf>
              <font>
                <b/>
                <i val="0"/>
                <color rgb="FFFF0000"/>
              </font>
            </x14:dxf>
          </x14:cfRule>
          <xm:sqref>J8</xm:sqref>
        </x14:conditionalFormatting>
        <x14:conditionalFormatting xmlns:xm="http://schemas.microsoft.com/office/excel/2006/main">
          <x14:cfRule type="expression" priority="9" id="{2BAA4CC4-DE11-4D85-9D6B-2EE4895CE5E3}">
            <xm:f>Unformatted!$C$68=1</xm:f>
            <x14:dxf>
              <font>
                <b/>
                <i val="0"/>
                <color rgb="FFFF0000"/>
              </font>
            </x14:dxf>
          </x14:cfRule>
          <xm:sqref>I12:O12</xm:sqref>
        </x14:conditionalFormatting>
        <x14:conditionalFormatting xmlns:xm="http://schemas.microsoft.com/office/excel/2006/main">
          <x14:cfRule type="expression" priority="8" id="{B181340B-3472-443C-ADAF-969EDE13C6AA}">
            <xm:f>Unformatted!$C$76=1</xm:f>
            <x14:dxf>
              <font>
                <b/>
                <i val="0"/>
                <color rgb="FFFF0000"/>
              </font>
            </x14:dxf>
          </x14:cfRule>
          <xm:sqref>J19</xm:sqref>
        </x14:conditionalFormatting>
        <x14:conditionalFormatting xmlns:xm="http://schemas.microsoft.com/office/excel/2006/main">
          <x14:cfRule type="expression" priority="7" id="{184A195F-FFFC-4577-BBBE-13545414B066}">
            <xm:f>Unformatted!$C$77</xm:f>
            <x14:dxf>
              <font>
                <b/>
                <i val="0"/>
                <color rgb="FFFF0000"/>
              </font>
            </x14:dxf>
          </x14:cfRule>
          <xm:sqref>M19</xm:sqref>
        </x14:conditionalFormatting>
        <x14:conditionalFormatting xmlns:xm="http://schemas.microsoft.com/office/excel/2006/main">
          <x14:cfRule type="expression" priority="6" id="{E6D0FA91-3853-438A-9D39-4D4AE8819919}">
            <xm:f>Unformatted!$C$79</xm:f>
            <x14:dxf>
              <font>
                <b/>
                <i val="0"/>
                <color rgb="FFFF0000"/>
              </font>
            </x14:dxf>
          </x14:cfRule>
          <xm:sqref>L23 K25</xm:sqref>
        </x14:conditionalFormatting>
        <x14:conditionalFormatting xmlns:xm="http://schemas.microsoft.com/office/excel/2006/main">
          <x14:cfRule type="expression" priority="5" id="{4002467C-8642-4A63-9E5A-810EB8E5FCB3}">
            <xm:f>Unformatted!$C$75&gt;0</xm:f>
            <x14:dxf>
              <font>
                <b/>
                <i val="0"/>
                <color rgb="FFFF0000"/>
              </font>
            </x14:dxf>
          </x14:cfRule>
          <xm:sqref>I17:O17</xm:sqref>
        </x14:conditionalFormatting>
        <x14:conditionalFormatting xmlns:xm="http://schemas.microsoft.com/office/excel/2006/main">
          <x14:cfRule type="expression" priority="4" id="{5C7ECDFB-B129-47EC-A581-4C3DA9599839}">
            <xm:f>Unformatted!$C$80=1</xm:f>
            <x14:dxf>
              <font>
                <b/>
                <i val="0"/>
                <color rgb="FFFF0000"/>
              </font>
            </x14:dxf>
          </x14:cfRule>
          <xm:sqref>J23</xm:sqref>
        </x14:conditionalFormatting>
        <x14:conditionalFormatting xmlns:xm="http://schemas.microsoft.com/office/excel/2006/main">
          <x14:cfRule type="expression" priority="1" id="{DED0B35C-498C-4A4A-97B4-4FE8DF8238CA}">
            <xm:f>Unformatted!$F$57=3</xm:f>
            <x14:dxf>
              <font>
                <b/>
                <i val="0"/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M6:N6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36EFB-F94D-48E7-9C9F-6627DB5AEF47}">
  <sheetPr codeName="Sheet12"/>
  <dimension ref="A1:AF37"/>
  <sheetViews>
    <sheetView showGridLines="0" showRowColHeaders="0" zoomScaleNormal="100" workbookViewId="0">
      <selection activeCell="G6" sqref="G6:J6"/>
    </sheetView>
  </sheetViews>
  <sheetFormatPr defaultRowHeight="15" x14ac:dyDescent="0.25"/>
  <cols>
    <col min="1" max="1" width="2.28515625" customWidth="1"/>
    <col min="2" max="2" width="1.42578125" customWidth="1"/>
    <col min="3" max="3" width="12.7109375" customWidth="1"/>
    <col min="4" max="4" width="9.140625" style="437" customWidth="1"/>
    <col min="5" max="5" width="6" customWidth="1"/>
    <col min="6" max="6" width="1.42578125" style="563" customWidth="1"/>
    <col min="7" max="7" width="14" customWidth="1"/>
    <col min="10" max="10" width="2.140625" style="437" customWidth="1"/>
    <col min="11" max="13" width="2.85546875" customWidth="1"/>
    <col min="14" max="14" width="9.7109375" customWidth="1"/>
    <col min="15" max="15" width="10.7109375" customWidth="1"/>
    <col min="16" max="16" width="1.42578125" style="563" customWidth="1"/>
    <col min="17" max="17" width="8.42578125" customWidth="1"/>
    <col min="21" max="21" width="2.85546875" customWidth="1"/>
  </cols>
  <sheetData>
    <row r="1" spans="1:32" s="611" customFormat="1" x14ac:dyDescent="0.25">
      <c r="C1" s="2"/>
      <c r="D1" s="2"/>
      <c r="E1" s="2"/>
      <c r="F1" s="2"/>
      <c r="G1" s="2"/>
      <c r="K1" s="2"/>
      <c r="L1" s="2"/>
      <c r="M1" s="2"/>
    </row>
    <row r="2" spans="1:32" s="611" customFormat="1" ht="23.25" x14ac:dyDescent="0.25">
      <c r="A2" s="107"/>
      <c r="B2" s="107"/>
      <c r="C2" s="107"/>
      <c r="D2" s="107"/>
      <c r="E2" s="107"/>
      <c r="F2" s="107"/>
      <c r="G2" s="107"/>
      <c r="H2" s="107"/>
      <c r="I2" s="107"/>
      <c r="J2" s="107" t="s">
        <v>1244</v>
      </c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</row>
    <row r="3" spans="1:32" s="611" customFormat="1" ht="15.75" thickBot="1" x14ac:dyDescent="0.3">
      <c r="C3" s="429" t="str">
        <f>IF(OR(Unformatted!C84&gt;0,Unformatted!C98&gt;0,Unformatted!C114&gt;0),"WARNING: Items highlighted in red are required.", "")</f>
        <v/>
      </c>
      <c r="E3" s="409"/>
      <c r="F3" s="409"/>
      <c r="G3" s="419"/>
      <c r="I3" s="430"/>
      <c r="J3" s="430"/>
      <c r="K3" s="419"/>
      <c r="L3" s="396"/>
      <c r="M3" s="410"/>
      <c r="N3" s="419"/>
      <c r="O3" s="396"/>
      <c r="P3" s="396"/>
      <c r="Q3" s="410"/>
      <c r="R3" s="409"/>
      <c r="S3" s="419"/>
      <c r="V3" s="429" t="str">
        <f>IF(Unformatted!F104=5,"ALERT: Record Lug and Hole size in notes:","")</f>
        <v/>
      </c>
    </row>
    <row r="4" spans="1:32" ht="24" customHeight="1" thickBot="1" x14ac:dyDescent="0.4">
      <c r="B4" s="962" t="s">
        <v>728</v>
      </c>
      <c r="C4" s="963"/>
      <c r="D4" s="963"/>
      <c r="E4" s="963"/>
      <c r="F4" s="963"/>
      <c r="G4" s="963"/>
      <c r="H4" s="963"/>
      <c r="I4" s="963"/>
      <c r="J4" s="963"/>
      <c r="K4" s="964"/>
      <c r="L4" s="462"/>
      <c r="M4" s="962" t="s">
        <v>1349</v>
      </c>
      <c r="N4" s="963"/>
      <c r="O4" s="963"/>
      <c r="P4" s="963"/>
      <c r="Q4" s="963"/>
      <c r="R4" s="963"/>
      <c r="S4" s="963"/>
      <c r="T4" s="963"/>
      <c r="U4" s="963"/>
      <c r="V4" s="963"/>
      <c r="W4" s="963"/>
      <c r="X4" s="963"/>
      <c r="Y4" s="963"/>
      <c r="Z4" s="963"/>
      <c r="AA4" s="964"/>
    </row>
    <row r="5" spans="1:32" ht="15.75" thickBot="1" x14ac:dyDescent="0.3">
      <c r="B5" s="11"/>
      <c r="C5" s="396"/>
      <c r="D5" s="396"/>
      <c r="E5" s="396"/>
      <c r="F5" s="396"/>
      <c r="G5" s="396"/>
      <c r="H5" s="396"/>
      <c r="I5" s="396"/>
      <c r="J5" s="396"/>
      <c r="K5" s="4"/>
      <c r="L5" s="438"/>
      <c r="M5" s="11"/>
      <c r="N5" s="396"/>
      <c r="O5" s="396"/>
      <c r="P5" s="396"/>
      <c r="Q5" s="396"/>
      <c r="R5" s="396"/>
      <c r="S5" s="396"/>
      <c r="T5" s="396"/>
      <c r="U5" s="396"/>
      <c r="V5" s="454" t="s">
        <v>1203</v>
      </c>
      <c r="W5" s="396"/>
      <c r="X5" s="763"/>
      <c r="Y5" s="454"/>
      <c r="Z5" s="396"/>
      <c r="AA5" s="4"/>
    </row>
    <row r="6" spans="1:32" ht="18.75" customHeight="1" thickBot="1" x14ac:dyDescent="0.4">
      <c r="B6" s="11"/>
      <c r="C6" s="396"/>
      <c r="D6" s="396"/>
      <c r="F6" s="457" t="s">
        <v>1204</v>
      </c>
      <c r="G6" s="1009"/>
      <c r="H6" s="1010"/>
      <c r="I6" s="1010"/>
      <c r="J6" s="1011"/>
      <c r="K6" s="424"/>
      <c r="L6" s="643"/>
      <c r="M6" s="1017" t="s">
        <v>1198</v>
      </c>
      <c r="N6" s="1018"/>
      <c r="O6" s="1018"/>
      <c r="P6" s="1018"/>
      <c r="Q6" s="1018"/>
      <c r="R6" s="1018"/>
      <c r="S6" s="1018"/>
      <c r="T6" s="1018"/>
      <c r="U6" s="1018"/>
      <c r="V6" s="396"/>
      <c r="W6" s="644"/>
      <c r="X6" s="396"/>
      <c r="Y6" s="396"/>
      <c r="Z6" s="396"/>
      <c r="AA6" s="4"/>
      <c r="AB6" s="396"/>
      <c r="AC6" s="396"/>
    </row>
    <row r="7" spans="1:32" ht="5.25" customHeight="1" thickBot="1" x14ac:dyDescent="0.3">
      <c r="B7" s="11"/>
      <c r="C7" s="396"/>
      <c r="D7" s="396"/>
      <c r="E7" s="396"/>
      <c r="F7" s="396"/>
      <c r="G7" s="396"/>
      <c r="H7" s="396" t="s">
        <v>1027</v>
      </c>
      <c r="I7" s="396"/>
      <c r="J7" s="396"/>
      <c r="K7" s="4"/>
      <c r="L7" s="438"/>
      <c r="M7" s="11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  <c r="Z7" s="396"/>
      <c r="AA7" s="4"/>
      <c r="AB7" s="437"/>
      <c r="AC7" s="437"/>
    </row>
    <row r="8" spans="1:32" ht="18.75" customHeight="1" thickBot="1" x14ac:dyDescent="0.4">
      <c r="B8" s="11"/>
      <c r="C8" s="458" t="s">
        <v>1190</v>
      </c>
      <c r="D8" s="1007"/>
      <c r="E8" s="1008"/>
      <c r="F8" s="581"/>
      <c r="G8" s="458" t="s">
        <v>1153</v>
      </c>
      <c r="H8" s="1007"/>
      <c r="I8" s="1008"/>
      <c r="J8" s="396"/>
      <c r="K8" s="4"/>
      <c r="L8" s="438"/>
      <c r="M8" s="11"/>
      <c r="N8" s="410"/>
      <c r="O8" s="457" t="s">
        <v>136</v>
      </c>
      <c r="P8" s="444"/>
      <c r="Q8" s="1009"/>
      <c r="R8" s="1010"/>
      <c r="S8" s="1010"/>
      <c r="T8" s="1011"/>
      <c r="U8" s="396"/>
      <c r="V8" s="396"/>
      <c r="W8" s="396"/>
      <c r="X8" s="396"/>
      <c r="Y8" s="396"/>
      <c r="Z8" s="396"/>
      <c r="AA8" s="4"/>
      <c r="AB8" s="396"/>
      <c r="AC8" s="396"/>
    </row>
    <row r="9" spans="1:32" s="437" customFormat="1" ht="5.25" customHeight="1" thickBot="1" x14ac:dyDescent="0.3">
      <c r="B9" s="11"/>
      <c r="C9" s="396"/>
      <c r="D9" s="396"/>
      <c r="E9" s="396"/>
      <c r="F9" s="396"/>
      <c r="G9" s="396"/>
      <c r="H9" s="396"/>
      <c r="I9" s="396"/>
      <c r="J9" s="396"/>
      <c r="K9" s="4"/>
      <c r="L9" s="438"/>
      <c r="M9" s="11"/>
      <c r="N9" s="396"/>
      <c r="O9" s="396"/>
      <c r="P9" s="396"/>
      <c r="Q9" s="396"/>
      <c r="R9" s="396"/>
      <c r="S9" s="396"/>
      <c r="T9" s="396"/>
      <c r="U9" s="396"/>
      <c r="V9" s="396"/>
      <c r="W9" s="396"/>
      <c r="X9" s="396"/>
      <c r="Y9" s="396"/>
      <c r="Z9" s="396"/>
      <c r="AA9" s="4"/>
      <c r="AB9" s="396"/>
      <c r="AC9" s="396"/>
    </row>
    <row r="10" spans="1:32" ht="18.75" customHeight="1" thickBot="1" x14ac:dyDescent="0.3">
      <c r="B10" s="11"/>
      <c r="C10" s="458" t="s">
        <v>1191</v>
      </c>
      <c r="D10" s="1007"/>
      <c r="E10" s="1008"/>
      <c r="F10" s="581"/>
      <c r="G10" s="458" t="s">
        <v>1194</v>
      </c>
      <c r="H10" s="396"/>
      <c r="I10" s="396"/>
      <c r="J10" s="396"/>
      <c r="K10" s="4"/>
      <c r="L10" s="438"/>
      <c r="M10" s="11"/>
      <c r="N10" s="458" t="s">
        <v>1195</v>
      </c>
      <c r="O10" s="86"/>
      <c r="P10" s="581"/>
      <c r="Q10" s="396"/>
      <c r="R10" s="458" t="s">
        <v>1153</v>
      </c>
      <c r="S10" s="1007"/>
      <c r="T10" s="1008"/>
      <c r="U10" s="396"/>
      <c r="V10" s="396"/>
      <c r="W10" s="396"/>
      <c r="X10" s="396"/>
      <c r="Y10" s="396"/>
      <c r="Z10" s="396"/>
      <c r="AA10" s="4"/>
      <c r="AB10" s="396"/>
      <c r="AC10" s="437"/>
    </row>
    <row r="11" spans="1:32" s="437" customFormat="1" ht="5.25" customHeight="1" thickBot="1" x14ac:dyDescent="0.3">
      <c r="B11" s="11"/>
      <c r="C11" s="396"/>
      <c r="D11" s="396"/>
      <c r="E11" s="396"/>
      <c r="F11" s="396"/>
      <c r="G11" s="396"/>
      <c r="H11" s="396"/>
      <c r="I11" s="396"/>
      <c r="J11" s="396"/>
      <c r="K11" s="4"/>
      <c r="L11" s="438"/>
      <c r="M11" s="11"/>
      <c r="N11" s="396"/>
      <c r="O11" s="396"/>
      <c r="P11" s="396"/>
      <c r="Q11" s="396"/>
      <c r="R11" s="396"/>
      <c r="S11" s="396"/>
      <c r="T11" s="396"/>
      <c r="U11" s="396"/>
      <c r="V11" s="396"/>
      <c r="W11" s="396"/>
      <c r="X11" s="396"/>
      <c r="Y11" s="396"/>
      <c r="Z11" s="396"/>
      <c r="AA11" s="4"/>
      <c r="AB11" s="396"/>
      <c r="AD11"/>
      <c r="AE11"/>
      <c r="AF11"/>
    </row>
    <row r="12" spans="1:32" ht="18.75" customHeight="1" thickBot="1" x14ac:dyDescent="0.3">
      <c r="B12" s="11"/>
      <c r="C12" s="458" t="s">
        <v>1192</v>
      </c>
      <c r="D12" s="1007"/>
      <c r="E12" s="1008"/>
      <c r="F12" s="581"/>
      <c r="G12" s="451" t="s">
        <v>1216</v>
      </c>
      <c r="J12" s="396"/>
      <c r="K12" s="4"/>
      <c r="L12" s="438"/>
      <c r="M12" s="11"/>
      <c r="N12" s="458" t="s">
        <v>1200</v>
      </c>
      <c r="O12" s="86"/>
      <c r="P12" s="581"/>
      <c r="Q12" s="396"/>
      <c r="R12" s="458" t="s">
        <v>1194</v>
      </c>
      <c r="S12" s="396"/>
      <c r="T12" s="396"/>
      <c r="U12" s="396"/>
      <c r="V12" s="396"/>
      <c r="W12" s="396"/>
      <c r="X12" s="396"/>
      <c r="Y12" s="396"/>
      <c r="Z12" s="396"/>
      <c r="AA12" s="4"/>
      <c r="AB12" s="396"/>
      <c r="AC12" s="396"/>
      <c r="AD12" s="438"/>
      <c r="AE12" s="396"/>
      <c r="AF12" s="437"/>
    </row>
    <row r="13" spans="1:32" s="437" customFormat="1" ht="5.25" customHeight="1" thickBot="1" x14ac:dyDescent="0.3">
      <c r="B13" s="11"/>
      <c r="C13" s="396"/>
      <c r="D13" s="396"/>
      <c r="E13" s="396"/>
      <c r="F13" s="396"/>
      <c r="G13" s="396"/>
      <c r="H13" s="396"/>
      <c r="I13" s="396"/>
      <c r="J13" s="396"/>
      <c r="K13" s="4"/>
      <c r="L13" s="438"/>
      <c r="M13" s="11"/>
      <c r="N13" s="396"/>
      <c r="O13" s="396"/>
      <c r="P13" s="396"/>
      <c r="Q13" s="396"/>
      <c r="R13" s="396"/>
      <c r="S13" s="396"/>
      <c r="T13" s="396"/>
      <c r="U13" s="396"/>
      <c r="V13" s="396"/>
      <c r="W13" s="396"/>
      <c r="X13" s="396"/>
      <c r="Y13" s="396"/>
      <c r="Z13" s="396"/>
      <c r="AA13" s="461"/>
      <c r="AB13" s="396"/>
      <c r="AC13" s="396"/>
      <c r="AD13" s="438"/>
      <c r="AE13" s="396"/>
      <c r="AF13" s="396"/>
    </row>
    <row r="14" spans="1:32" ht="18.75" customHeight="1" thickBot="1" x14ac:dyDescent="0.3">
      <c r="B14" s="11"/>
      <c r="C14" s="458" t="s">
        <v>740</v>
      </c>
      <c r="D14" s="1007"/>
      <c r="E14" s="1008"/>
      <c r="F14" s="581"/>
      <c r="G14" s="458" t="s">
        <v>1193</v>
      </c>
      <c r="H14" s="396"/>
      <c r="I14" s="396"/>
      <c r="J14" s="396"/>
      <c r="K14" s="4"/>
      <c r="L14" s="438"/>
      <c r="M14" s="11"/>
      <c r="N14" s="460" t="s">
        <v>1196</v>
      </c>
      <c r="O14" s="396"/>
      <c r="P14" s="396"/>
      <c r="Q14" s="396"/>
      <c r="S14" s="396"/>
      <c r="T14" s="396"/>
      <c r="U14" s="396"/>
      <c r="V14" s="396"/>
      <c r="W14" s="396"/>
      <c r="X14" s="396"/>
      <c r="Y14" s="396"/>
      <c r="Z14" s="396"/>
      <c r="AA14" s="132"/>
      <c r="AB14" s="437"/>
      <c r="AC14" s="396"/>
      <c r="AD14" s="541"/>
      <c r="AE14" s="396"/>
      <c r="AF14" s="396"/>
    </row>
    <row r="15" spans="1:32" ht="5.25" customHeight="1" thickBot="1" x14ac:dyDescent="0.3">
      <c r="B15" s="11"/>
      <c r="C15" s="396"/>
      <c r="D15" s="396"/>
      <c r="E15" s="396"/>
      <c r="F15" s="396"/>
      <c r="G15" s="396"/>
      <c r="H15" s="438"/>
      <c r="I15" s="396"/>
      <c r="J15" s="396"/>
      <c r="K15" s="4"/>
      <c r="L15" s="438"/>
      <c r="M15" s="11"/>
      <c r="N15" s="396"/>
      <c r="O15" s="410"/>
      <c r="P15" s="410"/>
      <c r="Q15" s="419"/>
      <c r="R15" s="396"/>
      <c r="S15" s="410"/>
      <c r="T15" s="419"/>
      <c r="U15" s="396"/>
      <c r="V15" s="396"/>
      <c r="W15" s="396"/>
      <c r="X15" s="396"/>
      <c r="Y15" s="396"/>
      <c r="Z15" s="396"/>
      <c r="AA15" s="4"/>
      <c r="AC15" s="396"/>
      <c r="AD15" s="396"/>
      <c r="AF15" s="396"/>
    </row>
    <row r="16" spans="1:32" ht="18.75" customHeight="1" thickBot="1" x14ac:dyDescent="0.3">
      <c r="B16" s="11"/>
      <c r="C16" s="472" t="s">
        <v>1195</v>
      </c>
      <c r="D16" s="1007"/>
      <c r="E16" s="1008"/>
      <c r="F16" s="581"/>
      <c r="G16" s="460" t="s">
        <v>1196</v>
      </c>
      <c r="H16" s="438"/>
      <c r="I16" s="396"/>
      <c r="J16" s="396"/>
      <c r="K16" s="4"/>
      <c r="L16" s="438"/>
      <c r="M16" s="1015" t="s">
        <v>1199</v>
      </c>
      <c r="N16" s="1016"/>
      <c r="O16" s="1016"/>
      <c r="P16" s="1016"/>
      <c r="Q16" s="1016"/>
      <c r="R16" s="1016"/>
      <c r="S16" s="1016"/>
      <c r="T16" s="1016"/>
      <c r="U16" s="1016"/>
      <c r="V16" s="396"/>
      <c r="W16" s="396"/>
      <c r="X16" s="396"/>
      <c r="Y16" s="396"/>
      <c r="Z16" s="419"/>
      <c r="AA16" s="4"/>
      <c r="AC16" s="396"/>
      <c r="AD16" s="396"/>
      <c r="AE16" s="396"/>
      <c r="AF16" s="396"/>
    </row>
    <row r="17" spans="1:32" ht="5.25" customHeight="1" thickBot="1" x14ac:dyDescent="0.3">
      <c r="B17" s="11"/>
      <c r="C17" s="396"/>
      <c r="D17" s="396"/>
      <c r="E17" s="396"/>
      <c r="F17" s="396"/>
      <c r="G17" s="396"/>
      <c r="H17" s="396"/>
      <c r="I17" s="396"/>
      <c r="J17" s="396"/>
      <c r="K17" s="4"/>
      <c r="L17" s="438"/>
      <c r="M17" s="11"/>
      <c r="N17" s="396"/>
      <c r="O17" s="396"/>
      <c r="P17" s="396"/>
      <c r="Q17" s="405"/>
      <c r="R17" s="396"/>
      <c r="S17" s="396"/>
      <c r="T17" s="396"/>
      <c r="U17" s="396"/>
      <c r="V17" s="396"/>
      <c r="W17" s="396"/>
      <c r="X17" s="396"/>
      <c r="Y17" s="396"/>
      <c r="Z17" s="396"/>
      <c r="AA17" s="4"/>
      <c r="AC17" s="396"/>
      <c r="AD17" s="396"/>
      <c r="AE17" s="396"/>
      <c r="AF17" s="396"/>
    </row>
    <row r="18" spans="1:32" ht="18.75" customHeight="1" thickBot="1" x14ac:dyDescent="0.4">
      <c r="B18" s="11"/>
      <c r="C18" s="656" t="s">
        <v>1479</v>
      </c>
      <c r="D18" s="396"/>
      <c r="E18" s="429" t="str">
        <f>IF(Unformatted!F90=5,"ALERT: Record Lug and Hole size in notes:","")</f>
        <v/>
      </c>
      <c r="F18" s="396"/>
      <c r="G18" s="434"/>
      <c r="H18" s="434"/>
      <c r="I18" s="434"/>
      <c r="J18" s="434"/>
      <c r="K18" s="435"/>
      <c r="L18" s="463"/>
      <c r="M18" s="11"/>
      <c r="N18" s="396"/>
      <c r="O18" s="457" t="s">
        <v>136</v>
      </c>
      <c r="P18" s="457"/>
      <c r="Q18" s="1012"/>
      <c r="R18" s="1013"/>
      <c r="S18" s="1013"/>
      <c r="T18" s="1014"/>
      <c r="U18" s="396"/>
      <c r="V18" s="396"/>
      <c r="W18" s="396"/>
      <c r="X18" s="396"/>
      <c r="Y18" s="396"/>
      <c r="Z18" s="396"/>
      <c r="AA18" s="4"/>
      <c r="AC18" s="396"/>
      <c r="AD18" s="396"/>
      <c r="AE18" s="396"/>
      <c r="AF18" s="396"/>
    </row>
    <row r="19" spans="1:32" s="437" customFormat="1" ht="5.25" customHeight="1" thickBot="1" x14ac:dyDescent="0.4">
      <c r="B19" s="11"/>
      <c r="C19" s="455"/>
      <c r="D19" s="396"/>
      <c r="E19" s="396"/>
      <c r="F19" s="396"/>
      <c r="G19" s="434"/>
      <c r="H19" s="434"/>
      <c r="I19" s="434"/>
      <c r="J19" s="434"/>
      <c r="K19" s="435"/>
      <c r="L19" s="463"/>
      <c r="M19" s="11"/>
      <c r="N19" s="396"/>
      <c r="O19" s="444"/>
      <c r="P19" s="444"/>
      <c r="Q19" s="396"/>
      <c r="R19" s="396"/>
      <c r="S19" s="396"/>
      <c r="T19" s="396"/>
      <c r="U19" s="396"/>
      <c r="V19" s="396"/>
      <c r="W19" s="396"/>
      <c r="X19" s="396"/>
      <c r="Y19" s="396"/>
      <c r="Z19" s="396"/>
      <c r="AA19" s="4"/>
    </row>
    <row r="20" spans="1:32" ht="18.75" customHeight="1" thickBot="1" x14ac:dyDescent="0.3">
      <c r="B20" s="11"/>
      <c r="C20" s="396"/>
      <c r="D20" s="396"/>
      <c r="E20" s="396"/>
      <c r="F20" s="396"/>
      <c r="G20" s="396"/>
      <c r="H20" s="396"/>
      <c r="I20" s="396"/>
      <c r="J20" s="396"/>
      <c r="K20" s="4"/>
      <c r="L20" s="438"/>
      <c r="M20" s="11"/>
      <c r="N20" s="458" t="s">
        <v>1195</v>
      </c>
      <c r="O20" s="86"/>
      <c r="P20" s="581"/>
      <c r="Q20" s="396"/>
      <c r="R20" s="458" t="s">
        <v>1153</v>
      </c>
      <c r="S20" s="1007"/>
      <c r="T20" s="1008"/>
      <c r="U20" s="396"/>
      <c r="V20" s="396"/>
      <c r="W20" s="396"/>
      <c r="X20" s="396"/>
      <c r="Y20" s="396"/>
      <c r="Z20" s="396"/>
      <c r="AA20" s="4"/>
    </row>
    <row r="21" spans="1:32" ht="5.25" customHeight="1" thickBot="1" x14ac:dyDescent="0.3">
      <c r="B21" s="11"/>
      <c r="C21" s="396"/>
      <c r="D21" s="396"/>
      <c r="E21" s="396"/>
      <c r="F21" s="396"/>
      <c r="G21" s="396"/>
      <c r="H21" s="396"/>
      <c r="I21" s="396"/>
      <c r="J21" s="396"/>
      <c r="K21" s="4"/>
      <c r="L21" s="438"/>
      <c r="M21" s="11"/>
      <c r="N21" s="396"/>
      <c r="O21" s="396"/>
      <c r="P21" s="396"/>
      <c r="Q21" s="396"/>
      <c r="R21" s="396"/>
      <c r="S21" s="396"/>
      <c r="T21" s="396"/>
      <c r="U21" s="396"/>
      <c r="V21" s="396"/>
      <c r="W21" s="396"/>
      <c r="X21" s="396"/>
      <c r="Y21" s="396"/>
      <c r="Z21" s="396"/>
      <c r="AA21" s="4"/>
    </row>
    <row r="22" spans="1:32" ht="18.75" customHeight="1" thickBot="1" x14ac:dyDescent="0.3">
      <c r="B22" s="11"/>
      <c r="C22" s="396"/>
      <c r="D22" s="410"/>
      <c r="E22" s="396"/>
      <c r="F22" s="396"/>
      <c r="G22" s="396"/>
      <c r="H22" s="396"/>
      <c r="I22" s="396"/>
      <c r="J22" s="396"/>
      <c r="K22" s="4"/>
      <c r="L22" s="438"/>
      <c r="M22" s="11"/>
      <c r="N22" s="458" t="s">
        <v>1200</v>
      </c>
      <c r="O22" s="86"/>
      <c r="P22" s="581"/>
      <c r="Q22" s="396"/>
      <c r="R22" s="458" t="s">
        <v>1194</v>
      </c>
      <c r="S22" s="396"/>
      <c r="T22" s="396"/>
      <c r="U22" s="396"/>
      <c r="V22" s="396"/>
      <c r="W22" s="396"/>
      <c r="X22" s="396"/>
      <c r="Y22" s="396"/>
      <c r="Z22" s="396"/>
      <c r="AA22" s="4"/>
    </row>
    <row r="23" spans="1:32" ht="5.25" customHeight="1" x14ac:dyDescent="0.25">
      <c r="B23" s="11"/>
      <c r="C23" s="396"/>
      <c r="D23" s="409"/>
      <c r="E23" s="419"/>
      <c r="F23" s="419"/>
      <c r="G23" s="396"/>
      <c r="H23" s="396"/>
      <c r="I23" s="396"/>
      <c r="J23" s="396"/>
      <c r="K23" s="4"/>
      <c r="L23" s="438"/>
      <c r="M23" s="11"/>
      <c r="N23" s="396"/>
      <c r="O23" s="396"/>
      <c r="P23" s="396"/>
      <c r="Q23" s="396"/>
      <c r="R23" s="396"/>
      <c r="S23" s="396"/>
      <c r="T23" s="396"/>
      <c r="U23" s="396"/>
      <c r="V23" s="396"/>
      <c r="W23" s="396"/>
      <c r="X23" s="396"/>
      <c r="Y23" s="396"/>
      <c r="Z23" s="396"/>
      <c r="AA23" s="4"/>
    </row>
    <row r="24" spans="1:32" ht="18.75" customHeight="1" x14ac:dyDescent="0.25">
      <c r="B24" s="479"/>
      <c r="C24" s="440"/>
      <c r="D24" s="440"/>
      <c r="E24" s="440"/>
      <c r="F24" s="440"/>
      <c r="G24" s="440"/>
      <c r="H24" s="440"/>
      <c r="I24" s="440"/>
      <c r="J24" s="440"/>
      <c r="K24" s="480"/>
      <c r="L24" s="438"/>
      <c r="M24" s="11"/>
      <c r="N24" s="460" t="s">
        <v>1196</v>
      </c>
      <c r="O24" s="396"/>
      <c r="P24" s="396"/>
      <c r="Q24" s="396"/>
      <c r="R24" s="459"/>
      <c r="S24" s="396"/>
      <c r="T24" s="396"/>
      <c r="U24" s="396"/>
      <c r="V24" s="396"/>
      <c r="W24" s="396"/>
      <c r="X24" s="396"/>
      <c r="Y24" s="396"/>
      <c r="Z24" s="396"/>
      <c r="AA24" s="4"/>
    </row>
    <row r="25" spans="1:32" ht="5.25" customHeight="1" thickBot="1" x14ac:dyDescent="0.35">
      <c r="A25" s="396"/>
      <c r="B25" s="473"/>
      <c r="C25" s="474"/>
      <c r="D25" s="474"/>
      <c r="E25" s="474"/>
      <c r="F25" s="474"/>
      <c r="G25" s="474"/>
      <c r="H25" s="474"/>
      <c r="I25" s="474"/>
      <c r="J25" s="474"/>
      <c r="K25" s="475"/>
      <c r="L25" s="438"/>
      <c r="M25" s="12"/>
      <c r="N25" s="5"/>
      <c r="O25" s="471"/>
      <c r="P25" s="471"/>
      <c r="Q25" s="471"/>
      <c r="R25" s="471"/>
      <c r="S25" s="471"/>
      <c r="T25" s="471"/>
      <c r="U25" s="471"/>
      <c r="V25" s="5"/>
      <c r="W25" s="5"/>
      <c r="X25" s="5"/>
      <c r="Y25" s="5"/>
      <c r="Z25" s="5"/>
      <c r="AA25" s="6"/>
      <c r="AB25" s="396"/>
    </row>
    <row r="26" spans="1:32" s="437" customFormat="1" ht="5.25" customHeight="1" thickBot="1" x14ac:dyDescent="0.35">
      <c r="A26" s="396"/>
      <c r="B26" s="440"/>
      <c r="C26" s="440"/>
      <c r="D26" s="440"/>
      <c r="E26" s="440"/>
      <c r="F26" s="440"/>
      <c r="G26" s="440"/>
      <c r="H26" s="440"/>
      <c r="I26" s="440"/>
      <c r="J26" s="440"/>
      <c r="K26" s="440"/>
      <c r="L26" s="438"/>
      <c r="M26" s="396"/>
      <c r="N26" s="396"/>
      <c r="O26" s="426"/>
      <c r="P26" s="426"/>
      <c r="Q26" s="426"/>
      <c r="R26" s="426"/>
      <c r="S26" s="426"/>
      <c r="T26" s="426"/>
      <c r="U26" s="426"/>
      <c r="V26" s="396"/>
      <c r="W26" s="396"/>
      <c r="X26" s="396"/>
      <c r="Y26" s="396"/>
      <c r="Z26" s="396"/>
      <c r="AA26" s="396"/>
      <c r="AB26" s="396"/>
    </row>
    <row r="27" spans="1:32" ht="24" thickBot="1" x14ac:dyDescent="0.3">
      <c r="B27" s="962" t="s">
        <v>1197</v>
      </c>
      <c r="C27" s="963"/>
      <c r="D27" s="963"/>
      <c r="E27" s="963"/>
      <c r="F27" s="963"/>
      <c r="G27" s="963"/>
      <c r="H27" s="963"/>
      <c r="I27" s="963"/>
      <c r="J27" s="963"/>
      <c r="K27" s="963"/>
      <c r="L27" s="963"/>
      <c r="M27" s="963"/>
      <c r="N27" s="963"/>
      <c r="O27" s="963"/>
      <c r="P27" s="963"/>
      <c r="Q27" s="963"/>
      <c r="R27" s="963"/>
      <c r="S27" s="963"/>
      <c r="T27" s="963"/>
      <c r="U27" s="964"/>
      <c r="V27" s="481"/>
      <c r="W27" s="481"/>
      <c r="X27" s="481"/>
      <c r="Y27" s="481"/>
      <c r="Z27" s="481"/>
      <c r="AA27" s="481"/>
    </row>
    <row r="28" spans="1:32" s="437" customFormat="1" ht="5.25" customHeight="1" thickBot="1" x14ac:dyDescent="0.3">
      <c r="B28" s="476"/>
      <c r="C28" s="477"/>
      <c r="D28" s="477"/>
      <c r="E28" s="477"/>
      <c r="F28" s="477"/>
      <c r="G28" s="477"/>
      <c r="H28" s="477"/>
      <c r="I28" s="477"/>
      <c r="J28" s="477"/>
      <c r="K28" s="477"/>
      <c r="L28" s="477"/>
      <c r="M28" s="477"/>
      <c r="N28" s="477"/>
      <c r="O28" s="477"/>
      <c r="P28" s="477"/>
      <c r="Q28" s="477"/>
      <c r="R28" s="477"/>
      <c r="S28" s="477"/>
      <c r="T28" s="477"/>
      <c r="U28" s="478"/>
      <c r="V28" s="438"/>
      <c r="W28" s="438"/>
      <c r="X28" s="438"/>
      <c r="Y28" s="438"/>
      <c r="Z28" s="438"/>
      <c r="AA28" s="438"/>
    </row>
    <row r="29" spans="1:32" ht="18.75" customHeight="1" thickBot="1" x14ac:dyDescent="0.4">
      <c r="B29" s="470"/>
      <c r="C29" s="456"/>
      <c r="D29" s="396"/>
      <c r="F29" s="457" t="s">
        <v>1204</v>
      </c>
      <c r="G29" s="1009"/>
      <c r="H29" s="1010"/>
      <c r="I29" s="1011"/>
      <c r="J29" s="396"/>
      <c r="K29" s="454" t="s">
        <v>1202</v>
      </c>
      <c r="L29" s="438"/>
      <c r="M29" s="396"/>
      <c r="N29" s="396"/>
      <c r="O29" s="673"/>
      <c r="P29" s="410"/>
      <c r="Q29" s="419"/>
      <c r="R29" s="396"/>
      <c r="S29" s="468"/>
      <c r="T29" s="419"/>
      <c r="U29" s="4"/>
      <c r="V29" s="438"/>
      <c r="W29" s="438"/>
      <c r="X29" s="438"/>
      <c r="Y29" s="438"/>
      <c r="Z29" s="438"/>
      <c r="AA29" s="438"/>
    </row>
    <row r="30" spans="1:32" ht="5.25" customHeight="1" thickBot="1" x14ac:dyDescent="0.3">
      <c r="B30" s="470"/>
      <c r="C30" s="396"/>
      <c r="D30" s="444"/>
      <c r="E30" s="396"/>
      <c r="F30" s="396"/>
      <c r="G30" s="396"/>
      <c r="H30" s="396"/>
      <c r="I30" s="396"/>
      <c r="J30" s="396"/>
      <c r="K30" s="396"/>
      <c r="L30" s="438"/>
      <c r="M30" s="396"/>
      <c r="N30" s="396"/>
      <c r="O30" s="442"/>
      <c r="P30" s="442"/>
      <c r="Q30" s="419"/>
      <c r="R30" s="396"/>
      <c r="S30" s="410"/>
      <c r="T30" s="419"/>
      <c r="U30" s="4"/>
      <c r="V30" s="438"/>
      <c r="W30" s="438"/>
      <c r="X30" s="438"/>
      <c r="Y30" s="438"/>
      <c r="Z30" s="438"/>
      <c r="AA30" s="438"/>
    </row>
    <row r="31" spans="1:32" ht="18.75" customHeight="1" thickBot="1" x14ac:dyDescent="0.3">
      <c r="B31" s="470"/>
      <c r="C31" s="458" t="s">
        <v>1201</v>
      </c>
      <c r="E31" s="396"/>
      <c r="F31" s="396"/>
      <c r="G31" s="458" t="s">
        <v>1153</v>
      </c>
      <c r="H31" s="1007"/>
      <c r="I31" s="1008"/>
      <c r="J31" s="396"/>
      <c r="K31" s="396"/>
      <c r="L31" s="438"/>
      <c r="M31" s="396"/>
      <c r="N31" s="396"/>
      <c r="O31" s="410"/>
      <c r="P31" s="410"/>
      <c r="Q31" s="419"/>
      <c r="R31" s="396"/>
      <c r="S31" s="410"/>
      <c r="T31" s="419"/>
      <c r="U31" s="4"/>
      <c r="V31" s="438"/>
      <c r="W31" s="438"/>
      <c r="X31" s="438"/>
      <c r="Y31" s="438"/>
      <c r="Z31" s="438"/>
      <c r="AA31" s="438"/>
    </row>
    <row r="32" spans="1:32" ht="5.25" customHeight="1" thickBot="1" x14ac:dyDescent="0.3">
      <c r="B32" s="11"/>
      <c r="C32" s="396"/>
      <c r="D32" s="396"/>
      <c r="E32" s="396"/>
      <c r="F32" s="396"/>
      <c r="G32" s="396"/>
      <c r="H32" s="396"/>
      <c r="I32" s="396"/>
      <c r="J32" s="396"/>
      <c r="K32" s="396"/>
      <c r="L32" s="438"/>
      <c r="M32" s="396"/>
      <c r="N32" s="396"/>
      <c r="O32" s="396"/>
      <c r="P32" s="396"/>
      <c r="Q32" s="396"/>
      <c r="R32" s="396"/>
      <c r="S32" s="396"/>
      <c r="T32" s="396"/>
      <c r="U32" s="4"/>
      <c r="V32" s="438"/>
      <c r="W32" s="438"/>
      <c r="X32" s="438"/>
      <c r="Y32" s="438"/>
      <c r="Z32" s="438"/>
      <c r="AA32" s="438"/>
    </row>
    <row r="33" spans="2:27" ht="18.75" customHeight="1" thickBot="1" x14ac:dyDescent="0.3">
      <c r="B33" s="11"/>
      <c r="C33" s="458" t="s">
        <v>1195</v>
      </c>
      <c r="D33" s="86"/>
      <c r="E33" s="396"/>
      <c r="F33" s="396"/>
      <c r="G33" s="458" t="s">
        <v>1194</v>
      </c>
      <c r="H33" s="396"/>
      <c r="I33" s="396"/>
      <c r="J33" s="396"/>
      <c r="K33" s="396"/>
      <c r="L33" s="438"/>
      <c r="M33" s="396"/>
      <c r="N33" s="396"/>
      <c r="O33" s="469"/>
      <c r="P33" s="469"/>
      <c r="Q33" s="396"/>
      <c r="R33" s="396"/>
      <c r="S33" s="410"/>
      <c r="T33" s="419"/>
      <c r="U33" s="4"/>
      <c r="V33" s="438"/>
      <c r="W33" s="438"/>
      <c r="X33" s="438"/>
      <c r="Y33" s="438"/>
      <c r="Z33" s="438"/>
      <c r="AA33" s="438"/>
    </row>
    <row r="34" spans="2:27" ht="5.25" customHeight="1" thickBot="1" x14ac:dyDescent="0.3">
      <c r="B34" s="11"/>
      <c r="C34" s="396"/>
      <c r="D34" s="396"/>
      <c r="E34" s="396"/>
      <c r="F34" s="396"/>
      <c r="G34" s="396"/>
      <c r="H34" s="396"/>
      <c r="I34" s="396"/>
      <c r="J34" s="396"/>
      <c r="K34" s="396"/>
      <c r="L34" s="438"/>
      <c r="M34" s="396"/>
      <c r="N34" s="396"/>
      <c r="O34" s="396"/>
      <c r="P34" s="396"/>
      <c r="Q34" s="396"/>
      <c r="R34" s="396"/>
      <c r="S34" s="396"/>
      <c r="T34" s="396"/>
      <c r="U34" s="4"/>
      <c r="V34" s="438"/>
      <c r="W34" s="438"/>
      <c r="X34" s="438"/>
      <c r="Y34" s="438"/>
      <c r="Z34" s="438"/>
      <c r="AA34" s="438"/>
    </row>
    <row r="35" spans="2:27" ht="18.75" customHeight="1" thickBot="1" x14ac:dyDescent="0.3">
      <c r="B35" s="11"/>
      <c r="C35" s="458" t="s">
        <v>1200</v>
      </c>
      <c r="D35" s="86"/>
      <c r="E35" s="396"/>
      <c r="F35" s="396"/>
      <c r="G35" s="460" t="s">
        <v>1196</v>
      </c>
      <c r="H35" s="396"/>
      <c r="I35" s="396"/>
      <c r="J35" s="396"/>
      <c r="K35" s="396"/>
      <c r="L35" s="438"/>
      <c r="M35" s="396"/>
      <c r="N35" s="396"/>
      <c r="O35" s="396"/>
      <c r="P35" s="396"/>
      <c r="Q35" s="396"/>
      <c r="R35" s="396"/>
      <c r="S35" s="396"/>
      <c r="T35" s="396"/>
      <c r="U35" s="4"/>
      <c r="V35" s="438"/>
      <c r="W35" s="438"/>
      <c r="X35" s="438"/>
      <c r="Y35" s="438"/>
      <c r="Z35" s="438"/>
      <c r="AA35" s="438"/>
    </row>
    <row r="36" spans="2:27" ht="5.25" customHeight="1" x14ac:dyDescent="0.25">
      <c r="B36" s="11"/>
      <c r="C36" s="396"/>
      <c r="D36" s="396"/>
      <c r="E36" s="396"/>
      <c r="F36" s="396"/>
      <c r="G36" s="396"/>
      <c r="H36" s="396"/>
      <c r="I36" s="396"/>
      <c r="J36" s="396"/>
      <c r="K36" s="396"/>
      <c r="L36" s="438"/>
      <c r="M36" s="396"/>
      <c r="N36" s="396"/>
      <c r="O36" s="410"/>
      <c r="P36" s="410"/>
      <c r="Q36" s="419"/>
      <c r="R36" s="396"/>
      <c r="S36" s="410"/>
      <c r="T36" s="419"/>
      <c r="U36" s="4"/>
      <c r="V36" s="438"/>
      <c r="W36" s="438"/>
      <c r="X36" s="438"/>
      <c r="Y36" s="438"/>
      <c r="Z36" s="438"/>
      <c r="AA36" s="438"/>
    </row>
    <row r="37" spans="2:27" s="437" customFormat="1" ht="15.75" thickBot="1" x14ac:dyDescent="0.3">
      <c r="B37" s="12"/>
      <c r="C37" s="5"/>
      <c r="D37" s="942" t="str">
        <f>IF(Unformatted!F120=5,"ALERT: Record Lug and Hole size in notes:","")</f>
        <v/>
      </c>
      <c r="E37" s="5"/>
      <c r="F37" s="5"/>
      <c r="G37" s="5"/>
      <c r="H37" s="5"/>
      <c r="I37" s="5"/>
      <c r="J37" s="5"/>
      <c r="K37" s="5"/>
      <c r="L37" s="466"/>
      <c r="M37" s="5"/>
      <c r="N37" s="5"/>
      <c r="O37" s="41"/>
      <c r="P37" s="41"/>
      <c r="Q37" s="124"/>
      <c r="R37" s="5"/>
      <c r="S37" s="41"/>
      <c r="T37" s="124"/>
      <c r="U37" s="6"/>
      <c r="V37" s="438"/>
      <c r="W37" s="438"/>
      <c r="X37" s="438"/>
      <c r="Y37" s="438"/>
      <c r="Z37" s="438"/>
      <c r="AA37" s="438"/>
    </row>
  </sheetData>
  <sheetProtection sheet="1" selectLockedCells="1"/>
  <mergeCells count="18">
    <mergeCell ref="M4:AA4"/>
    <mergeCell ref="B4:K4"/>
    <mergeCell ref="Q18:T18"/>
    <mergeCell ref="Q8:T8"/>
    <mergeCell ref="M16:U16"/>
    <mergeCell ref="M6:U6"/>
    <mergeCell ref="D16:E16"/>
    <mergeCell ref="D14:E14"/>
    <mergeCell ref="D12:E12"/>
    <mergeCell ref="D10:E10"/>
    <mergeCell ref="D8:E8"/>
    <mergeCell ref="G6:J6"/>
    <mergeCell ref="H31:I31"/>
    <mergeCell ref="H8:I8"/>
    <mergeCell ref="S10:T10"/>
    <mergeCell ref="S20:T20"/>
    <mergeCell ref="G29:I29"/>
    <mergeCell ref="B27:U2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7726" r:id="rId3" name="TextBox3">
          <controlPr locked="0" defaultSize="0" autoLine="0" autoPict="0" linkedCell="Unformatted!E123" r:id="rId4">
            <anchor moveWithCells="1">
              <from>
                <xdr:col>10</xdr:col>
                <xdr:colOff>0</xdr:colOff>
                <xdr:row>29</xdr:row>
                <xdr:rowOff>0</xdr:rowOff>
              </from>
              <to>
                <xdr:col>20</xdr:col>
                <xdr:colOff>123825</xdr:colOff>
                <xdr:row>36</xdr:row>
                <xdr:rowOff>133350</xdr:rowOff>
              </to>
            </anchor>
          </controlPr>
        </control>
      </mc:Choice>
      <mc:Fallback>
        <control shapeId="157726" r:id="rId3" name="TextBox3"/>
      </mc:Fallback>
    </mc:AlternateContent>
    <mc:AlternateContent xmlns:mc="http://schemas.openxmlformats.org/markup-compatibility/2006">
      <mc:Choice Requires="x14">
        <control shapeId="157725" r:id="rId5" name="TextBox1">
          <controlPr locked="0" defaultSize="0" autoLine="0" linkedCell="Unformatted!E113" r:id="rId6">
            <anchor moveWithCells="1">
              <from>
                <xdr:col>21</xdr:col>
                <xdr:colOff>0</xdr:colOff>
                <xdr:row>5</xdr:row>
                <xdr:rowOff>9525</xdr:rowOff>
              </from>
              <to>
                <xdr:col>26</xdr:col>
                <xdr:colOff>533400</xdr:colOff>
                <xdr:row>24</xdr:row>
                <xdr:rowOff>9525</xdr:rowOff>
              </to>
            </anchor>
          </controlPr>
        </control>
      </mc:Choice>
      <mc:Fallback>
        <control shapeId="157725" r:id="rId5" name="TextBox1"/>
      </mc:Fallback>
    </mc:AlternateContent>
    <mc:AlternateContent xmlns:mc="http://schemas.openxmlformats.org/markup-compatibility/2006">
      <mc:Choice Requires="x14">
        <control shapeId="157707" r:id="rId7" name="TextBox2">
          <controlPr locked="0" defaultSize="0" autoLine="0" autoPict="0" linkedCell="Unformatted!E97" r:id="rId8">
            <anchor moveWithCells="1">
              <from>
                <xdr:col>2</xdr:col>
                <xdr:colOff>0</xdr:colOff>
                <xdr:row>17</xdr:row>
                <xdr:rowOff>219075</xdr:rowOff>
              </from>
              <to>
                <xdr:col>10</xdr:col>
                <xdr:colOff>95250</xdr:colOff>
                <xdr:row>23</xdr:row>
                <xdr:rowOff>228600</xdr:rowOff>
              </to>
            </anchor>
          </controlPr>
        </control>
      </mc:Choice>
      <mc:Fallback>
        <control shapeId="157707" r:id="rId7" name="TextBox2"/>
      </mc:Fallback>
    </mc:AlternateContent>
    <mc:AlternateContent xmlns:mc="http://schemas.openxmlformats.org/markup-compatibility/2006">
      <mc:Choice Requires="x14">
        <control shapeId="157701" r:id="rId9" name="Drop Down 5">
          <controlPr defaultSize="0" autoLine="0" autoPict="0">
            <anchor moveWithCells="1">
              <from>
                <xdr:col>7</xdr:col>
                <xdr:colOff>0</xdr:colOff>
                <xdr:row>15</xdr:row>
                <xdr:rowOff>9525</xdr:rowOff>
              </from>
              <to>
                <xdr:col>8</xdr:col>
                <xdr:colOff>552450</xdr:colOff>
                <xdr:row>15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09" r:id="rId10" name="Drop Down 13">
          <controlPr defaultSize="0" autoLine="0" autoPict="0">
            <anchor moveWithCells="1">
              <from>
                <xdr:col>7</xdr:col>
                <xdr:colOff>9525</xdr:colOff>
                <xdr:row>9</xdr:row>
                <xdr:rowOff>9525</xdr:rowOff>
              </from>
              <to>
                <xdr:col>8</xdr:col>
                <xdr:colOff>238125</xdr:colOff>
                <xdr:row>9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10" r:id="rId11" name="Drop Down 14">
          <controlPr defaultSize="0" autoLine="0" autoPict="0">
            <anchor moveWithCells="1">
              <from>
                <xdr:col>14</xdr:col>
                <xdr:colOff>0</xdr:colOff>
                <xdr:row>12</xdr:row>
                <xdr:rowOff>57150</xdr:rowOff>
              </from>
              <to>
                <xdr:col>16</xdr:col>
                <xdr:colOff>352425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11" r:id="rId12" name="Drop Down 15">
          <controlPr defaultSize="0" autoLine="0" autoPict="0">
            <anchor moveWithCells="1">
              <from>
                <xdr:col>18</xdr:col>
                <xdr:colOff>9525</xdr:colOff>
                <xdr:row>11</xdr:row>
                <xdr:rowOff>9525</xdr:rowOff>
              </from>
              <to>
                <xdr:col>19</xdr:col>
                <xdr:colOff>238125</xdr:colOff>
                <xdr:row>11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13" r:id="rId13" name="Drop Down 17">
          <controlPr defaultSize="0" autoLine="0" autoPict="0">
            <anchor moveWithCells="1">
              <from>
                <xdr:col>14</xdr:col>
                <xdr:colOff>0</xdr:colOff>
                <xdr:row>22</xdr:row>
                <xdr:rowOff>57150</xdr:rowOff>
              </from>
              <to>
                <xdr:col>16</xdr:col>
                <xdr:colOff>352425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14" r:id="rId14" name="Drop Down 18">
          <controlPr defaultSize="0" autoLine="0" autoPict="0">
            <anchor moveWithCells="1">
              <from>
                <xdr:col>18</xdr:col>
                <xdr:colOff>9525</xdr:colOff>
                <xdr:row>21</xdr:row>
                <xdr:rowOff>9525</xdr:rowOff>
              </from>
              <to>
                <xdr:col>19</xdr:col>
                <xdr:colOff>219075</xdr:colOff>
                <xdr:row>21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15" r:id="rId15" name="Drop Down 19">
          <controlPr defaultSize="0" autoLine="0" autoPict="0">
            <anchor moveWithCells="1">
              <from>
                <xdr:col>2</xdr:col>
                <xdr:colOff>828675</xdr:colOff>
                <xdr:row>30</xdr:row>
                <xdr:rowOff>38100</xdr:rowOff>
              </from>
              <to>
                <xdr:col>4</xdr:col>
                <xdr:colOff>390525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16" r:id="rId16" name="Drop Down 20">
          <controlPr defaultSize="0" autoLine="0" autoPict="0">
            <anchor moveWithCells="1">
              <from>
                <xdr:col>7</xdr:col>
                <xdr:colOff>9525</xdr:colOff>
                <xdr:row>32</xdr:row>
                <xdr:rowOff>9525</xdr:rowOff>
              </from>
              <to>
                <xdr:col>8</xdr:col>
                <xdr:colOff>161925</xdr:colOff>
                <xdr:row>32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17" r:id="rId17" name="Drop Down 21">
          <controlPr defaultSize="0" autoLine="0" autoPict="0">
            <anchor moveWithCells="1">
              <from>
                <xdr:col>7</xdr:col>
                <xdr:colOff>9525</xdr:colOff>
                <xdr:row>13</xdr:row>
                <xdr:rowOff>9525</xdr:rowOff>
              </from>
              <to>
                <xdr:col>8</xdr:col>
                <xdr:colOff>114300</xdr:colOff>
                <xdr:row>13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20" r:id="rId18" name="Drop Down 24">
          <controlPr defaultSize="0" autoLine="0" autoPict="0">
            <anchor moveWithCells="1">
              <from>
                <xdr:col>7</xdr:col>
                <xdr:colOff>0</xdr:colOff>
                <xdr:row>34</xdr:row>
                <xdr:rowOff>9525</xdr:rowOff>
              </from>
              <to>
                <xdr:col>8</xdr:col>
                <xdr:colOff>457200</xdr:colOff>
                <xdr:row>34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22" r:id="rId19" name="Group Box 26">
          <controlPr defaultSize="0" autoFill="0" autoPict="0">
            <anchor moveWithCells="1">
              <from>
                <xdr:col>12</xdr:col>
                <xdr:colOff>57150</xdr:colOff>
                <xdr:row>4</xdr:row>
                <xdr:rowOff>66675</xdr:rowOff>
              </from>
              <to>
                <xdr:col>20</xdr:col>
                <xdr:colOff>95250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23" r:id="rId20" name="Group Box 27">
          <controlPr defaultSize="0" autoFill="0" autoPict="0">
            <anchor moveWithCells="1">
              <from>
                <xdr:col>12</xdr:col>
                <xdr:colOff>57150</xdr:colOff>
                <xdr:row>15</xdr:row>
                <xdr:rowOff>0</xdr:rowOff>
              </from>
              <to>
                <xdr:col>20</xdr:col>
                <xdr:colOff>104775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24" r:id="rId21" name="Drop Down 28">
          <controlPr defaultSize="0" autoLine="0" autoPict="0">
            <anchor moveWithCells="1">
              <from>
                <xdr:col>7</xdr:col>
                <xdr:colOff>9525</xdr:colOff>
                <xdr:row>11</xdr:row>
                <xdr:rowOff>9525</xdr:rowOff>
              </from>
              <to>
                <xdr:col>8</xdr:col>
                <xdr:colOff>114300</xdr:colOff>
                <xdr:row>11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36" r:id="rId22" name="Group Box 40">
          <controlPr defaultSize="0" autoFill="0" autoPict="0">
            <anchor moveWithCells="1">
              <from>
                <xdr:col>13</xdr:col>
                <xdr:colOff>228600</xdr:colOff>
                <xdr:row>4</xdr:row>
                <xdr:rowOff>180975</xdr:rowOff>
              </from>
              <to>
                <xdr:col>14</xdr:col>
                <xdr:colOff>476250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37" r:id="rId23" name="Option Button 41">
          <controlPr defaultSize="0" autoFill="0" autoLine="0" autoPict="0">
            <anchor moveWithCells="1">
              <from>
                <xdr:col>13</xdr:col>
                <xdr:colOff>257175</xdr:colOff>
                <xdr:row>5</xdr:row>
                <xdr:rowOff>9525</xdr:rowOff>
              </from>
              <to>
                <xdr:col>14</xdr:col>
                <xdr:colOff>47625</xdr:colOff>
                <xdr:row>5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38" r:id="rId24" name="Option Button 42">
          <controlPr defaultSize="0" autoFill="0" autoLine="0" autoPict="0">
            <anchor moveWithCells="1">
              <from>
                <xdr:col>14</xdr:col>
                <xdr:colOff>47625</xdr:colOff>
                <xdr:row>5</xdr:row>
                <xdr:rowOff>9525</xdr:rowOff>
              </from>
              <to>
                <xdr:col>14</xdr:col>
                <xdr:colOff>457200</xdr:colOff>
                <xdr:row>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39" r:id="rId25" name="Group Box 43">
          <controlPr defaultSize="0" autoFill="0" autoPict="0">
            <anchor moveWithCells="1">
              <from>
                <xdr:col>13</xdr:col>
                <xdr:colOff>247650</xdr:colOff>
                <xdr:row>15</xdr:row>
                <xdr:rowOff>76200</xdr:rowOff>
              </from>
              <to>
                <xdr:col>14</xdr:col>
                <xdr:colOff>495300</xdr:colOff>
                <xdr:row>17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40" r:id="rId26" name="Option Button 44">
          <controlPr defaultSize="0" autoFill="0" autoLine="0" autoPict="0">
            <anchor moveWithCells="1">
              <from>
                <xdr:col>13</xdr:col>
                <xdr:colOff>276225</xdr:colOff>
                <xdr:row>15</xdr:row>
                <xdr:rowOff>104775</xdr:rowOff>
              </from>
              <to>
                <xdr:col>14</xdr:col>
                <xdr:colOff>66675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41" r:id="rId27" name="Option Button 45">
          <controlPr defaultSize="0" autoFill="0" autoLine="0" autoPict="0">
            <anchor moveWithCells="1">
              <from>
                <xdr:col>14</xdr:col>
                <xdr:colOff>66675</xdr:colOff>
                <xdr:row>15</xdr:row>
                <xdr:rowOff>104775</xdr:rowOff>
              </from>
              <to>
                <xdr:col>14</xdr:col>
                <xdr:colOff>476250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42" r:id="rId28" name="Group Box 46">
          <controlPr defaultSize="0" autoFill="0" autoPict="0">
            <anchor moveWithCells="1">
              <from>
                <xdr:col>1</xdr:col>
                <xdr:colOff>38100</xdr:colOff>
                <xdr:row>27</xdr:row>
                <xdr:rowOff>38100</xdr:rowOff>
              </from>
              <to>
                <xdr:col>2</xdr:col>
                <xdr:colOff>800100</xdr:colOff>
                <xdr:row>28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43" r:id="rId29" name="Option Button 47">
          <controlPr defaultSize="0" autoFill="0" autoLine="0" autoPict="0">
            <anchor moveWithCells="1">
              <from>
                <xdr:col>1</xdr:col>
                <xdr:colOff>66675</xdr:colOff>
                <xdr:row>27</xdr:row>
                <xdr:rowOff>66675</xdr:rowOff>
              </from>
              <to>
                <xdr:col>2</xdr:col>
                <xdr:colOff>409575</xdr:colOff>
                <xdr:row>28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44" r:id="rId30" name="Option Button 48">
          <controlPr defaultSize="0" autoFill="0" autoLine="0" autoPict="0">
            <anchor moveWithCells="1">
              <from>
                <xdr:col>2</xdr:col>
                <xdr:colOff>371475</xdr:colOff>
                <xdr:row>27</xdr:row>
                <xdr:rowOff>66675</xdr:rowOff>
              </from>
              <to>
                <xdr:col>2</xdr:col>
                <xdr:colOff>781050</xdr:colOff>
                <xdr:row>28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48" r:id="rId31" name="Group Box 52">
          <controlPr defaultSize="0" autoFill="0" autoPict="0">
            <anchor moveWithCells="1">
              <from>
                <xdr:col>1</xdr:col>
                <xdr:colOff>38100</xdr:colOff>
                <xdr:row>4</xdr:row>
                <xdr:rowOff>28575</xdr:rowOff>
              </from>
              <to>
                <xdr:col>2</xdr:col>
                <xdr:colOff>790575</xdr:colOff>
                <xdr:row>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49" r:id="rId32" name="Option Button 53">
          <controlPr defaultSize="0" autoFill="0" autoLine="0" autoPict="0">
            <anchor moveWithCells="1">
              <from>
                <xdr:col>1</xdr:col>
                <xdr:colOff>66675</xdr:colOff>
                <xdr:row>4</xdr:row>
                <xdr:rowOff>57150</xdr:rowOff>
              </from>
              <to>
                <xdr:col>2</xdr:col>
                <xdr:colOff>409575</xdr:colOff>
                <xdr:row>5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7750" r:id="rId33" name="Option Button 54">
          <controlPr defaultSize="0" autoFill="0" autoLine="0" autoPict="0">
            <anchor moveWithCells="1">
              <from>
                <xdr:col>2</xdr:col>
                <xdr:colOff>371475</xdr:colOff>
                <xdr:row>4</xdr:row>
                <xdr:rowOff>57150</xdr:rowOff>
              </from>
              <to>
                <xdr:col>2</xdr:col>
                <xdr:colOff>771525</xdr:colOff>
                <xdr:row>5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756" id="{842C54C3-AE07-422C-9BC7-81A534FD6DD2}">
            <xm:f>AND(Unformatted!$E$85,Unformatted!D96=1)</xm:f>
            <x14:dxf>
              <font>
                <b/>
                <i val="0"/>
                <color rgb="FFFF0000"/>
              </font>
            </x14:dxf>
          </x14:cfRule>
          <xm:sqref>C19</xm:sqref>
        </x14:conditionalFormatting>
        <x14:conditionalFormatting xmlns:xm="http://schemas.microsoft.com/office/excel/2006/main">
          <x14:cfRule type="expression" priority="6757" id="{937380D8-1154-4931-AC19-418763423FF5}">
            <xm:f>AND(Unformatted!$E$85,Unformatted!$C$97=1)</xm:f>
            <x14:dxf>
              <font>
                <b/>
                <i val="0"/>
                <color rgb="FFFF0000"/>
              </font>
            </x14:dxf>
          </x14:cfRule>
          <xm:sqref>B29:C29 B30:B31 B28</xm:sqref>
        </x14:conditionalFormatting>
        <x14:conditionalFormatting xmlns:xm="http://schemas.microsoft.com/office/excel/2006/main">
          <x14:cfRule type="expression" priority="6760" id="{1076994A-B674-44D6-B62F-BF97DF4B62F4}">
            <xm:f>AND(Unformatted!$E$99,Unformatted!#REF!="N/A")</xm:f>
            <x14:dxf>
              <font>
                <b/>
                <i val="0"/>
                <color rgb="FFFF0000"/>
              </font>
            </x14:dxf>
          </x14:cfRule>
          <xm:sqref>O30:P30</xm:sqref>
        </x14:conditionalFormatting>
        <x14:conditionalFormatting xmlns:xm="http://schemas.microsoft.com/office/excel/2006/main">
          <x14:cfRule type="expression" priority="6761" id="{6CF93182-331E-4B3F-B375-7B9BF295D091}">
            <xm:f>AND(Unformatted!$E$99,Unformatted!$C$113=1)</xm:f>
            <x14:dxf>
              <font>
                <b/>
                <i val="0"/>
                <color rgb="FFFF0000"/>
              </font>
            </x14:dxf>
          </x14:cfRule>
          <xm:sqref>O33:P33</xm:sqref>
        </x14:conditionalFormatting>
        <x14:conditionalFormatting xmlns:xm="http://schemas.microsoft.com/office/excel/2006/main">
          <x14:cfRule type="expression" priority="6762" id="{4C9253F8-78D5-4AC1-A5F0-A4DA14FF5BF7}">
            <xm:f>AND(Unformatted!$E$99,Unformatted!#REF!=1)</xm:f>
            <x14:dxf>
              <font>
                <b/>
                <i val="0"/>
                <color rgb="FFFF0000"/>
              </font>
            </x14:dxf>
          </x14:cfRule>
          <xm:sqref>S29</xm:sqref>
        </x14:conditionalFormatting>
        <x14:conditionalFormatting xmlns:xm="http://schemas.microsoft.com/office/excel/2006/main">
          <x14:cfRule type="expression" priority="34" id="{35075A21-E3FE-463C-85A8-2BDC86A2E00F}">
            <xm:f>OR(Unformatted!$C$84&gt;0,Unformatted!$F$85=0)</xm:f>
            <x14:dxf>
              <font>
                <b/>
                <i val="0"/>
                <color rgb="FFFF0000"/>
              </font>
            </x14:dxf>
          </x14:cfRule>
          <xm:sqref>B4:K4</xm:sqref>
        </x14:conditionalFormatting>
        <x14:conditionalFormatting xmlns:xm="http://schemas.microsoft.com/office/excel/2006/main">
          <x14:cfRule type="expression" priority="33" id="{B8284B8C-36A7-4EEB-A035-1B14C0416154}">
            <xm:f>Unformatted!$C$86</xm:f>
            <x14:dxf>
              <font>
                <b/>
                <i val="0"/>
                <color rgb="FFFF0000"/>
              </font>
            </x14:dxf>
          </x14:cfRule>
          <xm:sqref>E7</xm:sqref>
        </x14:conditionalFormatting>
        <x14:conditionalFormatting xmlns:xm="http://schemas.microsoft.com/office/excel/2006/main">
          <x14:cfRule type="expression" priority="32" id="{BB4B9762-412D-4646-B4F3-9553C2EECCB7}">
            <xm:f>Unformatted!$C$86=1</xm:f>
            <x14:dxf>
              <font>
                <b/>
                <i val="0"/>
                <color rgb="FFFF0000"/>
              </font>
            </x14:dxf>
          </x14:cfRule>
          <xm:sqref>F6</xm:sqref>
        </x14:conditionalFormatting>
        <x14:conditionalFormatting xmlns:xm="http://schemas.microsoft.com/office/excel/2006/main">
          <x14:cfRule type="expression" priority="31" id="{DE38DEA6-75DA-4C92-A045-CC1BC9D9FAA7}">
            <xm:f>Unformatted!$C$88=1</xm:f>
            <x14:dxf>
              <font>
                <b/>
                <i val="0"/>
                <color rgb="FFFF0000"/>
              </font>
            </x14:dxf>
          </x14:cfRule>
          <xm:sqref>G8</xm:sqref>
        </x14:conditionalFormatting>
        <x14:conditionalFormatting xmlns:xm="http://schemas.microsoft.com/office/excel/2006/main">
          <x14:cfRule type="expression" priority="30" id="{8A2980C0-765E-4123-A2FB-8B539F3FD171}">
            <xm:f>Unformatted!$C$90=1</xm:f>
            <x14:dxf>
              <font>
                <b/>
                <i val="0"/>
                <color rgb="FFFF0000"/>
              </font>
            </x14:dxf>
          </x14:cfRule>
          <xm:sqref>G10</xm:sqref>
        </x14:conditionalFormatting>
        <x14:conditionalFormatting xmlns:xm="http://schemas.microsoft.com/office/excel/2006/main">
          <x14:cfRule type="expression" priority="29" id="{2255AD21-6A00-410C-A9A6-8AE6E564A675}">
            <xm:f>Unformatted!$C$92=1</xm:f>
            <x14:dxf>
              <font>
                <b/>
                <i val="0"/>
                <color rgb="FFFF0000"/>
              </font>
            </x14:dxf>
          </x14:cfRule>
          <xm:sqref>G12</xm:sqref>
        </x14:conditionalFormatting>
        <x14:conditionalFormatting xmlns:xm="http://schemas.microsoft.com/office/excel/2006/main">
          <x14:cfRule type="expression" priority="28" id="{F529FA55-90A9-4553-B8C9-61D048B481DD}">
            <xm:f>Unformatted!$C$94=1</xm:f>
            <x14:dxf>
              <font>
                <b/>
                <i val="0"/>
                <color rgb="FFFF0000"/>
              </font>
            </x14:dxf>
          </x14:cfRule>
          <xm:sqref>G14</xm:sqref>
        </x14:conditionalFormatting>
        <x14:conditionalFormatting xmlns:xm="http://schemas.microsoft.com/office/excel/2006/main">
          <x14:cfRule type="expression" priority="27" id="{DEF7EC3D-477C-4994-A917-046BA375CA95}">
            <xm:f>Unformatted!$C$96=1</xm:f>
            <x14:dxf>
              <font>
                <b/>
                <i val="0"/>
                <color rgb="FFFF0000"/>
              </font>
            </x14:dxf>
          </x14:cfRule>
          <xm:sqref>G16</xm:sqref>
        </x14:conditionalFormatting>
        <x14:conditionalFormatting xmlns:xm="http://schemas.microsoft.com/office/excel/2006/main">
          <x14:cfRule type="expression" priority="26" id="{445E3871-7F0F-480F-BEF2-1775E303261C}">
            <xm:f>Unformatted!$C$93=1</xm:f>
            <x14:dxf>
              <font>
                <b/>
                <i val="0"/>
                <color rgb="FFFF0000"/>
              </font>
            </x14:dxf>
          </x14:cfRule>
          <xm:sqref>C14</xm:sqref>
        </x14:conditionalFormatting>
        <x14:conditionalFormatting xmlns:xm="http://schemas.microsoft.com/office/excel/2006/main">
          <x14:cfRule type="expression" priority="25" id="{4B322E85-5B81-4B88-AC17-29C673E7FB01}">
            <xm:f>Unformatted!$C$95=1</xm:f>
            <x14:dxf>
              <font>
                <b/>
                <i val="0"/>
                <color rgb="FFFF0000"/>
              </font>
            </x14:dxf>
          </x14:cfRule>
          <xm:sqref>C16</xm:sqref>
        </x14:conditionalFormatting>
        <x14:conditionalFormatting xmlns:xm="http://schemas.microsoft.com/office/excel/2006/main">
          <x14:cfRule type="expression" priority="24" id="{A7C45975-0ED9-43DA-A6E0-7B5DD7BE36E1}">
            <xm:f>Unformatted!$C$100=1</xm:f>
            <x14:dxf>
              <font>
                <b/>
                <i val="0"/>
                <color rgb="FFFF0000"/>
              </font>
            </x14:dxf>
          </x14:cfRule>
          <xm:sqref>O8</xm:sqref>
        </x14:conditionalFormatting>
        <x14:conditionalFormatting xmlns:xm="http://schemas.microsoft.com/office/excel/2006/main">
          <x14:cfRule type="expression" priority="23" id="{211776AC-D534-468D-9A56-D11E155C0D30}">
            <xm:f>Unformatted!$C$101=1</xm:f>
            <x14:dxf>
              <font>
                <b/>
                <i val="0"/>
                <color rgb="FFFF0000"/>
              </font>
            </x14:dxf>
          </x14:cfRule>
          <xm:sqref>N10</xm:sqref>
        </x14:conditionalFormatting>
        <x14:conditionalFormatting xmlns:xm="http://schemas.microsoft.com/office/excel/2006/main">
          <x14:cfRule type="expression" priority="22" id="{0F64D436-0FA4-49C8-8337-424D71EFAE94}">
            <xm:f>Unformatted!$C$103=1</xm:f>
            <x14:dxf>
              <font>
                <b/>
                <i val="0"/>
                <color rgb="FFFF0000"/>
              </font>
            </x14:dxf>
          </x14:cfRule>
          <xm:sqref>N12</xm:sqref>
        </x14:conditionalFormatting>
        <x14:conditionalFormatting xmlns:xm="http://schemas.microsoft.com/office/excel/2006/main">
          <x14:cfRule type="expression" priority="21" id="{153773D7-09D6-433E-AEB5-2904BFCEADD0}">
            <xm:f>Unformatted!$C$102=1</xm:f>
            <x14:dxf>
              <font>
                <b/>
                <i val="0"/>
                <color rgb="FFFF0000"/>
              </font>
            </x14:dxf>
          </x14:cfRule>
          <xm:sqref>R10</xm:sqref>
        </x14:conditionalFormatting>
        <x14:conditionalFormatting xmlns:xm="http://schemas.microsoft.com/office/excel/2006/main">
          <x14:cfRule type="expression" priority="20" id="{2715AEBF-735F-4FEB-B29D-40D922A27C66}">
            <xm:f>Unformatted!$C$104=1</xm:f>
            <x14:dxf>
              <font>
                <b/>
                <i val="0"/>
                <color rgb="FFFF0000"/>
              </font>
            </x14:dxf>
          </x14:cfRule>
          <xm:sqref>R12</xm:sqref>
        </x14:conditionalFormatting>
        <x14:conditionalFormatting xmlns:xm="http://schemas.microsoft.com/office/excel/2006/main">
          <x14:cfRule type="expression" priority="19" id="{BB98E78A-C848-43F9-9F07-FAFCB6AE60C7}">
            <xm:f>Unformatted!$C$105=1</xm:f>
            <x14:dxf>
              <font>
                <b/>
                <i val="0"/>
                <color rgb="FFFF0000"/>
              </font>
            </x14:dxf>
          </x14:cfRule>
          <xm:sqref>N14</xm:sqref>
        </x14:conditionalFormatting>
        <x14:conditionalFormatting xmlns:xm="http://schemas.microsoft.com/office/excel/2006/main">
          <x14:cfRule type="expression" priority="18" id="{DDBFAD33-EE34-4BFB-9E0E-8F961D27E5DA}">
            <xm:f>Unformatted!$C$107=1</xm:f>
            <x14:dxf>
              <font>
                <b/>
                <i val="0"/>
                <color rgb="FFFF0000"/>
              </font>
            </x14:dxf>
          </x14:cfRule>
          <xm:sqref>O18</xm:sqref>
        </x14:conditionalFormatting>
        <x14:conditionalFormatting xmlns:xm="http://schemas.microsoft.com/office/excel/2006/main">
          <x14:cfRule type="expression" priority="17" id="{82274C8C-2412-420C-8E02-D7DCFD97D199}">
            <xm:f>Unformatted!$C$108=1</xm:f>
            <x14:dxf>
              <font>
                <b/>
                <i val="0"/>
                <color rgb="FFFF0000"/>
              </font>
            </x14:dxf>
          </x14:cfRule>
          <xm:sqref>N20</xm:sqref>
        </x14:conditionalFormatting>
        <x14:conditionalFormatting xmlns:xm="http://schemas.microsoft.com/office/excel/2006/main">
          <x14:cfRule type="expression" priority="16" id="{35CC3F31-05F8-46F2-957D-08AA2C767116}">
            <xm:f>Unformatted!$C$110=1</xm:f>
            <x14:dxf>
              <font>
                <b/>
                <i val="0"/>
                <color rgb="FFFF0000"/>
              </font>
            </x14:dxf>
          </x14:cfRule>
          <xm:sqref>N22</xm:sqref>
        </x14:conditionalFormatting>
        <x14:conditionalFormatting xmlns:xm="http://schemas.microsoft.com/office/excel/2006/main">
          <x14:cfRule type="expression" priority="15" id="{F458E4A7-68CC-44CC-BF38-150054122BDF}">
            <xm:f>Unformatted!$C$112=1</xm:f>
            <x14:dxf>
              <font>
                <b/>
                <i val="0"/>
                <color rgb="FFFF0000"/>
              </font>
            </x14:dxf>
          </x14:cfRule>
          <xm:sqref>N24</xm:sqref>
        </x14:conditionalFormatting>
        <x14:conditionalFormatting xmlns:xm="http://schemas.microsoft.com/office/excel/2006/main">
          <x14:cfRule type="expression" priority="14" id="{99E24AF5-6C6F-4B2B-920A-84C864727851}">
            <xm:f>Unformatted!$C$109=1</xm:f>
            <x14:dxf>
              <font>
                <b/>
                <i val="0"/>
                <color rgb="FFFF0000"/>
              </font>
            </x14:dxf>
          </x14:cfRule>
          <xm:sqref>R20</xm:sqref>
        </x14:conditionalFormatting>
        <x14:conditionalFormatting xmlns:xm="http://schemas.microsoft.com/office/excel/2006/main">
          <x14:cfRule type="expression" priority="13" id="{1A9ACB52-19D5-484B-9E69-316B8684C0B4}">
            <xm:f>Unformatted!$C$111=1</xm:f>
            <x14:dxf>
              <font>
                <b/>
                <i val="0"/>
                <color rgb="FFFF0000"/>
              </font>
            </x14:dxf>
          </x14:cfRule>
          <xm:sqref>R22</xm:sqref>
        </x14:conditionalFormatting>
        <x14:conditionalFormatting xmlns:xm="http://schemas.microsoft.com/office/excel/2006/main">
          <x14:cfRule type="expression" priority="12" id="{673B543F-9706-4873-BA27-2E95AAA40DD4}">
            <xm:f>OR(Unformatted!$C$98&gt;0,Unformatted!$F$99=0,Unformatted!$F$106=0)</xm:f>
            <x14:dxf>
              <font>
                <b/>
                <i val="0"/>
                <color rgb="FFFF0000"/>
              </font>
            </x14:dxf>
          </x14:cfRule>
          <xm:sqref>M4:AA4</xm:sqref>
        </x14:conditionalFormatting>
        <x14:conditionalFormatting xmlns:xm="http://schemas.microsoft.com/office/excel/2006/main">
          <x14:cfRule type="expression" priority="11" id="{7218329C-B16B-47A1-81CB-0FC811B3B966}">
            <xm:f>Unformatted!$C$116=1</xm:f>
            <x14:dxf>
              <font>
                <b/>
                <i val="0"/>
                <color rgb="FFFF0000"/>
              </font>
            </x14:dxf>
          </x14:cfRule>
          <xm:sqref>F29</xm:sqref>
        </x14:conditionalFormatting>
        <x14:conditionalFormatting xmlns:xm="http://schemas.microsoft.com/office/excel/2006/main">
          <x14:cfRule type="expression" priority="10" id="{292FA7D9-C939-4F65-98E2-FC963C7675D7}">
            <xm:f>Unformatted!$C$121=1</xm:f>
            <x14:dxf>
              <font>
                <b/>
                <i val="0"/>
                <color rgb="FFFF0000"/>
              </font>
            </x14:dxf>
          </x14:cfRule>
          <xm:sqref>C31</xm:sqref>
        </x14:conditionalFormatting>
        <x14:conditionalFormatting xmlns:xm="http://schemas.microsoft.com/office/excel/2006/main">
          <x14:cfRule type="expression" priority="9" id="{0FFAA684-6407-4245-AD0A-C62F243B8492}">
            <xm:f>Unformatted!$C$118=1</xm:f>
            <x14:dxf>
              <font>
                <b/>
                <i val="0"/>
                <color rgb="FFFF0000"/>
              </font>
            </x14:dxf>
          </x14:cfRule>
          <xm:sqref>G31</xm:sqref>
        </x14:conditionalFormatting>
        <x14:conditionalFormatting xmlns:xm="http://schemas.microsoft.com/office/excel/2006/main">
          <x14:cfRule type="expression" priority="7" id="{7F20BD33-F656-4EDF-87C2-7AC96D23830A}">
            <xm:f>Unformatted!$C$120=1</xm:f>
            <x14:dxf>
              <font>
                <b/>
                <i val="0"/>
                <color rgb="FFFF0000"/>
              </font>
            </x14:dxf>
          </x14:cfRule>
          <xm:sqref>G33</xm:sqref>
        </x14:conditionalFormatting>
        <x14:conditionalFormatting xmlns:xm="http://schemas.microsoft.com/office/excel/2006/main">
          <x14:cfRule type="expression" priority="6" id="{E31CF7A3-D866-4658-A4BE-E38795A6F1D5}">
            <xm:f>Unformatted!$C$119=1</xm:f>
            <x14:dxf>
              <font>
                <b/>
                <i val="0"/>
                <color rgb="FFFF0000"/>
              </font>
            </x14:dxf>
          </x14:cfRule>
          <xm:sqref>C35:C36</xm:sqref>
        </x14:conditionalFormatting>
        <x14:conditionalFormatting xmlns:xm="http://schemas.microsoft.com/office/excel/2006/main">
          <x14:cfRule type="expression" priority="5" id="{ED1C500D-516C-47C7-A5BC-0FE5FD0DAA6C}">
            <xm:f>Unformatted!$C$122=1</xm:f>
            <x14:dxf>
              <font>
                <b/>
                <i val="0"/>
                <color rgb="FFFF0000"/>
              </font>
            </x14:dxf>
          </x14:cfRule>
          <xm:sqref>G35</xm:sqref>
        </x14:conditionalFormatting>
        <x14:conditionalFormatting xmlns:xm="http://schemas.microsoft.com/office/excel/2006/main">
          <x14:cfRule type="expression" priority="4" id="{077DF3B8-CEB0-48E1-92DF-5BE59CBC384D}">
            <xm:f>OR(Unformatted!$C$114&gt;0,Unformatted!$F$115=0)</xm:f>
            <x14:dxf>
              <font>
                <b/>
                <i val="0"/>
                <color rgb="FFFF0000"/>
              </font>
            </x14:dxf>
          </x14:cfRule>
          <xm:sqref>B27:U27</xm:sqref>
        </x14:conditionalFormatting>
        <x14:conditionalFormatting xmlns:xm="http://schemas.microsoft.com/office/excel/2006/main">
          <x14:cfRule type="expression" priority="3" id="{E4EAA255-E294-4869-9CAA-E376E09482F2}">
            <xm:f>Unformatted!$C$117=1</xm:f>
            <x14:dxf>
              <font>
                <b/>
                <i val="0"/>
                <color rgb="FFFF0000"/>
              </font>
            </x14:dxf>
          </x14:cfRule>
          <xm:sqref>C33</xm:sqref>
        </x14:conditionalFormatting>
        <x14:conditionalFormatting xmlns:xm="http://schemas.microsoft.com/office/excel/2006/main">
          <x14:cfRule type="expression" priority="2" id="{1D1A1934-B875-44F3-8EE0-2441CE498A57}">
            <xm:f>Unformatted!$C$99</xm:f>
            <x14:dxf>
              <font>
                <b/>
                <i val="0"/>
                <color rgb="FFFF0000"/>
              </font>
            </x14:dxf>
          </x14:cfRule>
          <xm:sqref>M6:U6</xm:sqref>
        </x14:conditionalFormatting>
        <x14:conditionalFormatting xmlns:xm="http://schemas.microsoft.com/office/excel/2006/main">
          <x14:cfRule type="expression" priority="1" id="{B72AAA95-E3C4-4DD5-AD3E-9A54F9E395DA}">
            <xm:f>Unformatted!$C$106</xm:f>
            <x14:dxf>
              <font>
                <b/>
                <i val="0"/>
                <color rgb="FFFF0000"/>
              </font>
            </x14:dxf>
          </x14:cfRule>
          <xm:sqref>M16:U16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12C30-2421-49CD-84FC-29CE81F90746}">
  <sheetPr codeName="Sheet8"/>
  <dimension ref="A1:AF58"/>
  <sheetViews>
    <sheetView showGridLines="0" showRowColHeaders="0" zoomScaleNormal="100" workbookViewId="0">
      <selection activeCell="E20" sqref="E20"/>
    </sheetView>
  </sheetViews>
  <sheetFormatPr defaultRowHeight="15" x14ac:dyDescent="0.25"/>
  <cols>
    <col min="1" max="1" width="1.7109375" customWidth="1"/>
    <col min="2" max="2" width="2.85546875" customWidth="1"/>
    <col min="4" max="6" width="10.28515625" customWidth="1"/>
    <col min="7" max="7" width="4.28515625" customWidth="1"/>
    <col min="8" max="11" width="10.28515625" customWidth="1"/>
    <col min="12" max="12" width="2" customWidth="1"/>
    <col min="13" max="13" width="2.85546875" customWidth="1"/>
    <col min="22" max="22" width="10.140625" customWidth="1"/>
  </cols>
  <sheetData>
    <row r="1" spans="1:32" s="611" customFormat="1" x14ac:dyDescent="0.25">
      <c r="C1" s="2"/>
      <c r="D1" s="2"/>
      <c r="E1" s="2"/>
      <c r="F1" s="2"/>
      <c r="G1" s="2"/>
      <c r="K1" s="2"/>
      <c r="L1" s="2"/>
      <c r="M1" s="2"/>
    </row>
    <row r="2" spans="1:32" s="611" customFormat="1" ht="23.25" x14ac:dyDescent="0.25">
      <c r="A2" s="107"/>
      <c r="B2" s="107"/>
      <c r="C2" s="107"/>
      <c r="D2" s="107"/>
      <c r="E2" s="107"/>
      <c r="F2" s="107"/>
      <c r="G2" s="107"/>
      <c r="H2" s="107"/>
      <c r="I2" s="107" t="s">
        <v>1184</v>
      </c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</row>
    <row r="3" spans="1:32" s="611" customFormat="1" ht="15.75" thickBot="1" x14ac:dyDescent="0.3">
      <c r="B3" s="43" t="str">
        <f>IF(Unformatted!C126&gt;0,"WARNING: Items highlighted in red are required.", "")</f>
        <v>WARNING: Items highlighted in red are required.</v>
      </c>
      <c r="C3" s="429"/>
      <c r="E3" s="409"/>
      <c r="F3" s="409"/>
      <c r="G3" s="419"/>
      <c r="I3" s="430"/>
      <c r="J3" s="430"/>
      <c r="K3" s="419"/>
      <c r="L3" s="396"/>
      <c r="M3" s="410"/>
      <c r="N3" s="419"/>
      <c r="O3" s="396"/>
      <c r="P3" s="396"/>
      <c r="Q3" s="410" t="str">
        <f>IF(OR(AND(Unformatted!E85,Unformatted!C84&gt;0),AND(Unformatted!E99,Unformatted!C98&gt;0)),"WARNING: Items highlighted in red are required.","")</f>
        <v/>
      </c>
      <c r="R3" s="409"/>
      <c r="S3" s="419"/>
    </row>
    <row r="4" spans="1:32" ht="23.25" customHeight="1" thickBot="1" x14ac:dyDescent="0.3">
      <c r="B4" s="1021" t="s">
        <v>1181</v>
      </c>
      <c r="C4" s="1022"/>
      <c r="D4" s="1022"/>
      <c r="E4" s="1022"/>
      <c r="F4" s="1022"/>
      <c r="G4" s="1022"/>
      <c r="H4" s="1022"/>
      <c r="I4" s="1022"/>
      <c r="J4" s="1022"/>
      <c r="K4" s="1022"/>
      <c r="L4" s="1023"/>
      <c r="M4" s="428"/>
      <c r="N4" s="1021" t="s">
        <v>1182</v>
      </c>
      <c r="O4" s="1022"/>
      <c r="P4" s="1022"/>
      <c r="Q4" s="1022"/>
      <c r="R4" s="1022"/>
      <c r="S4" s="1022"/>
      <c r="T4" s="1022"/>
      <c r="U4" s="1023"/>
      <c r="V4" s="396"/>
      <c r="W4" s="438"/>
      <c r="X4" s="438"/>
      <c r="Y4" s="438"/>
      <c r="Z4" s="438"/>
      <c r="AA4" s="438"/>
      <c r="AB4" s="438"/>
      <c r="AC4" s="438"/>
      <c r="AD4" s="438"/>
      <c r="AE4" s="438"/>
    </row>
    <row r="5" spans="1:32" ht="7.5" customHeight="1" x14ac:dyDescent="0.25">
      <c r="B5" s="31"/>
      <c r="C5" s="396"/>
      <c r="D5" s="396"/>
      <c r="E5" s="396"/>
      <c r="F5" s="396"/>
      <c r="G5" s="396"/>
      <c r="H5" s="410"/>
      <c r="I5" s="419"/>
      <c r="J5" s="396"/>
      <c r="K5" s="396"/>
      <c r="L5" s="4"/>
      <c r="M5" s="407"/>
      <c r="N5" s="11"/>
      <c r="O5" s="396"/>
      <c r="P5" s="396"/>
      <c r="Q5" s="396"/>
      <c r="R5" s="396"/>
      <c r="S5" s="396"/>
      <c r="T5" s="396"/>
      <c r="U5" s="4"/>
      <c r="V5" s="396"/>
      <c r="W5" s="438"/>
      <c r="X5" s="438"/>
      <c r="Y5" s="438"/>
      <c r="Z5" s="438"/>
      <c r="AA5" s="438"/>
      <c r="AB5" s="438"/>
      <c r="AC5" s="438"/>
      <c r="AD5" s="438"/>
      <c r="AE5" s="438"/>
    </row>
    <row r="6" spans="1:32" ht="22.5" customHeight="1" x14ac:dyDescent="0.3">
      <c r="B6" s="11"/>
      <c r="C6" s="486" t="s">
        <v>1481</v>
      </c>
      <c r="D6" s="431"/>
      <c r="E6" s="396"/>
      <c r="F6" s="444" t="s">
        <v>1208</v>
      </c>
      <c r="G6" s="431"/>
      <c r="H6" s="396"/>
      <c r="I6" s="444" t="s">
        <v>1196</v>
      </c>
      <c r="J6" s="412"/>
      <c r="K6" s="396"/>
      <c r="L6" s="432"/>
      <c r="M6" s="407"/>
      <c r="N6" s="11"/>
      <c r="O6" s="396"/>
      <c r="P6" s="396"/>
      <c r="Q6" s="396"/>
      <c r="R6" s="396"/>
      <c r="S6" s="396"/>
      <c r="T6" s="396"/>
      <c r="U6" s="4"/>
      <c r="V6" s="407"/>
      <c r="W6" s="438"/>
      <c r="X6" s="426"/>
      <c r="Y6" s="426"/>
      <c r="Z6" s="426"/>
      <c r="AA6" s="426"/>
      <c r="AB6" s="426"/>
      <c r="AC6" s="426"/>
      <c r="AD6" s="438"/>
      <c r="AE6" s="438"/>
      <c r="AF6" s="407"/>
    </row>
    <row r="7" spans="1:32" s="407" customFormat="1" ht="7.5" customHeight="1" x14ac:dyDescent="0.3">
      <c r="B7" s="425"/>
      <c r="C7" s="426"/>
      <c r="D7" s="426"/>
      <c r="E7" s="426"/>
      <c r="F7" s="426"/>
      <c r="G7" s="426"/>
      <c r="H7" s="396"/>
      <c r="I7" s="419"/>
      <c r="J7" s="412"/>
      <c r="K7" s="396"/>
      <c r="L7" s="427"/>
      <c r="N7" s="11"/>
      <c r="O7" s="396"/>
      <c r="P7" s="396"/>
      <c r="Q7" s="396"/>
      <c r="R7" s="396"/>
      <c r="S7" s="396"/>
      <c r="T7" s="396"/>
      <c r="U7" s="4"/>
      <c r="W7" s="438"/>
      <c r="X7" s="426"/>
      <c r="Y7" s="426"/>
      <c r="Z7" s="426"/>
      <c r="AA7" s="426"/>
      <c r="AB7" s="426"/>
      <c r="AC7" s="426"/>
      <c r="AD7" s="438"/>
      <c r="AE7" s="438"/>
    </row>
    <row r="8" spans="1:32" ht="21" customHeight="1" x14ac:dyDescent="0.25">
      <c r="B8" s="127"/>
      <c r="C8" s="410"/>
      <c r="D8" s="412"/>
      <c r="E8" s="412"/>
      <c r="F8" s="412"/>
      <c r="G8" s="412"/>
      <c r="H8" s="396"/>
      <c r="I8" s="444" t="s">
        <v>1207</v>
      </c>
      <c r="J8" s="412"/>
      <c r="K8" s="396"/>
      <c r="L8" s="4"/>
      <c r="M8" s="407"/>
      <c r="N8" s="11"/>
      <c r="O8" s="396"/>
      <c r="P8" s="396"/>
      <c r="Q8" s="396"/>
      <c r="R8" s="396"/>
      <c r="S8" s="396"/>
      <c r="T8" s="396"/>
      <c r="U8" s="4"/>
      <c r="V8" s="407"/>
      <c r="W8" s="438"/>
      <c r="X8" s="447"/>
      <c r="Y8" s="438"/>
      <c r="Z8" s="438"/>
      <c r="AA8" s="438"/>
      <c r="AB8" s="438"/>
      <c r="AC8" s="438"/>
      <c r="AD8" s="438"/>
      <c r="AE8" s="438"/>
      <c r="AF8" s="407"/>
    </row>
    <row r="9" spans="1:32" s="407" customFormat="1" ht="7.5" customHeight="1" thickBot="1" x14ac:dyDescent="0.3">
      <c r="B9" s="127"/>
      <c r="C9" s="410"/>
      <c r="D9" s="412"/>
      <c r="E9" s="412"/>
      <c r="F9" s="412"/>
      <c r="G9" s="412"/>
      <c r="H9" s="411"/>
      <c r="I9" s="412"/>
      <c r="J9" s="412"/>
      <c r="K9" s="396"/>
      <c r="L9" s="4"/>
      <c r="N9" s="1024" t="s">
        <v>135</v>
      </c>
      <c r="O9" s="1025"/>
      <c r="P9" s="1025"/>
      <c r="Q9" s="396"/>
      <c r="R9" s="396"/>
      <c r="S9" s="396"/>
      <c r="T9" s="396"/>
      <c r="U9" s="4"/>
      <c r="W9" s="438"/>
      <c r="X9" s="447"/>
      <c r="Y9" s="438"/>
      <c r="Z9" s="438"/>
      <c r="AA9" s="438"/>
      <c r="AB9" s="438"/>
      <c r="AC9" s="438"/>
      <c r="AD9" s="438"/>
      <c r="AE9" s="438"/>
    </row>
    <row r="10" spans="1:32" s="407" customFormat="1" ht="18.75" customHeight="1" thickBot="1" x14ac:dyDescent="0.3">
      <c r="A10"/>
      <c r="B10" s="127"/>
      <c r="C10" s="419"/>
      <c r="D10" s="1026" t="s">
        <v>123</v>
      </c>
      <c r="E10" s="1027"/>
      <c r="F10" s="1028"/>
      <c r="G10" s="396"/>
      <c r="H10" s="1026" t="s">
        <v>124</v>
      </c>
      <c r="I10" s="1027"/>
      <c r="J10" s="1027"/>
      <c r="K10" s="1028"/>
      <c r="L10" s="4"/>
      <c r="N10" s="1024"/>
      <c r="O10" s="1025"/>
      <c r="P10" s="1025"/>
      <c r="Q10" s="396"/>
      <c r="R10" s="396"/>
      <c r="S10" s="396"/>
      <c r="T10" s="396"/>
      <c r="U10" s="4"/>
      <c r="W10" s="438"/>
      <c r="X10" s="447"/>
      <c r="Y10" s="438"/>
      <c r="Z10" s="438"/>
      <c r="AA10" s="438"/>
      <c r="AB10" s="438"/>
      <c r="AC10" s="438"/>
      <c r="AD10" s="438"/>
      <c r="AE10" s="438"/>
    </row>
    <row r="11" spans="1:32" ht="20.25" customHeight="1" thickBot="1" x14ac:dyDescent="0.3">
      <c r="B11" s="11"/>
      <c r="C11" s="396"/>
      <c r="D11" s="537" t="str">
        <f>IF(OR(Unformatted!F130=1,Unformatted!F130=2),"","1")</f>
        <v/>
      </c>
      <c r="E11" s="537" t="str">
        <f>IF(OR(Unformatted!F130=1,Unformatted!F130=2),"","2")</f>
        <v/>
      </c>
      <c r="F11" s="674" t="str">
        <f>IF(OR(Unformatted!F130=1,Unformatted!F130=2),"","3")</f>
        <v/>
      </c>
      <c r="G11" s="396"/>
      <c r="H11" s="517"/>
      <c r="I11" s="517"/>
      <c r="J11" s="517"/>
      <c r="K11" s="538"/>
      <c r="L11" s="4"/>
      <c r="M11" s="407"/>
      <c r="N11" s="11"/>
      <c r="O11" s="396"/>
      <c r="P11" s="396"/>
      <c r="Q11" s="396"/>
      <c r="R11" s="396"/>
      <c r="S11" s="396"/>
      <c r="T11" s="396"/>
      <c r="U11" s="4"/>
      <c r="W11" s="438"/>
      <c r="X11" s="438"/>
      <c r="Y11" s="438"/>
      <c r="Z11" s="438"/>
      <c r="AA11" s="438"/>
      <c r="AB11" s="438"/>
      <c r="AC11" s="438"/>
      <c r="AD11" s="438"/>
      <c r="AE11" s="438"/>
      <c r="AF11" s="407"/>
    </row>
    <row r="12" spans="1:32" s="407" customFormat="1" ht="18.75" customHeight="1" x14ac:dyDescent="0.25">
      <c r="A12"/>
      <c r="B12" s="127"/>
      <c r="C12" s="420" t="s">
        <v>155</v>
      </c>
      <c r="D12" s="396"/>
      <c r="E12" s="396"/>
      <c r="F12" s="396"/>
      <c r="G12" s="396"/>
      <c r="H12" s="396"/>
      <c r="I12" s="396"/>
      <c r="J12" s="396"/>
      <c r="K12" s="396"/>
      <c r="L12" s="4"/>
      <c r="N12" s="11"/>
      <c r="O12" s="396"/>
      <c r="P12" s="396"/>
      <c r="Q12" s="396"/>
      <c r="R12" s="396"/>
      <c r="S12" s="396"/>
      <c r="T12" s="396"/>
      <c r="U12" s="4"/>
      <c r="W12" s="438"/>
      <c r="X12" s="447"/>
      <c r="Y12" s="438"/>
      <c r="Z12" s="438"/>
      <c r="AA12" s="438"/>
      <c r="AB12" s="438"/>
      <c r="AC12" s="438"/>
      <c r="AD12" s="438"/>
      <c r="AE12" s="438"/>
    </row>
    <row r="13" spans="1:32" s="407" customFormat="1" ht="18.75" customHeight="1" x14ac:dyDescent="0.25">
      <c r="A13"/>
      <c r="B13" s="127"/>
      <c r="C13" s="396"/>
      <c r="D13" s="525" t="str">
        <f>IF(Unformatted!$F$131&lt;1,"",IF(Unformatted!$E$128="IEC",IF(Unformatted!$E$127="3",Data!AA22,IF(Unformatted!$E$127="6",Data!AA24,IF(Unformatted!$E$127="9",Data!AA27,IF(Unformatted!$E$127="12",Data!AA31,"")))),IF(Unformatted!$E$127="3",Data!AA4,IF(Unformatted!$E$127="6",Data!AA6,IF(Unformatted!$E$127="9",Data!AA13,Data!AA17)))))</f>
        <v/>
      </c>
      <c r="E13" s="526" t="str">
        <f>IF(Unformatted!$F$131&lt;1,"",IF(Unformatted!$E$128="IEC",IF(Unformatted!$E$127="3",Data!AB22,IF(Unformatted!$E$127="6",Data!AB24,IF(Unformatted!$E$127="9",Data!AB27,IF(Unformatted!$E$127="12",Data!AB31,"")))),IF(Unformatted!$E$127="3",Data!AB4,IF(Unformatted!$E$127="6",Data!AB6,IF(Unformatted!$E$127="9",Data!AB13,Data!AB17)))))</f>
        <v/>
      </c>
      <c r="F13" s="527" t="str">
        <f>IF(Unformatted!$F$131&lt;1,"",IF(Unformatted!$E$128="IEC",IF(Unformatted!$E$127="3",Data!AC22,IF(Unformatted!$E$127="6",Data!AC24,IF(Unformatted!$E$127="9",Data!AC27,IF(Unformatted!$E$127="12",Data!AC31,"")))),IF(Unformatted!$E$127="3",Data!AC4,IF(Unformatted!$E$127="6",Data!AC6,IF(Unformatted!$E$127="9",Data!AC13,Data!AC17)))))</f>
        <v/>
      </c>
      <c r="G13" s="519"/>
      <c r="H13" s="130" t="str">
        <f>IF(Unformatted!$F$131&lt;1,"",IF(Unformatted!$E$128="IEC",IF(Unformatted!$E$127="3",Data!AE22,IF(Unformatted!$E$127="6",Data!AE24,IF(Unformatted!$E$127="9",Data!AE27,IF(Unformatted!$E$127="12",Data!AE31,"")))),IF(Unformatted!$E$127="3",Data!AE4,IF(Unformatted!$E$127="6",Data!AE6,IF(Unformatted!$E$127="9",Data!AE13,Data!AE17)))))</f>
        <v/>
      </c>
      <c r="I13" s="519" t="str">
        <f>IF(Unformatted!$F$131&lt;1,"",IF(Unformatted!$E$128="IEC",IF(Unformatted!$E$127="3",Data!AF22,IF(Unformatted!$E$127="6",Data!AF24,IF(Unformatted!$E$127="9",Data!AF27,IF(Unformatted!$E$127="12",Data!AF31,"")))),IF(Unformatted!$E$127="3",Data!AF4,IF(Unformatted!$E$127="6",Data!AF6,IF(Unformatted!$E$127="9",Data!AF13,Data!AF17)))))</f>
        <v/>
      </c>
      <c r="J13" s="519" t="str">
        <f>IF(Unformatted!$F$131&lt;1,"",IF(Unformatted!$E$128="IEC",IF(Unformatted!$E$127="3",Data!AG22,IF(Unformatted!$E$127="6",Data!AG24,IF(Unformatted!$E$127="9",Data!AG27,IF(Unformatted!$E$127="12",Data!AG31,"")))),IF(Unformatted!$E$127="3",Data!AG4,IF(Unformatted!$E$127="6",Data!AG6,IF(Unformatted!$E$127="9",Data!AG13,Data!AG17)))))</f>
        <v/>
      </c>
      <c r="K13" s="131" t="str">
        <f>IF(Unformatted!$F$131&lt;1,"",IF(Unformatted!$E$128="IEC",IF(Unformatted!$E$127="3",Data!AH22,IF(Unformatted!$E$127="6",Data!AH24,IF(Unformatted!$E$127="9",Data!AH27,IF(Unformatted!$E$127="12",Data!AH31,"")))),IF(Unformatted!$E$127="3",Data!AH4,IF(Unformatted!$E$127="6",Data!AH6,IF(Unformatted!$E$127="9",Data!AH13,Data!AH17)))))</f>
        <v/>
      </c>
      <c r="L13" s="4"/>
      <c r="N13" s="11"/>
      <c r="O13" s="396"/>
      <c r="P13" s="396"/>
      <c r="Q13" s="396"/>
      <c r="R13" s="396"/>
      <c r="S13" s="396"/>
      <c r="T13" s="396"/>
      <c r="U13" s="4"/>
      <c r="W13" s="438"/>
      <c r="X13" s="447"/>
      <c r="Y13" s="438"/>
      <c r="Z13" s="438"/>
      <c r="AA13" s="438"/>
      <c r="AB13" s="438"/>
      <c r="AC13" s="438"/>
      <c r="AD13" s="438"/>
      <c r="AE13" s="438"/>
    </row>
    <row r="14" spans="1:32" s="407" customFormat="1" ht="18.75" customHeight="1" x14ac:dyDescent="0.25">
      <c r="A14"/>
      <c r="B14" s="127"/>
      <c r="C14" s="396"/>
      <c r="D14" s="525" t="str">
        <f>IF(Unformatted!$F$131&lt;2,"",IF(Unformatted!$E$128="IEC",IF(Unformatted!$E$127="3",Data!AA23,IF(Unformatted!$E$127="6",Data!AA25,IF(Unformatted!$E$127="9",Data!AA28,IF(Unformatted!$E$127="12",Data!AA32,"")))),IF(Unformatted!$E$127="3",Data!AA5,IF(Unformatted!$E$127="6",Data!AA7,IF(Unformatted!$E$127="9",Data!AA14,Data!AA18)))))</f>
        <v/>
      </c>
      <c r="E14" s="526" t="str">
        <f>IF(Unformatted!$F$131&lt;2,"",IF(Unformatted!$E$128="IEC",IF(Unformatted!$E$127="3",Data!AB23,IF(Unformatted!$E$127="6",Data!AB25,IF(Unformatted!$E$127="9",Data!AB28,IF(Unformatted!$E$127="12",Data!AB32,"")))),IF(Unformatted!$E$127="3",Data!AB5,IF(Unformatted!$E$127="6",Data!AB7,IF(Unformatted!$E$127="9",Data!AB14,Data!AB18)))))</f>
        <v/>
      </c>
      <c r="F14" s="527" t="str">
        <f>IF(Unformatted!$F$131&lt;2,"",IF(Unformatted!$E$128="IEC",IF(Unformatted!$E$127="3",Data!AC23,IF(Unformatted!$E$127="6",Data!AC25,IF(Unformatted!$E$127="9",Data!AC28,IF(Unformatted!$E$127="12",Data!AC32,"")))),IF(Unformatted!$E$127="3",Data!AC5,IF(Unformatted!$E$127="6",Data!AC7,IF(Unformatted!$E$127="9",Data!AC14,Data!AC18)))))</f>
        <v/>
      </c>
      <c r="G14" s="419"/>
      <c r="H14" s="130" t="str">
        <f>IF(Unformatted!$F$131&lt;2,"",IF(Unformatted!$E$128="IEC",IF(Unformatted!$E$127="6",Data!AE25,IF(Unformatted!$E$127="12",Data!AE32,"")),IF(Unformatted!$E$127="3",Data!AE5,IF(Unformatted!$E$127="6",Data!AE7,IF(Unformatted!$E$127="9",Data!AE14,Data!AE18)))))</f>
        <v/>
      </c>
      <c r="I14" s="519" t="str">
        <f>IF(Unformatted!$F$131&lt;2,"",IF(Unformatted!$E$128="IEC",IF(Unformatted!$E$127="6",Data!AF25,IF(Unformatted!$E$127="12",Data!AF32,"")),IF(Unformatted!$E$127="3",Data!AF5,IF(Unformatted!$E$127="6",Data!AF7,IF(Unformatted!$E$127="9",Data!AF14,Data!AF18)))))</f>
        <v/>
      </c>
      <c r="J14" s="519" t="str">
        <f>IF(Unformatted!$F$131&lt;2,"",IF(Unformatted!$E$128="IEC",IF(Unformatted!$E$127="6",Data!AG25,IF(Unformatted!$E$127="12",Data!AG32,"")),IF(Unformatted!$E$127="3",Data!AG5,IF(Unformatted!$E$127="6",Data!AG7,IF(Unformatted!$E$127="9",Data!AG14,Data!AG18)))))</f>
        <v/>
      </c>
      <c r="K14" s="131" t="str">
        <f>IF(Unformatted!$F$131&lt;2,"",IF(Unformatted!$E$128="IEC",IF(Unformatted!$E$127="6",Data!AH25,IF(Unformatted!$E$127="12",Data!AH32,"")),IF(Unformatted!$E$127="3",Data!AH5,IF(Unformatted!$E$127="6",Data!AH7,IF(Unformatted!$E$127="9",Data!AH14,Data!AH18)))))</f>
        <v/>
      </c>
      <c r="L14" s="4"/>
      <c r="N14" s="11"/>
      <c r="O14" s="396"/>
      <c r="P14" s="396"/>
      <c r="Q14" s="396"/>
      <c r="R14" s="396"/>
      <c r="S14" s="396"/>
      <c r="T14" s="396"/>
      <c r="U14" s="4"/>
      <c r="W14" s="438"/>
      <c r="X14" s="447"/>
      <c r="Y14" s="438"/>
      <c r="Z14" s="438"/>
      <c r="AA14" s="438"/>
      <c r="AB14" s="438"/>
      <c r="AC14" s="438"/>
      <c r="AD14" s="438"/>
      <c r="AE14" s="438"/>
    </row>
    <row r="15" spans="1:32" s="407" customFormat="1" ht="18.75" customHeight="1" x14ac:dyDescent="0.25">
      <c r="A15"/>
      <c r="B15" s="127"/>
      <c r="C15" s="396"/>
      <c r="D15" s="528" t="str">
        <f>IF(Unformatted!$F$131&lt;3,"",IF(Unformatted!$E$128="IEC",IF(Unformatted!$E$127="3",Data!AA24,IF(Unformatted!$E$127="6",Data!AA26,IF(Unformatted!$E$127="9",Data!AA29,IF(Unformatted!$E$127="12",Data!AA33,"")))),IF(Unformatted!$E$127="3",Data!AA6,IF(Unformatted!$E$127="6",Data!AA8,IF(Unformatted!$E$127="9",Data!AA15,Data!AA19)))))</f>
        <v/>
      </c>
      <c r="E15" s="529" t="str">
        <f>IF(Unformatted!$F$131&lt;3,"",IF(Unformatted!$E$128="IEC",IF(Unformatted!$E$127="3",Data!AB24,IF(Unformatted!$E$127="6",Data!AB26,IF(Unformatted!$E$127="9",Data!AB29,IF(Unformatted!$E$127="12",Data!AB33,"")))),IF(Unformatted!$E$127="3",Data!AB6,IF(Unformatted!$E$127="6",Data!AB8,IF(Unformatted!$E$127="9",Data!AB15,Data!AB19)))))</f>
        <v/>
      </c>
      <c r="F15" s="530" t="str">
        <f>IF(Unformatted!$F$131&lt;3,"",IF(Unformatted!$E$128="IEC",IF(Unformatted!$E$127="3",Data!AC24,IF(Unformatted!$E$127="6",Data!AC26,IF(Unformatted!$E$127="9",Data!AC29,IF(Unformatted!$E$127="12",Data!AC33,"")))),IF(Unformatted!$E$127="3",Data!AC6,IF(Unformatted!$E$127="6",Data!AC8,IF(Unformatted!$E$127="9",Data!AC15,Data!AC19)))))</f>
        <v/>
      </c>
      <c r="G15" s="419"/>
      <c r="H15" s="127" t="str">
        <f>IF(Unformatted!$F$131&lt;3,"",IF(Unformatted!$E$128="IEC",IF(Unformatted!$E$127="3",Data!AE24,IF(Unformatted!$E$127="6",Data!AE26,IF(Unformatted!$E$127="9",Data!AE29,IF(Unformatted!$E$127="12",Data!AE33,"")))),IF(Unformatted!$E$127="3",Data!AE6,IF(Unformatted!$E$127="6",Data!AE8,IF(Unformatted!$E$127="9",Data!AE15,Data!AE19)))))</f>
        <v/>
      </c>
      <c r="I15" s="412" t="str">
        <f>IF(Unformatted!$F$131&lt;3,"",IF(Unformatted!$E$128="IEC",IF(Unformatted!$E$127="3",Data!AF24,IF(Unformatted!$E$127="6",Data!AF26,IF(Unformatted!$E$127="9",Data!AF29,IF(Unformatted!$E$127="12",Data!AF33,"")))),IF(Unformatted!$E$127="3",Data!AF6,IF(Unformatted!$E$127="6",Data!AF8,IF(Unformatted!$E$127="9",Data!AF15,Data!AF19)))))</f>
        <v/>
      </c>
      <c r="J15" s="412" t="str">
        <f>IF(Unformatted!$F$131&lt;3,"",IF(Unformatted!$E$128="IEC",IF(Unformatted!$E$127="3",Data!AG24,IF(Unformatted!$E$127="6",Data!AG26,IF(Unformatted!$E$127="9",Data!AG29,IF(Unformatted!$E$127="12",Data!AG33,"")))),IF(Unformatted!$E$127="3",Data!AG6,IF(Unformatted!$E$127="6",Data!AG8,IF(Unformatted!$E$127="9",Data!AG15,Data!AG19)))))</f>
        <v/>
      </c>
      <c r="K15" s="120" t="str">
        <f>IF(Unformatted!$F$131&lt;3,"",IF(Unformatted!$E$128="IEC",IF(Unformatted!$E$127="3",Data!AH24,IF(Unformatted!$E$127="6",Data!AH26,IF(Unformatted!$E$127="9",Data!AH29,IF(Unformatted!$E$127="12",Data!AH33,"")))),IF(Unformatted!$E$127="3",Data!AH6,IF(Unformatted!$E$127="6",Data!AH8,IF(Unformatted!$E$127="9",Data!AH15,Data!AH19)))))</f>
        <v/>
      </c>
      <c r="L15" s="4"/>
      <c r="N15" s="11"/>
      <c r="O15" s="396"/>
      <c r="P15" s="396"/>
      <c r="Q15" s="396"/>
      <c r="R15" s="396"/>
      <c r="S15" s="396"/>
      <c r="T15" s="396"/>
      <c r="U15" s="4"/>
      <c r="W15" s="438"/>
      <c r="X15" s="447"/>
      <c r="Y15" s="438"/>
      <c r="Z15" s="438"/>
      <c r="AA15" s="438"/>
      <c r="AB15" s="438"/>
      <c r="AC15" s="438"/>
      <c r="AD15" s="438"/>
      <c r="AE15" s="438"/>
    </row>
    <row r="16" spans="1:32" s="407" customFormat="1" ht="18.75" customHeight="1" x14ac:dyDescent="0.25">
      <c r="A16"/>
      <c r="B16" s="127"/>
      <c r="C16" s="396"/>
      <c r="D16" s="531" t="str">
        <f>IF(Unformatted!$F$131&lt;4,"",IF(Unformatted!$E$128="IEC",IF(Unformatted!$E$127="3",Data!AA25,IF(Unformatted!$E$127="6",Data!AA27,IF(Unformatted!$E$127="9",Data!AA30,IF(Unformatted!$E$127="12",Data!AA34,"")))),IF(Unformatted!$E$127="3",Data!AA7,IF(Unformatted!$E$127="6",Data!AA9,IF(Unformatted!$E$127="9",Data!AA16,Data!AA20)))))</f>
        <v/>
      </c>
      <c r="E16" s="532" t="str">
        <f>IF(Unformatted!$F$131&lt;4,"",IF(Unformatted!$E$128="IEC",IF(Unformatted!$E$127="3",Data!AB25,IF(Unformatted!$E$127="6",Data!AB27,IF(Unformatted!$E$127="9",Data!AB30,IF(Unformatted!$E$127="12",Data!AB34,"")))),IF(Unformatted!$E$127="3",Data!AB7,IF(Unformatted!$E$127="6",Data!AB9,IF(Unformatted!$E$127="9",Data!AB16,Data!AB20)))))</f>
        <v/>
      </c>
      <c r="F16" s="533" t="str">
        <f>IF(Unformatted!$F$131&lt;4,"",IF(Unformatted!$E$128="IEC",IF(Unformatted!$E$127="3",Data!AC25,IF(Unformatted!$E$127="6",Data!AC27,IF(Unformatted!$E$127="9",Data!AC30,IF(Unformatted!$E$127="12",Data!AC34,"")))),IF(Unformatted!$E$127="3",Data!AC7,IF(Unformatted!$E$127="6",Data!AC9,IF(Unformatted!$E$127="9",Data!AC16,Data!AC20)))))</f>
        <v/>
      </c>
      <c r="G16" s="419"/>
      <c r="H16" s="133" t="str">
        <f>IF(Unformatted!$F$131&lt;4,"",IF(Unformatted!$E$128="IEC",IF(Unformatted!$E$127="3",Data!AE25,IF(Unformatted!$E$127="6",Data!AE27,IF(Unformatted!$E$127="9",Data!AE30,IF(Unformatted!$E$127="12",Data!AE34,"")))),IF(Unformatted!$E$127="3",Data!AE7,IF(Unformatted!$E$127="6",Data!AE9,IF(Unformatted!$E$127="9",Data!AE16,Data!AE20)))))</f>
        <v/>
      </c>
      <c r="I16" s="441" t="str">
        <f>IF(Unformatted!$F$131&lt;4,"",IF(Unformatted!$E$128="IEC",IF(Unformatted!$E$127="3",Data!AF25,IF(Unformatted!$E$127="6",Data!AF27,IF(Unformatted!$E$127="9",Data!AF30,IF(Unformatted!$E$127="12",Data!AF34,"")))),IF(Unformatted!$E$127="3",Data!AF7,IF(Unformatted!$E$127="6",Data!AF9,IF(Unformatted!$E$127="9",Data!AF16,Data!AF20)))))</f>
        <v/>
      </c>
      <c r="J16" s="441" t="str">
        <f>IF(Unformatted!$F$131&lt;4,"",IF(Unformatted!$E$128="IEC",IF(Unformatted!$E$127="3",Data!AG25,IF(Unformatted!$E$127="6",Data!AG27,IF(Unformatted!$E$127="9",Data!AG30,IF(Unformatted!$E$127="12",Data!AG34,"")))),IF(Unformatted!$E$127="3",Data!AG7,IF(Unformatted!$E$127="6",Data!AG9,IF(Unformatted!$E$127="9",Data!AG16,Data!AG20)))))</f>
        <v/>
      </c>
      <c r="K16" s="135" t="str">
        <f>IF(Unformatted!$F$131&lt;4,"",IF(Unformatted!$E$128="IEC",IF(Unformatted!$E$127="3",Data!AH25,IF(Unformatted!$E$127="6",Data!AH27,IF(Unformatted!$E$127="9",Data!AH30,IF(Unformatted!$E$127="12",Data!AH34,"")))),IF(Unformatted!$E$127="3",Data!AH7,IF(Unformatted!$E$127="6",Data!AH9,IF(Unformatted!$E$127="9",Data!AH16,Data!AH20)))))</f>
        <v/>
      </c>
      <c r="L16" s="4"/>
      <c r="N16" s="11"/>
      <c r="O16" s="396"/>
      <c r="P16" s="396"/>
      <c r="Q16" s="396"/>
      <c r="R16" s="396"/>
      <c r="S16" s="396"/>
      <c r="T16" s="396"/>
      <c r="U16" s="4"/>
      <c r="W16" s="438"/>
      <c r="X16" s="447"/>
      <c r="Y16" s="438"/>
      <c r="Z16" s="438"/>
      <c r="AA16" s="438"/>
      <c r="AB16" s="438"/>
      <c r="AC16" s="438"/>
      <c r="AD16" s="438"/>
      <c r="AE16" s="438"/>
    </row>
    <row r="17" spans="2:32" ht="18.75" customHeight="1" x14ac:dyDescent="0.25">
      <c r="B17" s="127"/>
      <c r="C17" s="396"/>
      <c r="D17" s="525" t="str">
        <f>IF(Unformatted!$F$131&lt;5,"",IF(Unformatted!$E$128="IEC",IF(Unformatted!$E$127="3",Data!AA26,IF(Unformatted!$E$127="6",Data!AA28,IF(Unformatted!$E$127="9",Data!AA31,IF(Unformatted!$E$127="12",Data!AA35,"")))),IF(Unformatted!$E$127="3",Data!AA8,IF(Unformatted!$E$127="6",Data!AA10,IF(Unformatted!$E$127="9",Data!AA17,Data!AA21)))))</f>
        <v/>
      </c>
      <c r="E17" s="526" t="str">
        <f>IF(Unformatted!$F$131&lt;5,"",IF(Unformatted!$E$128="IEC",IF(Unformatted!$E$127="3",Data!AB26,IF(Unformatted!$E$127="6",Data!AB28,IF(Unformatted!$E$127="9",Data!AB31,IF(Unformatted!$E$127="12",Data!AB35,"")))),IF(Unformatted!$E$127="3",Data!AB8,IF(Unformatted!$E$127="6",Data!AB10,IF(Unformatted!$E$127="9",Data!AB17,Data!AB21)))))</f>
        <v/>
      </c>
      <c r="F17" s="527" t="str">
        <f>IF(Unformatted!$F$131&lt;5,"",IF(Unformatted!$E$128="IEC",IF(Unformatted!$E$127="3",Data!AC26,IF(Unformatted!$E$127="6",Data!AC28,IF(Unformatted!$E$127="9",Data!AC31,IF(Unformatted!$E$127="12",Data!AC35,"")))),IF(Unformatted!$E$127="3",Data!AC8,IF(Unformatted!$E$127="6",Data!AC10,IF(Unformatted!$E$127="9",Data!AC17,Data!AC21)))))</f>
        <v/>
      </c>
      <c r="G17" s="419"/>
      <c r="H17" s="130" t="str">
        <f>IF(Unformatted!$F$131&lt;5,"",IF(Unformatted!$E$128="IEC",IF(Unformatted!$E$127="3",Data!AE26,IF(Unformatted!$E$127="6",Data!AE28,IF(Unformatted!$E$127="9",Data!AE31,IF(Unformatted!$E$127="12",Data!AE35,"")))),IF(Unformatted!$E$127="3",Data!AE8,IF(Unformatted!$E$127="6",Data!AE10,IF(Unformatted!$E$127="9",Data!AE17,Data!AE21)))))</f>
        <v/>
      </c>
      <c r="I17" s="519" t="str">
        <f>IF(Unformatted!$F$131&lt;5,"",IF(Unformatted!$E$128="IEC",IF(Unformatted!$E$127="3",Data!AF26,IF(Unformatted!$E$127="6",Data!AF28,IF(Unformatted!$E$127="9",Data!AF31,IF(Unformatted!$E$127="12",Data!AF35,"")))),IF(Unformatted!$E$127="3",Data!AF8,IF(Unformatted!$E$127="6",Data!AF10,IF(Unformatted!$E$127="9",Data!AF17,Data!AF21)))))</f>
        <v/>
      </c>
      <c r="J17" s="519" t="str">
        <f>IF(Unformatted!$F$131&lt;5,"",IF(Unformatted!$E$128="IEC",IF(Unformatted!$E$127="3",Data!AG26,IF(Unformatted!$E$127="6",Data!AG28,IF(Unformatted!$E$127="9",Data!AG31,IF(Unformatted!$E$127="12",Data!AG35,"")))),IF(Unformatted!$E$127="3",Data!AG8,IF(Unformatted!$E$127="6",Data!AG10,IF(Unformatted!$E$127="9",Data!AG17,Data!AG21)))))</f>
        <v/>
      </c>
      <c r="K17" s="131" t="str">
        <f>IF(Unformatted!$F$131&lt;5,"",IF(Unformatted!$E$128="IEC",IF(Unformatted!$E$127="3",Data!AH26,IF(Unformatted!$E$127="6",Data!AH28,IF(Unformatted!$E$127="9",Data!AH31,IF(Unformatted!$E$127="12",Data!AH35,"")))),IF(Unformatted!$E$127="3",Data!AH8,IF(Unformatted!$E$127="6",Data!AH10,IF(Unformatted!$E$127="9",Data!AH17,Data!AH21)))))</f>
        <v/>
      </c>
      <c r="L17" s="4"/>
      <c r="M17" s="407"/>
      <c r="N17" s="11"/>
      <c r="O17" s="396"/>
      <c r="P17" s="396"/>
      <c r="Q17" s="396"/>
      <c r="R17" s="396"/>
      <c r="S17" s="396"/>
      <c r="T17" s="396"/>
      <c r="U17" s="4"/>
      <c r="W17" s="438"/>
      <c r="X17" s="438"/>
      <c r="Y17" s="448"/>
      <c r="Z17" s="438"/>
      <c r="AA17" s="438"/>
      <c r="AB17" s="438"/>
      <c r="AC17" s="438"/>
      <c r="AD17" s="438"/>
      <c r="AE17" s="438"/>
      <c r="AF17" s="407"/>
    </row>
    <row r="18" spans="2:32" ht="18.75" customHeight="1" thickBot="1" x14ac:dyDescent="0.3">
      <c r="B18" s="127"/>
      <c r="C18" s="419"/>
      <c r="D18" s="534" t="str">
        <f>IF(Unformatted!$F$131&lt;6,"",IF(Unformatted!$E$128="IEC",IF(Unformatted!$E$127="3",Data!AA27,IF(Unformatted!$E$127="6",Data!AA29,IF(Unformatted!$E$127="9",Data!AA32,IF(Unformatted!$E$127="12",Data!AA36,"")))),IF(Unformatted!$E$127="3",Data!AA9,IF(Unformatted!$E$127="6",Data!AA11,IF(Unformatted!$E$127="9",Data!AA18,Data!AA22)))))</f>
        <v/>
      </c>
      <c r="E18" s="535" t="str">
        <f>IF(Unformatted!$F$131&lt;6,"",IF(Unformatted!$E$128="IEC",IF(Unformatted!$E$127="3",Data!AB27,IF(Unformatted!$E$127="6",Data!AB29,IF(Unformatted!$E$127="9",Data!AB32,IF(Unformatted!$E$127="12",Data!AB36,"")))),IF(Unformatted!$E$127="3",Data!AB9,IF(Unformatted!$E$127="6",Data!AB11,IF(Unformatted!$E$127="9",Data!AB18,Data!AB22)))))</f>
        <v/>
      </c>
      <c r="F18" s="536" t="str">
        <f>IF(Unformatted!$F$131&lt;6,"",IF(Unformatted!$E$128="IEC",IF(Unformatted!$E$127="3",Data!AC27,IF(Unformatted!$E$127="6",Data!AC29,IF(Unformatted!$E$127="9",Data!AC32,IF(Unformatted!$E$127="12",Data!AC36,"")))),IF(Unformatted!$E$127="3",Data!AC9,IF(Unformatted!$E$127="6",Data!AC11,IF(Unformatted!$E$127="9",Data!AC18,Data!AC22)))))</f>
        <v/>
      </c>
      <c r="G18" s="419"/>
      <c r="H18" s="136" t="str">
        <f>IF(Unformatted!$F$131&lt;6,"",IF(Unformatted!$E$128="IEC",IF(Unformatted!$E$127="3",Data!AE27,IF(Unformatted!$E$127="6",Data!AE29,IF(Unformatted!$E$127="9",Data!AE32,IF(Unformatted!$E$127="12",Data!AE36,"")))),IF(Unformatted!$E$127="3",Data!AE9,IF(Unformatted!$E$127="6",Data!AE11,IF(Unformatted!$E$127="9",Data!AE18,Data!AE22)))))</f>
        <v/>
      </c>
      <c r="I18" s="137" t="str">
        <f>IF(Unformatted!$F$131&lt;6,"",IF(Unformatted!$E$128="IEC",IF(Unformatted!$E$127="3",Data!AF27,IF(Unformatted!$E$127="6",Data!AF29,IF(Unformatted!$E$127="9",Data!AF32,IF(Unformatted!$E$127="12",Data!AF36,"")))),IF(Unformatted!$E$127="3",Data!AF9,IF(Unformatted!$E$127="6",Data!AF11,IF(Unformatted!$E$127="9",Data!AF18,Data!AF22)))))</f>
        <v/>
      </c>
      <c r="J18" s="137" t="str">
        <f>IF(Unformatted!$F$131&lt;6,"",IF(Unformatted!$E$128="IEC",IF(Unformatted!$E$127="3",Data!AG27,IF(Unformatted!$E$127="6",Data!AG29,IF(Unformatted!$E$127="9",Data!AG32,IF(Unformatted!$E$127="12",Data!AG36,"")))),IF(Unformatted!$E$127="3",Data!AG9,IF(Unformatted!$E$127="6",Data!AG11,IF(Unformatted!$E$127="9",Data!AG18,Data!AG22)))))</f>
        <v/>
      </c>
      <c r="K18" s="138" t="str">
        <f>IF(Unformatted!$F$131&lt;6,"",IF(Unformatted!$E$128="IEC",IF(Unformatted!$E$127="3",Data!AH27,IF(Unformatted!$E$127="6",Data!AH29,IF(Unformatted!$E$127="9",Data!AH32,IF(Unformatted!$E$127="12",Data!AH36,"")))),IF(Unformatted!$E$127="3",Data!AH9,IF(Unformatted!$E$127="6",Data!AH11,IF(Unformatted!$E$127="9",Data!AH18,Data!AH22)))))</f>
        <v/>
      </c>
      <c r="L18" s="4"/>
      <c r="M18" s="407"/>
      <c r="N18" s="11"/>
      <c r="O18" s="396"/>
      <c r="P18" s="396"/>
      <c r="Q18" s="396"/>
      <c r="R18" s="396"/>
      <c r="S18" s="396"/>
      <c r="T18" s="396"/>
      <c r="U18" s="4"/>
      <c r="W18" s="438"/>
      <c r="X18" s="449"/>
      <c r="Y18" s="438"/>
      <c r="Z18" s="438"/>
      <c r="AA18" s="449"/>
      <c r="AB18" s="448"/>
      <c r="AC18" s="438"/>
      <c r="AD18" s="438"/>
      <c r="AE18" s="438"/>
      <c r="AF18" s="407"/>
    </row>
    <row r="19" spans="2:32" ht="9" customHeight="1" thickBot="1" x14ac:dyDescent="0.3">
      <c r="B19" s="127"/>
      <c r="C19" s="419"/>
      <c r="D19" s="396"/>
      <c r="E19" s="396"/>
      <c r="F19" s="396"/>
      <c r="G19" s="419"/>
      <c r="H19" s="396"/>
      <c r="I19" s="396"/>
      <c r="J19" s="396"/>
      <c r="K19" s="396"/>
      <c r="L19" s="4"/>
      <c r="M19" s="407"/>
      <c r="N19" s="11"/>
      <c r="O19" s="396"/>
      <c r="P19" s="396"/>
      <c r="Q19" s="396"/>
      <c r="R19" s="396"/>
      <c r="S19" s="396"/>
      <c r="T19" s="396"/>
      <c r="U19" s="4"/>
      <c r="W19" s="438"/>
      <c r="X19" s="438"/>
      <c r="Y19" s="438"/>
      <c r="Z19" s="438"/>
      <c r="AA19" s="438"/>
      <c r="AB19" s="438"/>
      <c r="AC19" s="438"/>
      <c r="AD19" s="438"/>
      <c r="AE19" s="438"/>
      <c r="AF19" s="407"/>
    </row>
    <row r="20" spans="2:32" ht="22.5" customHeight="1" thickBot="1" x14ac:dyDescent="0.3">
      <c r="B20" s="11"/>
      <c r="C20" s="396"/>
      <c r="D20" s="444" t="s">
        <v>1372</v>
      </c>
      <c r="E20" s="373"/>
      <c r="F20" s="445"/>
      <c r="G20" s="396"/>
      <c r="H20" s="416" t="s">
        <v>1156</v>
      </c>
      <c r="I20" s="396"/>
      <c r="J20" s="396"/>
      <c r="K20" s="396"/>
      <c r="L20" s="4"/>
      <c r="N20" s="11"/>
      <c r="O20" s="396"/>
      <c r="P20" s="396"/>
      <c r="Q20" s="396"/>
      <c r="R20" s="396"/>
      <c r="S20" s="396"/>
      <c r="T20" s="396"/>
      <c r="U20" s="4"/>
      <c r="W20" s="438"/>
      <c r="X20" s="438"/>
      <c r="Y20" s="438"/>
      <c r="Z20" s="438"/>
      <c r="AA20" s="438"/>
      <c r="AB20" s="438"/>
      <c r="AC20" s="438"/>
      <c r="AD20" s="438"/>
      <c r="AE20" s="438"/>
    </row>
    <row r="21" spans="2:32" ht="7.5" customHeight="1" thickBot="1" x14ac:dyDescent="0.3">
      <c r="B21" s="11"/>
      <c r="C21" s="396"/>
      <c r="D21" s="396"/>
      <c r="E21" s="396"/>
      <c r="F21" s="396"/>
      <c r="G21" s="396"/>
      <c r="H21" s="396"/>
      <c r="I21" s="519"/>
      <c r="J21" s="519"/>
      <c r="K21" s="396"/>
      <c r="L21" s="4"/>
      <c r="M21" s="407"/>
      <c r="N21" s="11"/>
      <c r="O21" s="396"/>
      <c r="P21" s="396"/>
      <c r="Q21" s="396"/>
      <c r="R21" s="396"/>
      <c r="S21" s="396"/>
      <c r="T21" s="396"/>
      <c r="U21" s="4"/>
      <c r="W21" s="438"/>
      <c r="X21" s="438"/>
      <c r="Y21" s="438"/>
      <c r="Z21" s="438"/>
      <c r="AA21" s="438"/>
      <c r="AB21" s="438"/>
      <c r="AC21" s="438"/>
      <c r="AD21" s="438"/>
      <c r="AE21" s="450"/>
      <c r="AF21" s="407"/>
    </row>
    <row r="22" spans="2:32" ht="22.5" customHeight="1" thickBot="1" x14ac:dyDescent="0.4">
      <c r="B22" s="11"/>
      <c r="C22" s="396"/>
      <c r="D22" s="446" t="s">
        <v>1153</v>
      </c>
      <c r="E22" s="1019"/>
      <c r="F22" s="1020"/>
      <c r="G22" s="396"/>
      <c r="H22" s="416" t="s">
        <v>1155</v>
      </c>
      <c r="I22" s="519"/>
      <c r="J22" s="396"/>
      <c r="K22" s="396"/>
      <c r="L22" s="4"/>
      <c r="M22" s="407"/>
      <c r="N22" s="11"/>
      <c r="O22" s="396"/>
      <c r="P22" s="396"/>
      <c r="Q22" s="396"/>
      <c r="R22" s="396"/>
      <c r="S22" s="396"/>
      <c r="T22" s="396"/>
      <c r="U22" s="4"/>
      <c r="W22" s="438"/>
      <c r="X22" s="438"/>
      <c r="Y22" s="438"/>
      <c r="Z22" s="438"/>
      <c r="AA22" s="438"/>
      <c r="AB22" s="438"/>
      <c r="AC22" s="438"/>
      <c r="AD22" s="438"/>
      <c r="AE22" s="438"/>
      <c r="AF22" s="407"/>
    </row>
    <row r="23" spans="2:32" ht="7.5" customHeight="1" x14ac:dyDescent="0.25">
      <c r="B23" s="11"/>
      <c r="C23" s="396"/>
      <c r="D23" s="396"/>
      <c r="E23" s="396"/>
      <c r="F23" s="419"/>
      <c r="G23" s="519"/>
      <c r="H23" s="396"/>
      <c r="I23" s="396"/>
      <c r="J23" s="396"/>
      <c r="K23" s="396"/>
      <c r="L23" s="4"/>
      <c r="M23" s="407"/>
      <c r="N23" s="11"/>
      <c r="O23" s="396"/>
      <c r="P23" s="396"/>
      <c r="Q23" s="396"/>
      <c r="R23" s="396"/>
      <c r="S23" s="396"/>
      <c r="T23" s="396"/>
      <c r="U23" s="4"/>
      <c r="W23" s="438"/>
      <c r="X23" s="438"/>
      <c r="Y23" s="438"/>
      <c r="Z23" s="438"/>
      <c r="AA23" s="438"/>
      <c r="AB23" s="438"/>
      <c r="AC23" s="438"/>
      <c r="AD23" s="438"/>
      <c r="AE23" s="438"/>
      <c r="AF23" s="407"/>
    </row>
    <row r="24" spans="2:32" ht="22.5" customHeight="1" x14ac:dyDescent="0.25">
      <c r="B24" s="11"/>
      <c r="C24" s="396"/>
      <c r="D24" s="444" t="s">
        <v>1154</v>
      </c>
      <c r="E24" s="519"/>
      <c r="F24" s="419"/>
      <c r="G24" s="519"/>
      <c r="H24" s="415"/>
      <c r="I24" s="519"/>
      <c r="J24" s="519"/>
      <c r="K24" s="396"/>
      <c r="L24" s="4"/>
      <c r="M24" s="407"/>
      <c r="N24" s="11"/>
      <c r="O24" s="396"/>
      <c r="P24" s="396"/>
      <c r="Q24" s="396"/>
      <c r="R24" s="396"/>
      <c r="S24" s="396"/>
      <c r="T24" s="396"/>
      <c r="U24" s="4"/>
      <c r="W24" s="438"/>
      <c r="X24" s="438"/>
      <c r="Y24" s="438"/>
      <c r="Z24" s="438"/>
      <c r="AA24" s="438"/>
      <c r="AB24" s="438"/>
      <c r="AC24" s="438"/>
      <c r="AD24" s="438"/>
      <c r="AE24" s="438"/>
      <c r="AF24" s="407"/>
    </row>
    <row r="25" spans="2:32" ht="7.5" customHeight="1" thickBot="1" x14ac:dyDescent="0.3">
      <c r="B25" s="12"/>
      <c r="C25" s="5"/>
      <c r="D25" s="5"/>
      <c r="E25" s="5"/>
      <c r="F25" s="124"/>
      <c r="G25" s="5"/>
      <c r="H25" s="5"/>
      <c r="I25" s="5"/>
      <c r="J25" s="520"/>
      <c r="K25" s="5"/>
      <c r="L25" s="6"/>
      <c r="M25" s="407"/>
      <c r="N25" s="12"/>
      <c r="O25" s="5"/>
      <c r="P25" s="5"/>
      <c r="Q25" s="5"/>
      <c r="R25" s="5"/>
      <c r="S25" s="5"/>
      <c r="T25" s="5"/>
      <c r="U25" s="6"/>
      <c r="W25" s="438"/>
      <c r="X25" s="438"/>
      <c r="Y25" s="438"/>
      <c r="Z25" s="438"/>
      <c r="AA25" s="438"/>
      <c r="AB25" s="438"/>
      <c r="AC25" s="438"/>
      <c r="AD25" s="438"/>
      <c r="AE25" s="438"/>
      <c r="AF25" s="407"/>
    </row>
    <row r="26" spans="2:32" s="407" customFormat="1" x14ac:dyDescent="0.25">
      <c r="B26" s="412"/>
      <c r="C26" s="419"/>
      <c r="D26" s="412"/>
      <c r="E26" s="412"/>
      <c r="F26" s="412"/>
      <c r="G26" s="419"/>
      <c r="H26" s="412"/>
      <c r="I26" s="412"/>
      <c r="J26" s="412"/>
      <c r="K26" s="412"/>
      <c r="L26" s="396"/>
    </row>
    <row r="27" spans="2:32" s="407" customFormat="1" x14ac:dyDescent="0.25">
      <c r="B27" s="412"/>
      <c r="C27" s="419"/>
      <c r="D27" s="412"/>
      <c r="E27" s="412"/>
      <c r="F27" s="412"/>
      <c r="G27" s="419"/>
      <c r="H27" s="412"/>
      <c r="I27" s="412"/>
      <c r="J27" s="412"/>
      <c r="K27" s="412"/>
      <c r="L27" s="396"/>
    </row>
    <row r="28" spans="2:32" s="407" customFormat="1" x14ac:dyDescent="0.25">
      <c r="B28" s="412"/>
      <c r="C28" s="419"/>
      <c r="D28" s="412"/>
      <c r="E28" s="412"/>
      <c r="F28" s="412"/>
      <c r="G28" s="419"/>
      <c r="H28" s="412"/>
      <c r="I28" s="412"/>
      <c r="J28" s="412"/>
      <c r="K28" s="412"/>
      <c r="L28" s="396"/>
    </row>
    <row r="29" spans="2:32" s="407" customFormat="1" x14ac:dyDescent="0.25">
      <c r="B29" s="412"/>
      <c r="C29" s="419"/>
      <c r="L29" s="396"/>
    </row>
    <row r="30" spans="2:32" s="407" customFormat="1" x14ac:dyDescent="0.25">
      <c r="B30" s="396"/>
      <c r="C30" s="396"/>
      <c r="D30" s="396"/>
      <c r="E30" s="396"/>
      <c r="F30" s="396"/>
      <c r="G30" s="396"/>
      <c r="H30" s="396"/>
      <c r="I30" s="396"/>
      <c r="J30" s="412"/>
      <c r="K30" s="412"/>
      <c r="L30" s="396"/>
    </row>
    <row r="31" spans="2:32" s="407" customFormat="1" x14ac:dyDescent="0.25">
      <c r="B31" s="396"/>
      <c r="C31" s="396"/>
      <c r="D31" s="396"/>
      <c r="E31" s="396"/>
      <c r="F31" s="396"/>
      <c r="G31" s="396"/>
      <c r="H31" s="396"/>
      <c r="I31" s="396"/>
      <c r="J31" s="412"/>
      <c r="K31" s="412"/>
      <c r="L31" s="396"/>
    </row>
    <row r="32" spans="2:32" s="407" customFormat="1" x14ac:dyDescent="0.25">
      <c r="B32" s="396"/>
      <c r="C32" s="396"/>
      <c r="D32" s="396"/>
      <c r="E32" s="396"/>
      <c r="F32" s="396"/>
      <c r="G32" s="396"/>
      <c r="H32" s="396"/>
      <c r="I32" s="396"/>
      <c r="J32" s="412"/>
      <c r="K32" s="412"/>
      <c r="L32" s="396"/>
    </row>
    <row r="33" spans="2:32" s="407" customFormat="1" x14ac:dyDescent="0.25">
      <c r="B33" s="396"/>
      <c r="C33" s="396"/>
      <c r="D33" s="396"/>
      <c r="E33" s="396"/>
      <c r="F33" s="396"/>
      <c r="G33" s="396"/>
      <c r="H33" s="396"/>
      <c r="I33" s="396"/>
      <c r="J33" s="412"/>
      <c r="K33" s="412"/>
      <c r="L33" s="396"/>
    </row>
    <row r="34" spans="2:32" s="407" customFormat="1" x14ac:dyDescent="0.25">
      <c r="B34" s="396"/>
      <c r="C34" s="396"/>
      <c r="D34" s="396"/>
      <c r="E34" s="396"/>
      <c r="F34" s="396"/>
      <c r="G34" s="396"/>
      <c r="H34" s="396"/>
      <c r="I34" s="396"/>
      <c r="J34" s="412"/>
      <c r="K34" s="412"/>
      <c r="L34" s="396"/>
    </row>
    <row r="35" spans="2:32" s="407" customFormat="1" x14ac:dyDescent="0.25">
      <c r="B35" s="396"/>
      <c r="C35" s="396"/>
      <c r="D35" s="396"/>
      <c r="E35" s="396"/>
      <c r="F35" s="396"/>
      <c r="G35" s="396"/>
      <c r="H35" s="396"/>
      <c r="I35" s="396"/>
      <c r="J35" s="412"/>
      <c r="K35" s="412"/>
      <c r="L35" s="396"/>
    </row>
    <row r="36" spans="2:32" s="407" customFormat="1" x14ac:dyDescent="0.25">
      <c r="B36" s="412"/>
      <c r="C36" s="419"/>
      <c r="D36" s="412"/>
      <c r="E36" s="412"/>
      <c r="F36" s="412"/>
      <c r="G36" s="419"/>
      <c r="H36" s="412"/>
      <c r="I36" s="412"/>
      <c r="J36" s="412"/>
      <c r="K36" s="412"/>
      <c r="L36" s="396"/>
    </row>
    <row r="37" spans="2:32" ht="18.75" customHeight="1" x14ac:dyDescent="0.25">
      <c r="B37" s="412"/>
      <c r="C37" s="396"/>
      <c r="D37" s="396"/>
      <c r="E37" s="396"/>
      <c r="F37" s="396"/>
      <c r="G37" s="396"/>
      <c r="H37" s="396"/>
      <c r="I37" s="396"/>
      <c r="J37" s="396"/>
      <c r="K37" s="396"/>
      <c r="L37" s="396"/>
      <c r="M37" s="407"/>
      <c r="AE37" s="407"/>
      <c r="AF37" s="407"/>
    </row>
    <row r="38" spans="2:32" ht="7.5" customHeight="1" x14ac:dyDescent="0.25">
      <c r="B38" s="409"/>
      <c r="C38" s="396"/>
      <c r="D38" s="396"/>
      <c r="E38" s="396"/>
      <c r="F38" s="396"/>
      <c r="G38" s="396"/>
      <c r="H38" s="396"/>
      <c r="I38" s="396"/>
      <c r="J38" s="396"/>
      <c r="K38" s="396"/>
      <c r="L38" s="396"/>
      <c r="M38" s="407"/>
      <c r="AE38" s="407"/>
      <c r="AF38" s="407"/>
    </row>
    <row r="39" spans="2:32" ht="18.75" customHeight="1" x14ac:dyDescent="0.25">
      <c r="B39" s="409"/>
      <c r="C39" s="396"/>
      <c r="D39" s="396"/>
      <c r="E39" s="396"/>
      <c r="F39" s="396"/>
      <c r="G39" s="396"/>
      <c r="H39" s="396"/>
      <c r="I39" s="396"/>
      <c r="J39" s="396"/>
      <c r="K39" s="393"/>
      <c r="L39" s="396"/>
      <c r="M39" s="407"/>
      <c r="AE39" s="407"/>
      <c r="AF39" s="407"/>
    </row>
    <row r="40" spans="2:32" ht="7.5" customHeight="1" x14ac:dyDescent="0.25">
      <c r="B40" s="409"/>
      <c r="C40" s="396"/>
      <c r="D40" s="396"/>
      <c r="E40" s="396"/>
      <c r="F40" s="396"/>
      <c r="G40" s="396"/>
      <c r="H40" s="396"/>
      <c r="I40" s="396"/>
      <c r="J40" s="396"/>
      <c r="K40" s="393"/>
      <c r="L40" s="396"/>
      <c r="M40" s="407"/>
      <c r="AE40" s="407"/>
      <c r="AF40" s="407"/>
    </row>
    <row r="41" spans="2:32" ht="18.75" customHeight="1" x14ac:dyDescent="0.25">
      <c r="B41" s="409"/>
      <c r="C41" s="396"/>
      <c r="D41" s="396"/>
      <c r="E41" s="396"/>
      <c r="F41" s="396"/>
      <c r="G41" s="396"/>
      <c r="H41" s="396"/>
      <c r="I41" s="396"/>
      <c r="J41" s="396"/>
      <c r="K41" s="393"/>
      <c r="L41" s="396"/>
      <c r="M41" s="407"/>
      <c r="AE41" s="407"/>
      <c r="AF41" s="407"/>
    </row>
    <row r="42" spans="2:32" ht="7.5" customHeight="1" x14ac:dyDescent="0.25">
      <c r="B42" s="409"/>
      <c r="C42" s="419"/>
      <c r="D42" s="393"/>
      <c r="E42" s="393"/>
      <c r="F42" s="393"/>
      <c r="G42" s="393"/>
      <c r="H42" s="393"/>
      <c r="I42" s="393"/>
      <c r="J42" s="393"/>
      <c r="K42" s="393"/>
      <c r="L42" s="396"/>
      <c r="M42" s="407"/>
      <c r="AE42" s="407"/>
      <c r="AF42" s="407"/>
    </row>
    <row r="43" spans="2:32" ht="23.25" customHeight="1" x14ac:dyDescent="0.25">
      <c r="B43" s="409"/>
      <c r="C43" s="396"/>
      <c r="D43" s="393"/>
      <c r="E43" s="393"/>
      <c r="F43" s="393"/>
      <c r="G43" s="393"/>
      <c r="H43" s="393"/>
      <c r="I43" s="393"/>
      <c r="J43" s="393"/>
      <c r="K43" s="393"/>
      <c r="L43" s="396"/>
      <c r="M43" s="407"/>
      <c r="AE43" s="407"/>
      <c r="AF43" s="407"/>
    </row>
    <row r="44" spans="2:32" x14ac:dyDescent="0.25">
      <c r="B44" s="409"/>
      <c r="C44" s="419"/>
      <c r="D44" s="396"/>
      <c r="E44" s="410"/>
      <c r="F44" s="419"/>
      <c r="G44" s="396"/>
      <c r="H44" s="410"/>
      <c r="I44" s="419"/>
      <c r="J44" s="396"/>
      <c r="K44" s="396"/>
      <c r="L44" s="396"/>
      <c r="M44" s="407"/>
      <c r="AE44" s="407"/>
      <c r="AF44" s="407"/>
    </row>
    <row r="45" spans="2:32" x14ac:dyDescent="0.25">
      <c r="B45" s="409"/>
      <c r="C45" s="419"/>
      <c r="D45" s="396"/>
      <c r="E45" s="410"/>
      <c r="F45" s="419"/>
      <c r="G45" s="396"/>
      <c r="H45" s="410"/>
      <c r="I45" s="419"/>
      <c r="J45" s="396"/>
      <c r="K45" s="396"/>
      <c r="L45" s="396"/>
      <c r="M45" s="396"/>
      <c r="AE45" s="407"/>
      <c r="AF45" s="407"/>
    </row>
    <row r="46" spans="2:32" x14ac:dyDescent="0.25">
      <c r="B46" s="409"/>
      <c r="C46" s="419"/>
      <c r="D46" s="396"/>
      <c r="E46" s="410"/>
      <c r="F46" s="419"/>
      <c r="G46" s="396"/>
      <c r="H46" s="410"/>
      <c r="I46" s="419"/>
      <c r="J46" s="396"/>
      <c r="K46" s="410"/>
      <c r="L46" s="409"/>
      <c r="M46" s="419"/>
      <c r="AE46" s="407"/>
      <c r="AF46" s="407"/>
    </row>
    <row r="47" spans="2:32" x14ac:dyDescent="0.25">
      <c r="B47" s="409"/>
      <c r="C47" s="419"/>
      <c r="D47" s="396"/>
      <c r="E47" s="410"/>
      <c r="F47" s="419"/>
      <c r="G47" s="396"/>
      <c r="H47" s="410"/>
      <c r="I47" s="419"/>
      <c r="J47" s="396"/>
      <c r="K47" s="410"/>
      <c r="L47" s="409"/>
      <c r="M47" s="419"/>
      <c r="AE47" s="407"/>
      <c r="AF47" s="407"/>
    </row>
    <row r="48" spans="2:32" x14ac:dyDescent="0.25">
      <c r="B48" s="409"/>
      <c r="C48" s="419"/>
      <c r="D48" s="396"/>
      <c r="E48" s="410"/>
      <c r="F48" s="419"/>
      <c r="G48" s="396"/>
      <c r="H48" s="410"/>
      <c r="I48" s="419"/>
      <c r="J48" s="396"/>
      <c r="K48" s="410"/>
      <c r="L48" s="409"/>
      <c r="M48" s="409"/>
      <c r="AE48" s="407"/>
      <c r="AF48" s="407"/>
    </row>
    <row r="49" spans="2:32" x14ac:dyDescent="0.25">
      <c r="B49" s="409"/>
      <c r="C49" s="419"/>
      <c r="D49" s="396"/>
      <c r="E49" s="410"/>
      <c r="F49" s="419"/>
      <c r="G49" s="419"/>
      <c r="H49" s="396"/>
      <c r="I49" s="410"/>
      <c r="J49" s="419"/>
      <c r="K49" s="396"/>
      <c r="L49" s="410"/>
      <c r="M49" s="419"/>
      <c r="AE49" s="407"/>
      <c r="AF49" s="407"/>
    </row>
    <row r="50" spans="2:32" x14ac:dyDescent="0.25">
      <c r="B50" s="396"/>
      <c r="C50" s="396"/>
      <c r="D50" s="396"/>
      <c r="E50" s="396"/>
      <c r="F50" s="396"/>
      <c r="G50" s="396"/>
      <c r="H50" s="396"/>
      <c r="I50" s="396"/>
      <c r="J50" s="396"/>
      <c r="K50" s="396"/>
      <c r="L50" s="396"/>
      <c r="M50" s="407"/>
      <c r="W50" s="407"/>
      <c r="X50" s="407"/>
      <c r="Y50" s="407"/>
      <c r="Z50" s="407"/>
      <c r="AA50" s="407"/>
      <c r="AB50" s="407"/>
      <c r="AC50" s="407"/>
      <c r="AD50" s="407"/>
      <c r="AE50" s="407"/>
      <c r="AF50" s="407"/>
    </row>
    <row r="51" spans="2:32" x14ac:dyDescent="0.25">
      <c r="B51" s="407"/>
      <c r="C51" s="407"/>
      <c r="D51" s="407"/>
      <c r="E51" s="407"/>
      <c r="F51" s="407"/>
      <c r="G51" s="407"/>
      <c r="H51" s="407"/>
      <c r="I51" s="407"/>
      <c r="J51" s="407"/>
      <c r="K51" s="407"/>
      <c r="L51" s="407"/>
      <c r="M51" s="407"/>
      <c r="N51" s="407"/>
      <c r="O51" s="407"/>
      <c r="P51" s="407"/>
      <c r="Q51" s="407"/>
      <c r="R51" s="407"/>
      <c r="S51" s="407"/>
      <c r="T51" s="407"/>
      <c r="U51" s="407"/>
      <c r="V51" s="407"/>
      <c r="W51" s="407"/>
    </row>
    <row r="52" spans="2:32" x14ac:dyDescent="0.25">
      <c r="B52" s="407"/>
      <c r="C52" s="407"/>
      <c r="D52" s="407"/>
      <c r="E52" s="407"/>
      <c r="F52" s="407"/>
      <c r="G52" s="407"/>
      <c r="H52" s="407"/>
      <c r="I52" s="407"/>
      <c r="J52" s="407"/>
      <c r="K52" s="407"/>
      <c r="L52" s="407"/>
      <c r="M52" s="407"/>
      <c r="N52" s="407"/>
      <c r="O52" s="407"/>
      <c r="P52" s="407"/>
      <c r="Q52" s="407"/>
      <c r="R52" s="407"/>
      <c r="S52" s="407"/>
      <c r="T52" s="407"/>
      <c r="U52" s="407"/>
      <c r="V52" s="407"/>
      <c r="W52" s="407"/>
    </row>
    <row r="53" spans="2:32" x14ac:dyDescent="0.25">
      <c r="B53" s="407"/>
      <c r="C53" s="407"/>
      <c r="D53" s="407"/>
      <c r="E53" s="407"/>
      <c r="F53" s="407"/>
      <c r="G53" s="407"/>
      <c r="H53" s="407"/>
      <c r="I53" s="407"/>
      <c r="J53" s="407"/>
      <c r="K53" s="407"/>
      <c r="L53" s="407"/>
      <c r="M53" s="407"/>
      <c r="N53" s="407"/>
      <c r="O53" s="407"/>
      <c r="P53" s="407"/>
      <c r="Q53" s="407"/>
      <c r="R53" s="407"/>
      <c r="S53" s="407"/>
      <c r="T53" s="407"/>
      <c r="U53" s="407"/>
      <c r="V53" s="407"/>
      <c r="W53" s="407"/>
    </row>
    <row r="54" spans="2:32" x14ac:dyDescent="0.25">
      <c r="B54" s="407"/>
      <c r="C54" s="407"/>
      <c r="D54" s="407"/>
      <c r="E54" s="407"/>
      <c r="F54" s="407"/>
      <c r="G54" s="407"/>
      <c r="H54" s="407"/>
      <c r="I54" s="407"/>
      <c r="J54" s="407"/>
      <c r="K54" s="407"/>
      <c r="L54" s="407"/>
      <c r="M54" s="407"/>
      <c r="N54" s="407"/>
      <c r="O54" s="407"/>
      <c r="P54" s="407"/>
      <c r="Q54" s="407"/>
      <c r="R54" s="407"/>
      <c r="S54" s="407"/>
      <c r="T54" s="407"/>
      <c r="U54" s="407"/>
      <c r="V54" s="407"/>
      <c r="W54" s="407"/>
    </row>
    <row r="55" spans="2:32" x14ac:dyDescent="0.25">
      <c r="B55" s="407"/>
      <c r="C55" s="407"/>
      <c r="D55" s="407"/>
      <c r="E55" s="407"/>
      <c r="F55" s="407"/>
      <c r="G55" s="407"/>
      <c r="H55" s="407"/>
      <c r="I55" s="407"/>
      <c r="J55" s="407"/>
      <c r="K55" s="407"/>
      <c r="L55" s="407"/>
      <c r="M55" s="407"/>
      <c r="N55" s="407"/>
      <c r="O55" s="407"/>
      <c r="P55" s="407"/>
      <c r="Q55" s="407"/>
      <c r="R55" s="407"/>
      <c r="S55" s="407"/>
      <c r="T55" s="407"/>
      <c r="U55" s="407"/>
      <c r="V55" s="407"/>
      <c r="W55" s="407"/>
    </row>
    <row r="56" spans="2:32" x14ac:dyDescent="0.25">
      <c r="B56" s="407"/>
      <c r="C56" s="407"/>
      <c r="D56" s="407"/>
      <c r="E56" s="407"/>
      <c r="F56" s="407"/>
      <c r="G56" s="407"/>
      <c r="H56" s="407"/>
      <c r="I56" s="407"/>
      <c r="J56" s="407"/>
      <c r="K56" s="407"/>
      <c r="L56" s="407"/>
      <c r="M56" s="407"/>
      <c r="N56" s="407"/>
      <c r="O56" s="407"/>
      <c r="P56" s="407"/>
      <c r="Q56" s="407"/>
      <c r="R56" s="407"/>
      <c r="S56" s="407"/>
      <c r="T56" s="407"/>
      <c r="U56" s="407"/>
      <c r="V56" s="407"/>
      <c r="W56" s="407"/>
    </row>
    <row r="57" spans="2:32" x14ac:dyDescent="0.25">
      <c r="B57" s="407"/>
      <c r="C57" s="407"/>
      <c r="D57" s="407"/>
      <c r="E57" s="407"/>
      <c r="F57" s="407"/>
      <c r="G57" s="407"/>
      <c r="H57" s="407"/>
      <c r="I57" s="407"/>
      <c r="J57" s="407"/>
      <c r="K57" s="407"/>
      <c r="L57" s="407"/>
      <c r="M57" s="407"/>
      <c r="N57" s="407"/>
      <c r="O57" s="407"/>
      <c r="P57" s="407"/>
      <c r="Q57" s="407"/>
      <c r="R57" s="407"/>
      <c r="S57" s="407"/>
      <c r="T57" s="407"/>
      <c r="U57" s="407"/>
      <c r="V57" s="407"/>
      <c r="W57" s="407"/>
    </row>
    <row r="58" spans="2:32" x14ac:dyDescent="0.25">
      <c r="B58" s="407"/>
      <c r="C58" s="407"/>
      <c r="D58" s="407"/>
      <c r="E58" s="407"/>
      <c r="F58" s="407"/>
      <c r="G58" s="407"/>
      <c r="H58" s="407"/>
      <c r="I58" s="407"/>
      <c r="J58" s="407"/>
      <c r="K58" s="407"/>
      <c r="L58" s="407"/>
      <c r="M58" s="407"/>
      <c r="N58" s="407"/>
      <c r="O58" s="407"/>
      <c r="P58" s="407"/>
      <c r="Q58" s="407"/>
      <c r="R58" s="407"/>
      <c r="S58" s="407"/>
      <c r="T58" s="407"/>
      <c r="U58" s="407"/>
      <c r="V58" s="407"/>
      <c r="W58" s="407"/>
    </row>
  </sheetData>
  <sheetProtection sheet="1" selectLockedCells="1"/>
  <mergeCells count="6">
    <mergeCell ref="E22:F22"/>
    <mergeCell ref="B4:L4"/>
    <mergeCell ref="N4:U4"/>
    <mergeCell ref="N9:P10"/>
    <mergeCell ref="H10:K10"/>
    <mergeCell ref="D10:F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1346" r:id="rId3" name="TextBox1">
          <controlPr locked="0" defaultSize="0" autoLine="0" autoPict="0" linkedCell="Unformatted!E153" r:id="rId4">
            <anchor moveWithCells="1">
              <from>
                <xdr:col>13</xdr:col>
                <xdr:colOff>85725</xdr:colOff>
                <xdr:row>9</xdr:row>
                <xdr:rowOff>104775</xdr:rowOff>
              </from>
              <to>
                <xdr:col>20</xdr:col>
                <xdr:colOff>533400</xdr:colOff>
                <xdr:row>24</xdr:row>
                <xdr:rowOff>9525</xdr:rowOff>
              </to>
            </anchor>
          </controlPr>
        </control>
      </mc:Choice>
      <mc:Fallback>
        <control shapeId="141346" r:id="rId3" name="TextBox1"/>
      </mc:Fallback>
    </mc:AlternateContent>
    <mc:AlternateContent xmlns:mc="http://schemas.openxmlformats.org/markup-compatibility/2006">
      <mc:Choice Requires="x14">
        <control shapeId="141313" r:id="rId5" name="Group Box 1">
          <controlPr defaultSize="0" autoFill="0" autoPict="0" macro="[0]!no_move">
            <anchor mov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0</xdr:colOff>
                <xdr:row>7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14" r:id="rId6" name="Option Button 2">
          <controlPr defaultSize="0" autoFill="0" autoLine="0" autoPict="0">
            <anchor moveWithCells="1">
              <from>
                <xdr:col>3</xdr:col>
                <xdr:colOff>66675</xdr:colOff>
                <xdr:row>5</xdr:row>
                <xdr:rowOff>28575</xdr:rowOff>
              </from>
              <to>
                <xdr:col>3</xdr:col>
                <xdr:colOff>619125</xdr:colOff>
                <xdr:row>5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15" r:id="rId7" name="Option Button 3">
          <controlPr defaultSize="0" autoFill="0" autoLine="0" autoPict="0">
            <anchor moveWithCells="1">
              <from>
                <xdr:col>3</xdr:col>
                <xdr:colOff>66675</xdr:colOff>
                <xdr:row>5</xdr:row>
                <xdr:rowOff>257175</xdr:rowOff>
              </from>
              <to>
                <xdr:col>3</xdr:col>
                <xdr:colOff>628650</xdr:colOff>
                <xdr:row>7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16" r:id="rId8" name="Drop Down 4">
          <controlPr defaultSize="0" autoLine="0" autoPict="0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11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17" r:id="rId9" name="Group Box 5">
          <controlPr defaultSize="0" autoFill="0" autoPict="0" macro="[0]!no_move">
            <anchor moveWithCells="1">
              <from>
                <xdr:col>2</xdr:col>
                <xdr:colOff>219075</xdr:colOff>
                <xdr:row>12</xdr:row>
                <xdr:rowOff>0</xdr:rowOff>
              </from>
              <to>
                <xdr:col>3</xdr:col>
                <xdr:colOff>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18" r:id="rId10" name="Drop Down 6">
          <controlPr defaultSize="0" autoLine="0" autoPict="0">
            <anchor moveWithCells="1">
              <from>
                <xdr:col>2</xdr:col>
                <xdr:colOff>600075</xdr:colOff>
                <xdr:row>11</xdr:row>
                <xdr:rowOff>0</xdr:rowOff>
              </from>
              <to>
                <xdr:col>3</xdr:col>
                <xdr:colOff>676275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19" r:id="rId11" name="Drop Down 7">
          <controlPr defaultSize="0" autoLine="0" autoPict="0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20" r:id="rId12" name="Drop Down 8">
          <controlPr defaultSize="0" autoLine="0" autoPict="0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6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21" r:id="rId13" name="Drop Down 9">
          <controlPr defaultSize="0" autoLine="0" autoPict="0">
            <anchor moveWithCells="1">
              <from>
                <xdr:col>6</xdr:col>
                <xdr:colOff>276225</xdr:colOff>
                <xdr:row>11</xdr:row>
                <xdr:rowOff>0</xdr:rowOff>
              </from>
              <to>
                <xdr:col>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22" r:id="rId14" name="Drop Down 10">
          <controlPr defaultSize="0" autoLine="0" autoPict="0">
            <anchor moveWithCells="1">
              <from>
                <xdr:col>8</xdr:col>
                <xdr:colOff>0</xdr:colOff>
                <xdr:row>11</xdr:row>
                <xdr:rowOff>0</xdr:rowOff>
              </from>
              <to>
                <xdr:col>9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23" r:id="rId15" name="Drop Down 11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10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24" r:id="rId16" name="Drop Down 12">
          <controlPr defaultSize="0" autoLine="0" autoPict="0">
            <anchor moveWithCells="1">
              <from>
                <xdr:col>10</xdr:col>
                <xdr:colOff>0</xdr:colOff>
                <xdr:row>11</xdr:row>
                <xdr:rowOff>0</xdr:rowOff>
              </from>
              <to>
                <xdr:col>11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31" r:id="rId17" name="Option Button 19">
          <controlPr locked="0" defaultSize="0" autoFill="0" autoLine="0" autoPict="0">
            <anchor moveWithCells="1">
              <from>
                <xdr:col>2</xdr:col>
                <xdr:colOff>304800</xdr:colOff>
                <xdr:row>12</xdr:row>
                <xdr:rowOff>0</xdr:rowOff>
              </from>
              <to>
                <xdr:col>2</xdr:col>
                <xdr:colOff>542925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32" r:id="rId18" name="Option Button 20">
          <controlPr locked="0" defaultSize="0" autoFill="0" autoLine="0" autoPict="0">
            <anchor moveWithCells="1">
              <from>
                <xdr:col>2</xdr:col>
                <xdr:colOff>304800</xdr:colOff>
                <xdr:row>13</xdr:row>
                <xdr:rowOff>19050</xdr:rowOff>
              </from>
              <to>
                <xdr:col>3</xdr:col>
                <xdr:colOff>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33" r:id="rId19" name="Option Button 21">
          <controlPr locked="0" defaultSize="0" autoFill="0" autoLine="0" autoPict="0">
            <anchor moveWithCells="1">
              <from>
                <xdr:col>2</xdr:col>
                <xdr:colOff>304800</xdr:colOff>
                <xdr:row>14</xdr:row>
                <xdr:rowOff>9525</xdr:rowOff>
              </from>
              <to>
                <xdr:col>3</xdr:col>
                <xdr:colOff>0</xdr:colOff>
                <xdr:row>15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34" r:id="rId20" name="Option Button 22">
          <controlPr locked="0" defaultSize="0" autoFill="0" autoLine="0" autoPict="0">
            <anchor moveWithCells="1">
              <from>
                <xdr:col>2</xdr:col>
                <xdr:colOff>304800</xdr:colOff>
                <xdr:row>15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35" r:id="rId21" name="Option Button 23">
          <controlPr locked="0" defaultSize="0" autoFill="0" autoLine="0" autoPict="0">
            <anchor moveWithCells="1">
              <from>
                <xdr:col>2</xdr:col>
                <xdr:colOff>304800</xdr:colOff>
                <xdr:row>16</xdr:row>
                <xdr:rowOff>9525</xdr:rowOff>
              </from>
              <to>
                <xdr:col>3</xdr:col>
                <xdr:colOff>0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36" r:id="rId22" name="Option Button 24">
          <controlPr locked="0" defaultSize="0" autoFill="0" autoLine="0" autoPict="0">
            <anchor moveWithCells="1">
              <from>
                <xdr:col>2</xdr:col>
                <xdr:colOff>304800</xdr:colOff>
                <xdr:row>17</xdr:row>
                <xdr:rowOff>9525</xdr:rowOff>
              </from>
              <to>
                <xdr:col>3</xdr:col>
                <xdr:colOff>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37" r:id="rId23" name="Drop Down 25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11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38" r:id="rId24" name="Drop Down 26">
          <controlPr defaultSize="0" autoLine="0" autoPict="0">
            <anchor moveWithCells="1">
              <from>
                <xdr:col>4</xdr:col>
                <xdr:colOff>676275</xdr:colOff>
                <xdr:row>6</xdr:row>
                <xdr:rowOff>0</xdr:rowOff>
              </from>
              <to>
                <xdr:col>6</xdr:col>
                <xdr:colOff>66675</xdr:colOff>
                <xdr:row>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49" r:id="rId25" name="Group Box 37">
          <controlPr defaultSize="0" autoFill="0" autoPict="0">
            <anchor moveWithCells="1">
              <from>
                <xdr:col>13</xdr:col>
                <xdr:colOff>66675</xdr:colOff>
                <xdr:row>4</xdr:row>
                <xdr:rowOff>76200</xdr:rowOff>
              </from>
              <to>
                <xdr:col>20</xdr:col>
                <xdr:colOff>495300</xdr:colOff>
                <xdr:row>7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50" r:id="rId26" name="Check Box 38">
          <controlPr defaultSize="0" autoFill="0" autoLine="0" autoPict="0">
            <anchor moveWithCells="1">
              <from>
                <xdr:col>15</xdr:col>
                <xdr:colOff>295275</xdr:colOff>
                <xdr:row>5</xdr:row>
                <xdr:rowOff>28575</xdr:rowOff>
              </from>
              <to>
                <xdr:col>17</xdr:col>
                <xdr:colOff>171450</xdr:colOff>
                <xdr:row>5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51" r:id="rId27" name="Check Box 39">
          <controlPr defaultSize="0" autoFill="0" autoLine="0" autoPict="0">
            <anchor moveWithCells="1">
              <from>
                <xdr:col>13</xdr:col>
                <xdr:colOff>219075</xdr:colOff>
                <xdr:row>5</xdr:row>
                <xdr:rowOff>28575</xdr:rowOff>
              </from>
              <to>
                <xdr:col>14</xdr:col>
                <xdr:colOff>485775</xdr:colOff>
                <xdr:row>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52" r:id="rId28" name="Check Box 40">
          <controlPr defaultSize="0" autoFill="0" autoLine="0" autoPict="0">
            <anchor moveWithCells="1">
              <from>
                <xdr:col>13</xdr:col>
                <xdr:colOff>219075</xdr:colOff>
                <xdr:row>6</xdr:row>
                <xdr:rowOff>28575</xdr:rowOff>
              </from>
              <to>
                <xdr:col>15</xdr:col>
                <xdr:colOff>76200</xdr:colOff>
                <xdr:row>7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53" r:id="rId29" name="Check Box 41">
          <controlPr defaultSize="0" autoFill="0" autoLine="0" autoPict="0">
            <anchor moveWithCells="1">
              <from>
                <xdr:col>15</xdr:col>
                <xdr:colOff>295275</xdr:colOff>
                <xdr:row>6</xdr:row>
                <xdr:rowOff>28575</xdr:rowOff>
              </from>
              <to>
                <xdr:col>17</xdr:col>
                <xdr:colOff>114300</xdr:colOff>
                <xdr:row>7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54" r:id="rId30" name="Check Box 42">
          <controlPr defaultSize="0" autoFill="0" autoLine="0" autoPict="0">
            <anchor moveWithCells="1">
              <from>
                <xdr:col>19</xdr:col>
                <xdr:colOff>114300</xdr:colOff>
                <xdr:row>5</xdr:row>
                <xdr:rowOff>28575</xdr:rowOff>
              </from>
              <to>
                <xdr:col>20</xdr:col>
                <xdr:colOff>352425</xdr:colOff>
                <xdr:row>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55" r:id="rId31" name="Check Box 43">
          <controlPr defaultSize="0" autoFill="0" autoLine="0" autoPict="0">
            <anchor moveWithCells="1">
              <from>
                <xdr:col>19</xdr:col>
                <xdr:colOff>114300</xdr:colOff>
                <xdr:row>6</xdr:row>
                <xdr:rowOff>28575</xdr:rowOff>
              </from>
              <to>
                <xdr:col>20</xdr:col>
                <xdr:colOff>371475</xdr:colOff>
                <xdr:row>7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56" r:id="rId32" name="Check Box 44">
          <controlPr defaultSize="0" autoFill="0" autoLine="0" autoPict="0">
            <anchor moveWithCells="1">
              <from>
                <xdr:col>17</xdr:col>
                <xdr:colOff>295275</xdr:colOff>
                <xdr:row>6</xdr:row>
                <xdr:rowOff>28575</xdr:rowOff>
              </from>
              <to>
                <xdr:col>18</xdr:col>
                <xdr:colOff>514350</xdr:colOff>
                <xdr:row>7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57" r:id="rId33" name="Check Box 45">
          <controlPr defaultSize="0" autoFill="0" autoLine="0" autoPict="0">
            <anchor moveWithCells="1">
              <from>
                <xdr:col>17</xdr:col>
                <xdr:colOff>295275</xdr:colOff>
                <xdr:row>5</xdr:row>
                <xdr:rowOff>28575</xdr:rowOff>
              </from>
              <to>
                <xdr:col>18</xdr:col>
                <xdr:colOff>485775</xdr:colOff>
                <xdr:row>5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59" r:id="rId34" name="Drop Down 47">
          <controlPr defaultSize="0" autoLine="0" autoPict="0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60" r:id="rId35" name="Drop Down 48">
          <controlPr defaultSize="0" autoLine="0" autoPict="0">
            <anchor moveWithCells="1">
              <from>
                <xdr:col>8</xdr:col>
                <xdr:colOff>0</xdr:colOff>
                <xdr:row>21</xdr:row>
                <xdr:rowOff>0</xdr:rowOff>
              </from>
              <to>
                <xdr:col>9</xdr:col>
                <xdr:colOff>371475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61" r:id="rId36" name="Group Box 49">
          <controlPr defaultSize="0" autoFill="0" autoPict="0">
            <anchor moveWithCells="1">
              <from>
                <xdr:col>8</xdr:col>
                <xdr:colOff>0</xdr:colOff>
                <xdr:row>19</xdr:row>
                <xdr:rowOff>0</xdr:rowOff>
              </from>
              <to>
                <xdr:col>9</xdr:col>
                <xdr:colOff>609600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64" r:id="rId37" name="Check Box 52">
          <controlPr defaultSize="0" autoFill="0" autoLine="0" autoPict="0">
            <anchor moveWithCells="1">
              <from>
                <xdr:col>6</xdr:col>
                <xdr:colOff>266700</xdr:colOff>
                <xdr:row>23</xdr:row>
                <xdr:rowOff>9525</xdr:rowOff>
              </from>
              <to>
                <xdr:col>9</xdr:col>
                <xdr:colOff>409575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65" r:id="rId38" name="Option Button 53">
          <controlPr defaultSize="0" autoFill="0" autoLine="0" autoPict="0">
            <anchor moveWithCells="1">
              <from>
                <xdr:col>8</xdr:col>
                <xdr:colOff>152400</xdr:colOff>
                <xdr:row>19</xdr:row>
                <xdr:rowOff>38100</xdr:rowOff>
              </from>
              <to>
                <xdr:col>8</xdr:col>
                <xdr:colOff>619125</xdr:colOff>
                <xdr:row>19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66" r:id="rId39" name="Option Button 54">
          <controlPr defaultSize="0" autoFill="0" autoLine="0" autoPict="0">
            <anchor moveWithCells="1">
              <from>
                <xdr:col>9</xdr:col>
                <xdr:colOff>47625</xdr:colOff>
                <xdr:row>19</xdr:row>
                <xdr:rowOff>38100</xdr:rowOff>
              </from>
              <to>
                <xdr:col>9</xdr:col>
                <xdr:colOff>466725</xdr:colOff>
                <xdr:row>19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367" r:id="rId40" name="Check Box 55">
          <controlPr defaultSize="0" autoFill="0" autoLine="0" autoPict="0">
            <anchor moveWithCells="1">
              <from>
                <xdr:col>9</xdr:col>
                <xdr:colOff>542925</xdr:colOff>
                <xdr:row>21</xdr:row>
                <xdr:rowOff>38100</xdr:rowOff>
              </from>
              <to>
                <xdr:col>10</xdr:col>
                <xdr:colOff>657225</xdr:colOff>
                <xdr:row>21</xdr:row>
                <xdr:rowOff>247650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F6B48423-5619-40A3-B69C-0B715D16C280}">
            <xm:f>Unformatted!$C$129=1</xm:f>
            <x14:dxf>
              <font>
                <b/>
                <i val="0"/>
                <color rgb="FFFF0000"/>
              </font>
            </x14:dxf>
          </x14:cfRule>
          <x14:cfRule type="expression" priority="37" id="{DDE0758C-76B5-40A4-B09E-7F4F76EA82B9}">
            <xm:f>AND(Unformatted!$F$127&lt;5,Unformatted!$E$129="")</xm:f>
            <x14:dxf>
              <font>
                <b/>
                <i val="0"/>
                <color rgb="FFFF0000"/>
              </font>
            </x14:dxf>
          </x14:cfRule>
          <xm:sqref>I6</xm:sqref>
        </x14:conditionalFormatting>
        <x14:conditionalFormatting xmlns:xm="http://schemas.microsoft.com/office/excel/2006/main">
          <x14:cfRule type="expression" priority="20" id="{21256982-0089-4304-B94E-51310E1F2413}">
            <xm:f>Unformatted!$C$142</xm:f>
            <x14:dxf>
              <font>
                <b/>
                <i val="0"/>
                <color rgb="FFFF0000"/>
              </font>
            </x14:dxf>
          </x14:cfRule>
          <xm:sqref>H24:H25 H22 H9 I8</xm:sqref>
        </x14:conditionalFormatting>
        <x14:conditionalFormatting xmlns:xm="http://schemas.microsoft.com/office/excel/2006/main">
          <x14:cfRule type="expression" priority="3590" id="{A867DE0E-D708-4C40-8832-9E9050EC0682}">
            <xm:f>Unformatted!C128=1</xm:f>
            <x14:dxf>
              <font>
                <b/>
                <i val="0"/>
                <color rgb="FFFF0000"/>
              </font>
            </x14:dxf>
          </x14:cfRule>
          <xm:sqref>C6</xm:sqref>
        </x14:conditionalFormatting>
        <x14:conditionalFormatting xmlns:xm="http://schemas.microsoft.com/office/excel/2006/main">
          <x14:cfRule type="expression" priority="3591" id="{FFBBA54B-52F5-416C-98D5-35626ACFC665}">
            <xm:f>Unformatted!C127=1</xm:f>
            <x14:dxf>
              <font>
                <b/>
                <i val="0"/>
                <color rgb="FFFF0000"/>
              </font>
            </x14:dxf>
          </x14:cfRule>
          <xm:sqref>F6</xm:sqref>
        </x14:conditionalFormatting>
        <x14:conditionalFormatting xmlns:xm="http://schemas.microsoft.com/office/excel/2006/main">
          <x14:cfRule type="expression" priority="3593" id="{FA97BBB3-1845-4556-ADF2-5A8032182E38}">
            <xm:f>Unformatted!E135="PURPLE"</xm:f>
            <x14:dxf>
              <fill>
                <patternFill>
                  <bgColor rgb="FF7030A0"/>
                </patternFill>
              </fill>
            </x14:dxf>
          </x14:cfRule>
          <x14:cfRule type="expression" priority="3594" id="{B90CD67F-85EA-47A9-9C30-C030968A7AAD}">
            <xm:f>Unformatted!E135="BLACK"</xm:f>
            <x14:dxf>
              <font>
                <color theme="0"/>
              </font>
              <fill>
                <patternFill>
                  <bgColor theme="1"/>
                </patternFill>
              </fill>
            </x14:dxf>
          </x14:cfRule>
          <x14:cfRule type="expression" priority="3595" id="{8120F347-56FF-46B7-8048-D7D6F829B040}">
            <xm:f>Unformatted!E135="YELLOW"</xm:f>
            <x14:dxf>
              <fill>
                <patternFill>
                  <bgColor rgb="FFFFFF00"/>
                </patternFill>
              </fill>
            </x14:dxf>
          </x14:cfRule>
          <x14:cfRule type="expression" priority="3596" id="{43CA2608-292A-4865-9F23-B2E83276CDFE}">
            <xm:f>Unformatted!E135="ORANGE"</xm:f>
            <x14:dxf>
              <fill>
                <patternFill>
                  <bgColor theme="5"/>
                </patternFill>
              </fill>
            </x14:dxf>
          </x14:cfRule>
          <x14:cfRule type="expression" priority="3597" id="{C5073983-577B-4AE4-8EA0-8DC4763D7218}">
            <xm:f>Unformatted!E135="BROWN"</xm:f>
            <x14:dxf>
              <fill>
                <patternFill>
                  <bgColor theme="5" tint="-0.499984740745262"/>
                </patternFill>
              </fill>
            </x14:dxf>
          </x14:cfRule>
          <x14:cfRule type="expression" priority="3598" id="{D767F1BD-05FD-409B-9E41-184B1C34B1CE}">
            <xm:f>Unformatted!E135="RED"</xm:f>
            <x14:dxf>
              <fill>
                <patternFill>
                  <bgColor rgb="FFFF0000"/>
                </patternFill>
              </fill>
            </x14:dxf>
          </x14:cfRule>
          <x14:cfRule type="expression" priority="3599" id="{ECFF6A2C-01A6-4238-A795-535EDA8024D0}">
            <xm:f>Unformatted!E135="BLUE"</xm:f>
            <x14:dxf>
              <fill>
                <patternFill>
                  <bgColor rgb="FF0070C0"/>
                </patternFill>
              </fill>
            </x14:dxf>
          </x14:cfRule>
          <xm:sqref>H11:K11 D11:F11</xm:sqref>
        </x14:conditionalFormatting>
        <x14:conditionalFormatting xmlns:xm="http://schemas.microsoft.com/office/excel/2006/main">
          <x14:cfRule type="expression" priority="4" id="{FE38EC4D-4D71-4A60-AE81-C0803F91D665}">
            <xm:f>Unformatted!$C$138=1</xm:f>
            <x14:dxf>
              <font>
                <b/>
                <i val="0"/>
                <color rgb="FFFF0000"/>
              </font>
            </x14:dxf>
          </x14:cfRule>
          <x14:cfRule type="expression" priority="4025" id="{D937FA9A-5532-4CAD-AD5E-BFCFBC439AB2}">
            <xm:f>Unformatted!$E$138=0</xm:f>
            <x14:dxf>
              <font>
                <b/>
                <i val="0"/>
                <color rgb="FFFF0000"/>
              </font>
            </x14:dxf>
          </x14:cfRule>
          <xm:sqref>D20</xm:sqref>
        </x14:conditionalFormatting>
        <x14:conditionalFormatting xmlns:xm="http://schemas.microsoft.com/office/excel/2006/main">
          <x14:cfRule type="expression" priority="4882" id="{A8BB1C5F-0784-402F-9CDE-512E9A2BE12D}">
            <xm:f>AND(Unformatted!$F$132=1,$D$13&lt;&gt;"")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D13:F13 H13:K13</xm:sqref>
        </x14:conditionalFormatting>
        <x14:conditionalFormatting xmlns:xm="http://schemas.microsoft.com/office/excel/2006/main">
          <x14:cfRule type="expression" priority="4884" id="{85949289-FA81-4F6F-9437-98B4518C3816}">
            <xm:f>AND(Unformatted!$F$132=2,$D$14&lt;&gt;"")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D14:F14 H14:K14</xm:sqref>
        </x14:conditionalFormatting>
        <x14:conditionalFormatting xmlns:xm="http://schemas.microsoft.com/office/excel/2006/main">
          <x14:cfRule type="expression" priority="4886" id="{85357353-FAE3-4D34-8CDD-87DBAE95C051}">
            <xm:f>AND(Unformatted!$F$132=6,$D$18&lt;&gt;"")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D18:F18 H18:K18</xm:sqref>
        </x14:conditionalFormatting>
        <x14:conditionalFormatting xmlns:xm="http://schemas.microsoft.com/office/excel/2006/main">
          <x14:cfRule type="expression" priority="4888" id="{6FFC9517-F68C-4101-ACD4-8C09518059A3}">
            <xm:f>AND(Unformatted!$F$132=3,$D$15&lt;&gt;"")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D15:F15 H15:K15</xm:sqref>
        </x14:conditionalFormatting>
        <x14:conditionalFormatting xmlns:xm="http://schemas.microsoft.com/office/excel/2006/main">
          <x14:cfRule type="expression" priority="4890" id="{13F582EB-51FD-4A1E-86E1-ADA69177915D}">
            <xm:f>AND(Unformatted!$F$132=4,$D$16&lt;&gt;"")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D16:F16 H16:K16</xm:sqref>
        </x14:conditionalFormatting>
        <x14:conditionalFormatting xmlns:xm="http://schemas.microsoft.com/office/excel/2006/main">
          <x14:cfRule type="expression" priority="4892" id="{89152388-3EAE-4E75-B5DD-EEF94B8D7C64}">
            <xm:f>Unformatted!$F$132=0</xm:f>
            <x14:dxf>
              <font>
                <b/>
                <i val="0"/>
                <color rgb="FFFF0000"/>
              </font>
            </x14:dxf>
          </x14:cfRule>
          <xm:sqref>D10 D12:F12</xm:sqref>
        </x14:conditionalFormatting>
        <x14:conditionalFormatting xmlns:xm="http://schemas.microsoft.com/office/excel/2006/main">
          <x14:cfRule type="expression" priority="4910" id="{45917CCD-796E-4F05-8268-A1D1E8032911}">
            <xm:f>AND(Unformatted!$F$132=5,D17&lt;&gt;"")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D17:F17 H17:K17</xm:sqref>
        </x14:conditionalFormatting>
        <x14:conditionalFormatting xmlns:xm="http://schemas.microsoft.com/office/excel/2006/main">
          <x14:cfRule type="expression" priority="3" id="{A5877AEC-C541-4051-AB0E-2CA9119D10D2}">
            <xm:f>Unformatted!$C$139=1</xm:f>
            <x14:dxf>
              <font>
                <b/>
                <i val="0"/>
                <color rgb="FFFF0000"/>
              </font>
            </x14:dxf>
          </x14:cfRule>
          <xm:sqref>D22</xm:sqref>
        </x14:conditionalFormatting>
        <x14:conditionalFormatting xmlns:xm="http://schemas.microsoft.com/office/excel/2006/main">
          <x14:cfRule type="expression" priority="2" id="{A0FE47DB-D089-4DCF-91FC-BE1BB9E3D72A}">
            <xm:f>Unformatted!$C$130=1</xm:f>
            <x14:dxf>
              <font>
                <b/>
                <i val="0"/>
                <color rgb="FFFF0000"/>
              </font>
            </x14:dxf>
          </x14:cfRule>
          <xm:sqref>I8</xm:sqref>
        </x14:conditionalFormatting>
        <x14:conditionalFormatting xmlns:xm="http://schemas.microsoft.com/office/excel/2006/main">
          <x14:cfRule type="expression" priority="1" id="{99B0D4E8-B96D-4D88-8CC4-30B13FB5051B}">
            <xm:f>Unformatted!$C$141</xm:f>
            <x14:dxf>
              <font>
                <b/>
                <i val="0"/>
                <color rgb="FFFF0000"/>
              </font>
            </x14:dxf>
          </x14:cfRule>
          <xm:sqref>H20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J98"/>
  <sheetViews>
    <sheetView showGridLines="0" showRowColHeaders="0" zoomScaleNormal="100" workbookViewId="0">
      <selection activeCell="E8" sqref="E8"/>
    </sheetView>
  </sheetViews>
  <sheetFormatPr defaultColWidth="9.140625" defaultRowHeight="15" x14ac:dyDescent="0.25"/>
  <cols>
    <col min="1" max="1" width="1.85546875" customWidth="1"/>
    <col min="2" max="2" width="2.28515625" customWidth="1"/>
    <col min="3" max="3" width="2.28515625" style="408" customWidth="1"/>
    <col min="4" max="4" width="9.7109375" style="408" customWidth="1"/>
    <col min="5" max="5" width="10" customWidth="1"/>
    <col min="6" max="6" width="4.42578125" customWidth="1"/>
    <col min="7" max="7" width="9.85546875" customWidth="1"/>
    <col min="8" max="8" width="3.7109375" customWidth="1"/>
    <col min="9" max="9" width="2.85546875" customWidth="1"/>
    <col min="10" max="11" width="5.42578125" customWidth="1"/>
    <col min="12" max="12" width="8.85546875" customWidth="1"/>
    <col min="13" max="13" width="1.42578125" style="408" customWidth="1"/>
    <col min="14" max="14" width="10" customWidth="1"/>
    <col min="15" max="15" width="2.140625" style="408" customWidth="1"/>
    <col min="16" max="16" width="10" customWidth="1"/>
    <col min="17" max="17" width="5.42578125" customWidth="1"/>
    <col min="18" max="18" width="10" customWidth="1"/>
    <col min="19" max="20" width="2.140625" customWidth="1"/>
    <col min="21" max="21" width="2.28515625" customWidth="1"/>
    <col min="22" max="22" width="5.85546875" customWidth="1"/>
    <col min="23" max="23" width="8.28515625" customWidth="1"/>
    <col min="24" max="24" width="10" customWidth="1"/>
    <col min="25" max="25" width="2" customWidth="1"/>
    <col min="26" max="26" width="10" customWidth="1"/>
    <col min="27" max="27" width="2.140625" customWidth="1"/>
    <col min="28" max="28" width="10" customWidth="1"/>
    <col min="29" max="29" width="2.140625" customWidth="1"/>
    <col min="30" max="30" width="10" customWidth="1"/>
    <col min="31" max="31" width="17.42578125" customWidth="1"/>
  </cols>
  <sheetData>
    <row r="1" spans="1:62" s="611" customFormat="1" x14ac:dyDescent="0.25">
      <c r="C1" s="2"/>
      <c r="D1" s="2"/>
      <c r="E1" s="2"/>
      <c r="F1" s="2"/>
      <c r="G1" s="2"/>
      <c r="K1" s="2"/>
      <c r="L1" s="2"/>
      <c r="M1" s="2"/>
    </row>
    <row r="2" spans="1:62" s="611" customFormat="1" ht="23.25" x14ac:dyDescent="0.25">
      <c r="A2" s="107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</row>
    <row r="3" spans="1:62" s="611" customFormat="1" ht="15.75" thickBot="1" x14ac:dyDescent="0.3">
      <c r="B3" s="43" t="str">
        <f>IF(Unformatted!C156&gt;0,"WARNING: Items highlighted in red are required.","")</f>
        <v>WARNING: Items highlighted in red are required.</v>
      </c>
      <c r="C3" s="429"/>
      <c r="E3" s="409"/>
      <c r="F3" s="409"/>
      <c r="G3" s="419"/>
      <c r="I3" s="430"/>
      <c r="J3" s="430"/>
      <c r="K3" s="419"/>
      <c r="L3" s="396"/>
      <c r="M3" s="410"/>
      <c r="N3" s="419"/>
      <c r="O3" s="396"/>
      <c r="P3" s="396"/>
      <c r="Q3" s="410"/>
      <c r="R3" s="409"/>
      <c r="S3" s="419"/>
      <c r="X3" s="611" t="str">
        <f>IF(Unformatted!I157=1,"",IF(Unformatted!F157="&lt;20","ALERT: GROUNDED - DO NOT TEST RUN.",IF(Unformatted!H157&lt;Tolerances!W2,"ALERT: GROUNDED - DO NOT TEST RUN.","")))</f>
        <v/>
      </c>
    </row>
    <row r="4" spans="1:62" ht="24" thickBot="1" x14ac:dyDescent="0.3">
      <c r="B4" s="962" t="s">
        <v>270</v>
      </c>
      <c r="C4" s="963"/>
      <c r="D4" s="963"/>
      <c r="E4" s="963"/>
      <c r="F4" s="963"/>
      <c r="G4" s="963"/>
      <c r="H4" s="963"/>
      <c r="I4" s="963"/>
      <c r="J4" s="963"/>
      <c r="K4" s="963"/>
      <c r="L4" s="963"/>
      <c r="M4" s="963"/>
      <c r="N4" s="963"/>
      <c r="O4" s="963"/>
      <c r="P4" s="963"/>
      <c r="Q4" s="963"/>
      <c r="R4" s="963"/>
      <c r="S4" s="963"/>
      <c r="T4" s="964"/>
      <c r="V4" s="962" t="s">
        <v>271</v>
      </c>
      <c r="W4" s="963"/>
      <c r="X4" s="963"/>
      <c r="Y4" s="963"/>
      <c r="Z4" s="963"/>
      <c r="AA4" s="963"/>
      <c r="AB4" s="963"/>
      <c r="AC4" s="963"/>
      <c r="AD4" s="963"/>
      <c r="AE4" s="964"/>
    </row>
    <row r="5" spans="1:62" ht="7.5" customHeight="1" thickBot="1" x14ac:dyDescent="0.3">
      <c r="B5" s="11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6"/>
      <c r="R5" s="396"/>
      <c r="S5" s="396"/>
      <c r="T5" s="4"/>
      <c r="V5" s="11"/>
      <c r="W5" s="396"/>
      <c r="X5" s="409"/>
      <c r="Y5" s="410"/>
      <c r="Z5" s="419"/>
      <c r="AA5" s="396"/>
      <c r="AB5" s="410"/>
      <c r="AC5" s="396"/>
      <c r="AD5" s="396"/>
      <c r="AE5" s="132"/>
      <c r="AF5" s="7"/>
      <c r="AH5" s="3"/>
      <c r="AI5" s="2"/>
      <c r="AJ5" s="7"/>
      <c r="AL5" s="3"/>
      <c r="AM5" s="7"/>
      <c r="AO5" s="3"/>
      <c r="AP5" s="7"/>
      <c r="AS5" s="2"/>
      <c r="AT5" s="7"/>
      <c r="AV5" s="3"/>
      <c r="AW5" s="7"/>
      <c r="AY5" s="3"/>
      <c r="AZ5" s="7"/>
      <c r="BB5" s="3"/>
      <c r="BC5" s="2"/>
      <c r="BD5" s="7"/>
      <c r="BF5" s="3"/>
      <c r="BG5" s="7"/>
      <c r="BI5" s="3"/>
      <c r="BJ5" s="7"/>
    </row>
    <row r="6" spans="1:62" ht="22.5" customHeight="1" thickBot="1" x14ac:dyDescent="0.3">
      <c r="B6" s="11"/>
      <c r="C6" s="396"/>
      <c r="D6" s="1030" t="s">
        <v>239</v>
      </c>
      <c r="E6" s="1030"/>
      <c r="F6" s="1030"/>
      <c r="G6" s="1030"/>
      <c r="H6" s="1030"/>
      <c r="I6" s="396"/>
      <c r="J6" s="1030" t="s">
        <v>243</v>
      </c>
      <c r="K6" s="1030"/>
      <c r="L6" s="1030"/>
      <c r="M6" s="1030"/>
      <c r="N6" s="1030"/>
      <c r="O6" s="1030"/>
      <c r="P6" s="1030"/>
      <c r="Q6" s="1030"/>
      <c r="R6" s="1030"/>
      <c r="S6" s="1030"/>
      <c r="T6" s="4"/>
      <c r="V6" s="142"/>
      <c r="W6" s="444" t="s">
        <v>438</v>
      </c>
      <c r="X6" s="104" t="str">
        <f>Unformatted!E176</f>
        <v>ERROR</v>
      </c>
      <c r="Y6" s="396"/>
      <c r="Z6" s="454"/>
      <c r="AA6" s="396"/>
      <c r="AB6" s="396"/>
      <c r="AC6" s="444" t="s">
        <v>453</v>
      </c>
      <c r="AD6" s="97" t="str">
        <f>Unformatted!E177</f>
        <v>ERROR</v>
      </c>
      <c r="AE6" s="4"/>
      <c r="AF6" s="7"/>
      <c r="AH6" s="3"/>
      <c r="AI6" s="2"/>
      <c r="AJ6" s="7"/>
      <c r="AL6" s="3"/>
      <c r="AM6" s="7"/>
      <c r="AO6" s="3"/>
      <c r="AP6" s="7"/>
      <c r="AS6" s="2"/>
      <c r="AT6" s="7"/>
      <c r="AV6" s="3"/>
      <c r="AW6" s="7"/>
      <c r="AY6" s="3"/>
      <c r="AZ6" s="7"/>
      <c r="BB6" s="3"/>
      <c r="BC6" s="2"/>
      <c r="BD6" s="7"/>
      <c r="BF6" s="3"/>
      <c r="BG6" s="7"/>
      <c r="BI6" s="3"/>
      <c r="BJ6" s="7"/>
    </row>
    <row r="7" spans="1:62" ht="5.25" customHeight="1" thickBot="1" x14ac:dyDescent="0.3">
      <c r="B7" s="11"/>
      <c r="C7" s="396"/>
      <c r="D7" s="396"/>
      <c r="E7" s="503"/>
      <c r="F7" s="503"/>
      <c r="G7" s="503"/>
      <c r="H7" s="503"/>
      <c r="I7" s="396"/>
      <c r="J7" s="1030"/>
      <c r="K7" s="1030"/>
      <c r="L7" s="1030"/>
      <c r="M7" s="1030"/>
      <c r="N7" s="1030"/>
      <c r="O7" s="1030"/>
      <c r="P7" s="1030"/>
      <c r="Q7" s="1030"/>
      <c r="R7" s="1030"/>
      <c r="S7" s="1030"/>
      <c r="T7" s="4"/>
      <c r="V7" s="142"/>
      <c r="W7" s="444"/>
      <c r="X7" s="488"/>
      <c r="Y7" s="396"/>
      <c r="Z7" s="454"/>
      <c r="AA7" s="396"/>
      <c r="AB7" s="396"/>
      <c r="AC7" s="444"/>
      <c r="AD7" s="489"/>
      <c r="AE7" s="132"/>
      <c r="AF7" s="7"/>
      <c r="AH7" s="3"/>
      <c r="AI7" s="2"/>
      <c r="AJ7" s="7"/>
      <c r="AL7" s="3"/>
      <c r="AM7" s="7"/>
      <c r="AO7" s="3"/>
      <c r="AP7" s="7"/>
      <c r="AS7" s="2"/>
      <c r="AT7" s="7"/>
      <c r="AV7" s="3"/>
      <c r="AW7" s="7"/>
      <c r="AY7" s="3"/>
      <c r="AZ7" s="7"/>
      <c r="BB7" s="3"/>
      <c r="BC7" s="2"/>
      <c r="BD7" s="7"/>
      <c r="BF7" s="3"/>
      <c r="BG7" s="7"/>
      <c r="BI7" s="3"/>
      <c r="BJ7" s="7"/>
    </row>
    <row r="8" spans="1:62" ht="22.5" customHeight="1" thickBot="1" x14ac:dyDescent="0.3">
      <c r="B8" s="11"/>
      <c r="C8" s="1038" t="s">
        <v>610</v>
      </c>
      <c r="D8" s="1038"/>
      <c r="E8" s="86"/>
      <c r="F8" s="443"/>
      <c r="G8" s="396"/>
      <c r="H8" s="445"/>
      <c r="I8" s="393"/>
      <c r="J8" s="396"/>
      <c r="K8" s="396"/>
      <c r="L8" s="444" t="s">
        <v>365</v>
      </c>
      <c r="M8" s="396"/>
      <c r="N8" s="202"/>
      <c r="O8" s="444"/>
      <c r="Q8" s="396"/>
      <c r="R8" s="396"/>
      <c r="S8" s="396"/>
      <c r="T8" s="4"/>
      <c r="V8" s="143"/>
      <c r="W8" s="396"/>
      <c r="X8" s="455" t="s">
        <v>225</v>
      </c>
      <c r="Y8" s="393"/>
      <c r="Z8" s="490" t="s">
        <v>226</v>
      </c>
      <c r="AA8" s="393"/>
      <c r="AB8" s="455" t="s">
        <v>227</v>
      </c>
      <c r="AC8" s="491"/>
      <c r="AD8" s="491"/>
      <c r="AE8" s="144"/>
      <c r="AF8" s="7"/>
      <c r="AH8" s="3"/>
      <c r="AI8" s="2"/>
      <c r="AJ8" s="7"/>
      <c r="AL8" s="3"/>
      <c r="AM8" s="7"/>
      <c r="AO8" s="3"/>
      <c r="AP8" s="7"/>
      <c r="AS8" s="2"/>
      <c r="AT8" s="7"/>
      <c r="AV8" s="3"/>
      <c r="AW8" s="7"/>
      <c r="AY8" s="3"/>
      <c r="AZ8" s="7"/>
      <c r="BB8" s="3"/>
      <c r="BC8" s="2"/>
      <c r="BD8" s="7"/>
      <c r="BF8" s="3"/>
      <c r="BG8" s="7"/>
      <c r="BI8" s="3"/>
      <c r="BJ8" s="7"/>
    </row>
    <row r="9" spans="1:62" ht="5.25" customHeight="1" thickBot="1" x14ac:dyDescent="0.3">
      <c r="B9" s="11"/>
      <c r="C9" s="1038"/>
      <c r="D9" s="1038"/>
      <c r="E9" s="443"/>
      <c r="F9" s="443"/>
      <c r="G9" s="396"/>
      <c r="H9" s="396"/>
      <c r="I9" s="412"/>
      <c r="J9" s="396"/>
      <c r="K9" s="467"/>
      <c r="L9" s="396"/>
      <c r="M9" s="396"/>
      <c r="N9" s="396"/>
      <c r="O9" s="396"/>
      <c r="P9" s="409"/>
      <c r="Q9" s="396"/>
      <c r="R9" s="396"/>
      <c r="S9" s="396"/>
      <c r="T9" s="4"/>
      <c r="V9" s="143" t="b">
        <f>AND(Unformatted!$E$48="COMPLETE",OR(X10=0,Z10=0,AB10=0))</f>
        <v>0</v>
      </c>
      <c r="W9" s="492"/>
      <c r="X9" s="396"/>
      <c r="Y9" s="396"/>
      <c r="Z9" s="396"/>
      <c r="AA9" s="396"/>
      <c r="AB9" s="396"/>
      <c r="AC9" s="429"/>
      <c r="AD9" s="493"/>
      <c r="AE9" s="147"/>
      <c r="AF9" s="7"/>
      <c r="AH9" s="3"/>
      <c r="AI9" s="2"/>
      <c r="AJ9" s="7"/>
      <c r="AL9" s="3"/>
      <c r="AM9" s="7"/>
      <c r="AO9" s="3"/>
      <c r="AP9" s="7"/>
      <c r="AS9" s="2"/>
      <c r="AT9" s="7"/>
      <c r="AV9" s="3"/>
      <c r="AW9" s="7"/>
      <c r="AY9" s="3"/>
      <c r="AZ9" s="7"/>
      <c r="BB9" s="3"/>
      <c r="BC9" s="2"/>
      <c r="BD9" s="7"/>
      <c r="BF9" s="3"/>
      <c r="BG9" s="7"/>
      <c r="BI9" s="3"/>
      <c r="BJ9" s="7"/>
    </row>
    <row r="10" spans="1:62" ht="22.5" customHeight="1" thickBot="1" x14ac:dyDescent="0.3">
      <c r="B10" s="11"/>
      <c r="C10" s="396"/>
      <c r="D10" s="444" t="s">
        <v>409</v>
      </c>
      <c r="E10" s="88" t="str">
        <f>Unformatted!E158</f>
        <v/>
      </c>
      <c r="F10" s="396"/>
      <c r="G10" s="396"/>
      <c r="H10" s="396"/>
      <c r="I10" s="396"/>
      <c r="J10" s="396"/>
      <c r="K10" s="467"/>
      <c r="L10" s="444" t="s">
        <v>1209</v>
      </c>
      <c r="M10" s="444"/>
      <c r="N10" s="396"/>
      <c r="O10" s="396"/>
      <c r="P10" s="396"/>
      <c r="Q10" s="409"/>
      <c r="S10" s="396"/>
      <c r="T10" s="4"/>
      <c r="V10" s="143"/>
      <c r="W10" s="444" t="s">
        <v>439</v>
      </c>
      <c r="X10" s="98"/>
      <c r="Y10" s="494"/>
      <c r="Z10" s="98"/>
      <c r="AA10" s="495"/>
      <c r="AB10" s="98"/>
      <c r="AC10" s="493"/>
      <c r="AD10" s="396"/>
      <c r="AE10" s="147"/>
      <c r="AF10" s="7"/>
      <c r="AH10" s="3"/>
      <c r="AI10" s="2"/>
      <c r="AJ10" s="7"/>
      <c r="AL10" s="3"/>
      <c r="AM10" s="7"/>
      <c r="AO10" s="3"/>
      <c r="AP10" s="7"/>
      <c r="AS10" s="2"/>
      <c r="AT10" s="7"/>
      <c r="AV10" s="3"/>
      <c r="AW10" s="7"/>
      <c r="AY10" s="3"/>
      <c r="AZ10" s="7"/>
      <c r="BB10" s="3"/>
      <c r="BC10" s="2"/>
      <c r="BD10" s="7"/>
      <c r="BF10" s="3"/>
      <c r="BG10" s="7"/>
      <c r="BI10" s="3"/>
      <c r="BJ10" s="7"/>
    </row>
    <row r="11" spans="1:62" ht="11.25" customHeight="1" x14ac:dyDescent="0.25">
      <c r="B11" s="11"/>
      <c r="C11" s="1036" t="str">
        <f>IF(Unformatted!I157=1,"",IF(Unformatted!F157="&lt;20","ALERT: GROUNDED - DO NOT TEST RUN.",IF(Unformatted!H157&lt;Tolerances!W2,"ALERT: GROUNDED - DO NOT TEST RUN.","")))</f>
        <v/>
      </c>
      <c r="D11" s="1036"/>
      <c r="E11" s="1036"/>
      <c r="F11" s="1036"/>
      <c r="G11" s="1036"/>
      <c r="H11" s="1036"/>
      <c r="I11" s="396"/>
      <c r="J11" s="396"/>
      <c r="K11" s="467"/>
      <c r="L11" s="396"/>
      <c r="M11" s="396"/>
      <c r="N11" s="410"/>
      <c r="O11" s="410"/>
      <c r="P11" s="396"/>
      <c r="Q11" s="409"/>
      <c r="R11" s="1040" t="s">
        <v>504</v>
      </c>
      <c r="S11" s="396"/>
      <c r="T11" s="4"/>
      <c r="V11" s="143"/>
      <c r="W11" s="396"/>
      <c r="X11" s="496"/>
      <c r="Y11" s="494"/>
      <c r="Z11" s="496"/>
      <c r="AA11" s="495"/>
      <c r="AB11" s="496"/>
      <c r="AC11" s="493"/>
      <c r="AD11" s="396"/>
      <c r="AE11" s="147"/>
      <c r="AF11" s="7"/>
      <c r="AH11" s="3"/>
      <c r="AI11" s="2"/>
      <c r="AJ11" s="7"/>
      <c r="AL11" s="3"/>
      <c r="AM11" s="7"/>
      <c r="AO11" s="3"/>
      <c r="AP11" s="7"/>
      <c r="AS11" s="2"/>
      <c r="AT11" s="7"/>
      <c r="AV11" s="3"/>
      <c r="AW11" s="7"/>
      <c r="AY11" s="3"/>
      <c r="AZ11" s="7"/>
      <c r="BB11" s="3"/>
      <c r="BC11" s="2"/>
      <c r="BD11" s="7"/>
      <c r="BF11" s="3"/>
      <c r="BG11" s="7"/>
      <c r="BI11" s="3"/>
      <c r="BJ11" s="7"/>
    </row>
    <row r="12" spans="1:62" s="437" customFormat="1" ht="11.25" customHeight="1" thickBot="1" x14ac:dyDescent="0.3">
      <c r="B12" s="11"/>
      <c r="C12" s="1036"/>
      <c r="D12" s="1036"/>
      <c r="E12" s="1036"/>
      <c r="F12" s="1036"/>
      <c r="G12" s="1036"/>
      <c r="H12" s="1036"/>
      <c r="I12" s="396"/>
      <c r="J12" s="396"/>
      <c r="K12" s="467"/>
      <c r="L12" s="396"/>
      <c r="M12" s="396"/>
      <c r="N12" s="410"/>
      <c r="O12" s="410"/>
      <c r="P12" s="396"/>
      <c r="Q12" s="409"/>
      <c r="R12" s="1041"/>
      <c r="S12" s="396"/>
      <c r="T12" s="4"/>
      <c r="V12" s="143"/>
      <c r="W12" s="396"/>
      <c r="X12" s="496"/>
      <c r="Y12" s="494"/>
      <c r="Z12" s="496"/>
      <c r="AA12" s="495"/>
      <c r="AB12" s="496"/>
      <c r="AC12" s="493"/>
      <c r="AD12" s="396"/>
      <c r="AE12" s="147"/>
      <c r="AF12" s="7"/>
      <c r="AH12" s="436"/>
      <c r="AI12" s="2"/>
      <c r="AJ12" s="7"/>
      <c r="AL12" s="436"/>
      <c r="AM12" s="7"/>
      <c r="AO12" s="436"/>
      <c r="AP12" s="7"/>
      <c r="AS12" s="2"/>
      <c r="AT12" s="7"/>
      <c r="AV12" s="436"/>
      <c r="AW12" s="7"/>
      <c r="AY12" s="436"/>
      <c r="AZ12" s="7"/>
      <c r="BB12" s="436"/>
      <c r="BC12" s="2"/>
      <c r="BD12" s="7"/>
      <c r="BF12" s="436"/>
      <c r="BG12" s="7"/>
      <c r="BI12" s="436"/>
      <c r="BJ12" s="7"/>
    </row>
    <row r="13" spans="1:62" ht="22.5" customHeight="1" thickBot="1" x14ac:dyDescent="0.4">
      <c r="B13" s="1037" t="s">
        <v>375</v>
      </c>
      <c r="C13" s="1030"/>
      <c r="D13" s="1030"/>
      <c r="E13" s="1030"/>
      <c r="F13" s="1030"/>
      <c r="G13" s="1030"/>
      <c r="H13" s="1030"/>
      <c r="I13" s="396"/>
      <c r="J13" s="396"/>
      <c r="K13" s="396"/>
      <c r="L13" s="444" t="s">
        <v>407</v>
      </c>
      <c r="M13" s="396"/>
      <c r="N13" s="96"/>
      <c r="O13" s="640"/>
      <c r="P13" s="396"/>
      <c r="Q13" s="396"/>
      <c r="R13" s="943"/>
      <c r="S13" s="396"/>
      <c r="T13" s="4"/>
      <c r="V13" s="11"/>
      <c r="W13" s="501" t="str">
        <f>IFERROR(IF(AND(Unformatted!E178,Unformatted!K182&lt;=1),"",IF(AND(AD6&lt;&gt;0,X10&lt;&gt;0,Z10&lt;&gt;0,AB10&lt;&gt;0,Unformatted!K182&gt;Tolerances!AC3),"ALERT: Current = "&amp;ROUND(100*Unformatted!K182,1)&amp;"% of nameplate.","")),"")</f>
        <v/>
      </c>
      <c r="X13" s="429"/>
      <c r="Y13" s="396"/>
      <c r="Z13" s="396"/>
      <c r="AA13" s="396"/>
      <c r="AB13" s="396"/>
      <c r="AC13" s="396"/>
      <c r="AD13" s="454" t="s">
        <v>578</v>
      </c>
      <c r="AE13" s="119"/>
      <c r="AF13" s="7"/>
      <c r="AH13" s="3"/>
      <c r="AI13" s="2"/>
      <c r="AJ13" s="7"/>
      <c r="AL13" s="3"/>
      <c r="AM13" s="7"/>
      <c r="AO13" s="3"/>
      <c r="AP13" s="7"/>
      <c r="AS13" s="2"/>
      <c r="AT13" s="7"/>
      <c r="AV13" s="3"/>
      <c r="AW13" s="7"/>
      <c r="AY13" s="3"/>
      <c r="AZ13" s="7"/>
      <c r="BB13" s="3"/>
      <c r="BC13" s="2"/>
      <c r="BD13" s="7"/>
      <c r="BF13" s="3"/>
      <c r="BG13" s="7"/>
      <c r="BI13" s="3"/>
      <c r="BJ13" s="7"/>
    </row>
    <row r="14" spans="1:62" s="437" customFormat="1" ht="5.25" customHeight="1" x14ac:dyDescent="0.25">
      <c r="B14" s="11"/>
      <c r="C14" s="396"/>
      <c r="D14" s="506"/>
      <c r="E14" s="506"/>
      <c r="F14" s="506"/>
      <c r="G14" s="506"/>
      <c r="H14" s="506"/>
      <c r="I14" s="396"/>
      <c r="J14" s="396"/>
      <c r="K14" s="396"/>
      <c r="L14" s="444"/>
      <c r="M14" s="641"/>
      <c r="N14" s="640"/>
      <c r="O14" s="640"/>
      <c r="P14" s="396"/>
      <c r="Q14" s="396"/>
      <c r="R14" s="396"/>
      <c r="S14" s="396"/>
      <c r="T14" s="4"/>
      <c r="V14" s="11"/>
      <c r="W14" s="501"/>
      <c r="X14" s="429"/>
      <c r="Y14" s="396"/>
      <c r="Z14" s="396"/>
      <c r="AA14" s="396"/>
      <c r="AB14" s="396"/>
      <c r="AC14" s="396"/>
      <c r="AD14" s="454"/>
      <c r="AE14" s="119"/>
      <c r="AF14" s="7"/>
      <c r="AH14" s="436"/>
      <c r="AI14" s="2"/>
      <c r="AJ14" s="7"/>
      <c r="AL14" s="436"/>
      <c r="AM14" s="7"/>
      <c r="AO14" s="436"/>
      <c r="AP14" s="7"/>
      <c r="AS14" s="2"/>
      <c r="AT14" s="7"/>
      <c r="AV14" s="436"/>
      <c r="AW14" s="7"/>
      <c r="AY14" s="436"/>
      <c r="AZ14" s="7"/>
      <c r="BB14" s="436"/>
      <c r="BC14" s="2"/>
      <c r="BD14" s="7"/>
      <c r="BF14" s="436"/>
      <c r="BG14" s="7"/>
      <c r="BI14" s="436"/>
      <c r="BJ14" s="7"/>
    </row>
    <row r="15" spans="1:62" ht="18.75" customHeight="1" thickBot="1" x14ac:dyDescent="0.3">
      <c r="B15" s="11"/>
      <c r="C15" s="1031" t="str">
        <f>IF(Unformatted!F157="","",IF(OR(Unformatted!I157=1,AND(Unformatted!I160=1,Unformatted!F160&lt;&gt;""),AND(Unformatted!I161=1,Unformatted!F161&lt;&gt;""),AND(Unformatted!I162=1,Unformatted!F162&lt;&gt;"")),"ALERT: Select resistance units.",""))</f>
        <v/>
      </c>
      <c r="D15" s="1031"/>
      <c r="E15" s="1031"/>
      <c r="F15" s="1031"/>
      <c r="G15" s="1031"/>
      <c r="H15" s="1031"/>
      <c r="I15" s="396"/>
      <c r="J15" s="1032" t="s">
        <v>1210</v>
      </c>
      <c r="K15" s="1032"/>
      <c r="L15" s="1032"/>
      <c r="M15" s="1032"/>
      <c r="N15" s="1032"/>
      <c r="O15" s="1032"/>
      <c r="P15" s="1032"/>
      <c r="Q15" s="1032"/>
      <c r="R15" s="1032"/>
      <c r="S15" s="1032"/>
      <c r="T15" s="4"/>
      <c r="V15" s="148"/>
      <c r="W15" s="502" t="str">
        <f>IFERROR(IF(AND(AD6&lt;&gt;0,X10&lt;&gt;0,Z10&lt;&gt;0,AB10&lt;&gt;0,Unformatted!J182&gt;Tolerances!AC2),"ALERT: Current differential = "&amp;ROUND(100*Unformatted!J182,1)&amp;"%.",""),"")</f>
        <v/>
      </c>
      <c r="X15" s="396"/>
      <c r="Y15" s="396"/>
      <c r="Z15" s="396"/>
      <c r="AA15" s="396"/>
      <c r="AB15" s="396"/>
      <c r="AC15" s="396"/>
      <c r="AD15" s="396"/>
      <c r="AE15" s="132"/>
      <c r="AF15" s="7"/>
      <c r="AH15" s="3"/>
      <c r="AI15" s="2"/>
      <c r="AJ15" s="7"/>
      <c r="AL15" s="3"/>
      <c r="AM15" s="7"/>
      <c r="AO15" s="3"/>
      <c r="AP15" s="7"/>
      <c r="AS15" s="2"/>
      <c r="AT15" s="7"/>
      <c r="AV15" s="3"/>
      <c r="AW15" s="7"/>
      <c r="AY15" s="3"/>
      <c r="AZ15" s="7"/>
      <c r="BB15" s="3"/>
      <c r="BC15" s="2"/>
      <c r="BD15" s="7"/>
      <c r="BF15" s="3"/>
      <c r="BG15" s="7"/>
      <c r="BI15" s="3"/>
      <c r="BJ15" s="7"/>
    </row>
    <row r="16" spans="1:62" ht="22.5" customHeight="1" thickBot="1" x14ac:dyDescent="0.3">
      <c r="B16" s="11"/>
      <c r="C16" s="396"/>
      <c r="D16" s="455" t="s">
        <v>240</v>
      </c>
      <c r="E16" s="94"/>
      <c r="F16" s="504"/>
      <c r="G16" s="504"/>
      <c r="H16" s="504"/>
      <c r="I16" s="504"/>
      <c r="J16" s="396"/>
      <c r="K16" s="467"/>
      <c r="L16" s="396"/>
      <c r="M16" s="396"/>
      <c r="N16" s="411" t="s">
        <v>190</v>
      </c>
      <c r="O16" s="396"/>
      <c r="P16" s="411" t="s">
        <v>1205</v>
      </c>
      <c r="Q16" s="393"/>
      <c r="R16" s="455"/>
      <c r="S16" s="396"/>
      <c r="T16" s="4"/>
      <c r="V16" s="11"/>
      <c r="W16" s="1039" t="s">
        <v>611</v>
      </c>
      <c r="X16" s="1039"/>
      <c r="Y16" s="1039"/>
      <c r="Z16" s="1039"/>
      <c r="AA16" s="396"/>
      <c r="AB16" s="396"/>
      <c r="AC16" s="396"/>
      <c r="AD16" s="396"/>
      <c r="AE16" s="132"/>
      <c r="AF16" s="7"/>
      <c r="AH16" s="3"/>
      <c r="AI16" s="2"/>
      <c r="AJ16" s="7"/>
      <c r="AL16" s="3"/>
      <c r="AM16" s="7"/>
      <c r="AO16" s="3"/>
      <c r="AP16" s="7"/>
      <c r="AS16" s="2"/>
      <c r="AT16" s="7"/>
      <c r="AV16" s="3"/>
      <c r="AW16" s="7"/>
      <c r="AY16" s="3"/>
      <c r="AZ16" s="7"/>
      <c r="BB16" s="3"/>
      <c r="BC16" s="2"/>
      <c r="BD16" s="7"/>
      <c r="BF16" s="3"/>
      <c r="BG16" s="7"/>
      <c r="BI16" s="3"/>
      <c r="BJ16" s="7"/>
    </row>
    <row r="17" spans="1:62" ht="5.25" customHeight="1" thickBot="1" x14ac:dyDescent="0.3">
      <c r="B17" s="11"/>
      <c r="C17" s="396"/>
      <c r="D17" s="396"/>
      <c r="E17" s="396"/>
      <c r="F17" s="396"/>
      <c r="G17" s="396"/>
      <c r="H17" s="396"/>
      <c r="I17" s="396"/>
      <c r="J17" s="396"/>
      <c r="K17" s="467" t="b">
        <f>AND(Unformatted!$E$48="COMPLETE",$N$13=0)</f>
        <v>0</v>
      </c>
      <c r="L17" s="396"/>
      <c r="M17" s="396"/>
      <c r="N17" s="396"/>
      <c r="O17" s="396"/>
      <c r="P17" s="396"/>
      <c r="Q17" s="396"/>
      <c r="R17" s="1033" t="s">
        <v>1189</v>
      </c>
      <c r="S17" s="396"/>
      <c r="T17" s="4"/>
      <c r="V17" s="11"/>
      <c r="W17" s="1039"/>
      <c r="X17" s="1039"/>
      <c r="Y17" s="1039"/>
      <c r="Z17" s="1039"/>
      <c r="AA17" s="396"/>
      <c r="AB17" s="396"/>
      <c r="AC17" s="396"/>
      <c r="AD17" s="396"/>
      <c r="AE17" s="132"/>
      <c r="AF17" s="7"/>
      <c r="AH17" s="3"/>
      <c r="AI17" s="2"/>
      <c r="AJ17" s="2"/>
      <c r="AL17" s="3"/>
      <c r="AM17" s="7"/>
      <c r="AO17" s="3"/>
      <c r="AP17" s="7"/>
      <c r="AS17" s="2"/>
      <c r="AT17" s="2"/>
      <c r="AV17" s="3"/>
      <c r="AW17" s="7"/>
      <c r="AY17" s="3"/>
      <c r="AZ17" s="7"/>
      <c r="BB17" s="3"/>
      <c r="BC17" s="2"/>
      <c r="BD17" s="2"/>
      <c r="BF17" s="3"/>
      <c r="BG17" s="7"/>
      <c r="BI17" s="3"/>
      <c r="BJ17" s="7"/>
    </row>
    <row r="18" spans="1:62" ht="22.5" customHeight="1" thickBot="1" x14ac:dyDescent="0.3">
      <c r="B18" s="11"/>
      <c r="C18" s="396"/>
      <c r="D18" s="455" t="s">
        <v>241</v>
      </c>
      <c r="E18" s="95"/>
      <c r="F18" s="396"/>
      <c r="G18" s="396"/>
      <c r="H18" s="396"/>
      <c r="I18" s="396"/>
      <c r="J18" s="396"/>
      <c r="K18" s="467"/>
      <c r="L18" s="444" t="s">
        <v>1485</v>
      </c>
      <c r="M18" s="444"/>
      <c r="N18" s="96"/>
      <c r="O18" s="444"/>
      <c r="P18" s="96"/>
      <c r="Q18" s="409"/>
      <c r="R18" s="1033"/>
      <c r="S18" s="396"/>
      <c r="T18" s="4"/>
      <c r="V18" s="149"/>
      <c r="W18" s="396"/>
      <c r="X18" s="490" t="s">
        <v>441</v>
      </c>
      <c r="Y18" s="396"/>
      <c r="Z18" s="490" t="s">
        <v>442</v>
      </c>
      <c r="AA18" s="396"/>
      <c r="AB18" s="396"/>
      <c r="AC18" s="419"/>
      <c r="AD18" s="1034" t="str">
        <f>IF(AND(Unformatted!E187="",Unformatted!L180),"ALERT: Enter note below to explain 'Other Noise'","")</f>
        <v/>
      </c>
      <c r="AE18" s="1035"/>
      <c r="AF18" s="7"/>
      <c r="AH18" s="3"/>
      <c r="AI18" s="2"/>
      <c r="AJ18" s="7"/>
      <c r="AL18" s="3"/>
      <c r="AM18" s="7"/>
      <c r="AO18" s="3"/>
      <c r="AP18" s="7"/>
      <c r="AS18" s="2"/>
      <c r="AT18" s="7"/>
      <c r="AV18" s="3"/>
      <c r="AW18" s="7"/>
      <c r="AY18" s="3"/>
      <c r="AZ18" s="7"/>
      <c r="BB18" s="3"/>
      <c r="BC18" s="2"/>
      <c r="BD18" s="7"/>
      <c r="BF18" s="3"/>
      <c r="BG18" s="7"/>
      <c r="BI18" s="3"/>
      <c r="BJ18" s="7"/>
    </row>
    <row r="19" spans="1:62" ht="5.25" customHeight="1" thickBot="1" x14ac:dyDescent="0.3">
      <c r="B19" s="11"/>
      <c r="C19" s="396"/>
      <c r="D19" s="396"/>
      <c r="E19" s="396"/>
      <c r="F19" s="393"/>
      <c r="G19" s="396"/>
      <c r="H19" s="393"/>
      <c r="I19" s="396"/>
      <c r="J19" s="396"/>
      <c r="K19" s="467" t="b">
        <f>AND(Unformatted!F24,OR($N18=0,P18=0))</f>
        <v>1</v>
      </c>
      <c r="L19" s="396"/>
      <c r="M19" s="396"/>
      <c r="N19" s="396"/>
      <c r="O19" s="396"/>
      <c r="P19" s="396"/>
      <c r="Q19" s="454"/>
      <c r="R19" s="396"/>
      <c r="S19" s="396"/>
      <c r="T19" s="4"/>
      <c r="V19" s="143" t="e">
        <f>AND(Unformatted!$E$48="COMPLETE",OR(X20=0,X22=0,Z20=0,Z22=0,#REF!=0,AB22=0))</f>
        <v>#REF!</v>
      </c>
      <c r="W19" s="396"/>
      <c r="X19" s="396"/>
      <c r="Y19" s="396"/>
      <c r="Z19" s="396"/>
      <c r="AA19" s="396"/>
      <c r="AB19" s="396"/>
      <c r="AC19" s="396"/>
      <c r="AD19" s="1034"/>
      <c r="AE19" s="1035"/>
      <c r="AF19" s="7"/>
      <c r="AH19" s="3"/>
      <c r="AI19" s="2"/>
      <c r="AJ19" s="7"/>
      <c r="AL19" s="3"/>
      <c r="AM19" s="7"/>
      <c r="AO19" s="3"/>
      <c r="AP19" s="7"/>
      <c r="AS19" s="2"/>
      <c r="AT19" s="7"/>
      <c r="AV19" s="3"/>
      <c r="AW19" s="7"/>
      <c r="AY19" s="3"/>
      <c r="AZ19" s="7"/>
      <c r="BB19" s="3"/>
      <c r="BC19" s="2"/>
      <c r="BD19" s="7"/>
      <c r="BF19" s="3"/>
      <c r="BG19" s="7"/>
      <c r="BI19" s="3"/>
      <c r="BJ19" s="7"/>
    </row>
    <row r="20" spans="1:62" ht="22.5" customHeight="1" thickBot="1" x14ac:dyDescent="0.3">
      <c r="B20" s="11"/>
      <c r="C20" s="396"/>
      <c r="D20" s="455" t="s">
        <v>242</v>
      </c>
      <c r="E20" s="95"/>
      <c r="F20" s="393"/>
      <c r="G20" s="396"/>
      <c r="H20" s="393"/>
      <c r="I20" s="396"/>
      <c r="J20" s="396"/>
      <c r="K20" s="467"/>
      <c r="L20" s="444" t="s">
        <v>1484</v>
      </c>
      <c r="M20" s="444"/>
      <c r="N20" s="96"/>
      <c r="O20" s="396"/>
      <c r="P20" s="96"/>
      <c r="Q20" s="454"/>
      <c r="R20" s="96"/>
      <c r="S20" s="396"/>
      <c r="T20" s="4"/>
      <c r="V20" s="143"/>
      <c r="W20" s="497" t="s">
        <v>1459</v>
      </c>
      <c r="X20" s="99"/>
      <c r="Y20" s="498"/>
      <c r="Z20" s="99"/>
      <c r="AA20" s="396"/>
      <c r="AB20" s="490" t="s">
        <v>70</v>
      </c>
      <c r="AC20" s="396"/>
      <c r="AD20" s="429" t="str">
        <f>IF(OR(X20&gt;Tolerances!AE2,Z20&gt;Tolerances!AE2,X22&gt;Tolerances!AE2,Z22&gt;Tolerances!AE2,AB22&gt;Tolerances!AE2),"ALERT: High vibes recorded!","")</f>
        <v/>
      </c>
      <c r="AE20" s="4"/>
      <c r="AF20" s="7"/>
      <c r="AH20" s="3"/>
      <c r="AI20" s="2"/>
      <c r="AJ20" s="7"/>
      <c r="AL20" s="3"/>
      <c r="AM20" s="7"/>
      <c r="AO20" s="3"/>
      <c r="AP20" s="7"/>
      <c r="AS20" s="2"/>
      <c r="AT20" s="7"/>
      <c r="AV20" s="3"/>
      <c r="AW20" s="7"/>
      <c r="AY20" s="3"/>
      <c r="AZ20" s="7"/>
      <c r="BB20" s="3"/>
      <c r="BC20" s="2"/>
      <c r="BD20" s="7"/>
      <c r="BF20" s="3"/>
      <c r="BG20" s="7"/>
      <c r="BI20" s="3"/>
      <c r="BJ20" s="7"/>
    </row>
    <row r="21" spans="1:62" s="437" customFormat="1" ht="5.25" customHeight="1" thickBot="1" x14ac:dyDescent="0.3">
      <c r="B21" s="11"/>
      <c r="C21" s="396"/>
      <c r="D21" s="1031" t="str">
        <f>IFERROR(IF(OR(AND(E16&lt;&gt;0,Unformatted!H160&gt;Tolerances!W3),AND(E18&lt;&gt;0,Unformatted!H161&gt;Tolerances!W3),AND(E20&lt;&gt;0,Unformatted!H162&gt;Tolerances!W3)),"ALERT: Open circuit - DO NOT TEST RUN",""),"")</f>
        <v/>
      </c>
      <c r="E21" s="1031"/>
      <c r="F21" s="1031"/>
      <c r="G21" s="1031"/>
      <c r="H21" s="1031"/>
      <c r="I21" s="396"/>
      <c r="J21" s="396"/>
      <c r="K21" s="467"/>
      <c r="L21" s="444"/>
      <c r="M21" s="444"/>
      <c r="N21" s="640"/>
      <c r="O21" s="396"/>
      <c r="P21" s="640"/>
      <c r="Q21" s="642"/>
      <c r="R21" s="640"/>
      <c r="S21" s="396"/>
      <c r="T21" s="4"/>
      <c r="V21" s="143"/>
      <c r="W21" s="396"/>
      <c r="X21" s="396"/>
      <c r="Y21" s="396"/>
      <c r="Z21" s="396"/>
      <c r="AA21" s="396"/>
      <c r="AB21" s="396"/>
      <c r="AC21" s="396"/>
      <c r="AD21" s="396"/>
      <c r="AE21" s="4"/>
      <c r="AF21" s="7"/>
      <c r="AH21" s="436"/>
      <c r="AI21" s="2"/>
      <c r="AJ21" s="7"/>
      <c r="AL21" s="436"/>
      <c r="AM21" s="7"/>
      <c r="AO21" s="436"/>
      <c r="AP21" s="7"/>
      <c r="AS21" s="2"/>
      <c r="AT21" s="7"/>
      <c r="AV21" s="436"/>
      <c r="AW21" s="7"/>
      <c r="AY21" s="436"/>
      <c r="AZ21" s="7"/>
      <c r="BB21" s="436"/>
      <c r="BC21" s="2"/>
      <c r="BD21" s="7"/>
      <c r="BF21" s="436"/>
      <c r="BG21" s="7"/>
      <c r="BI21" s="436"/>
      <c r="BJ21" s="7"/>
    </row>
    <row r="22" spans="1:62" ht="22.5" customHeight="1" thickBot="1" x14ac:dyDescent="0.3">
      <c r="B22" s="11"/>
      <c r="C22" s="396"/>
      <c r="D22" s="1031"/>
      <c r="E22" s="1031"/>
      <c r="F22" s="1031"/>
      <c r="G22" s="1031"/>
      <c r="H22" s="1031"/>
      <c r="I22" s="396"/>
      <c r="J22" s="504" t="s">
        <v>244</v>
      </c>
      <c r="K22" s="467"/>
      <c r="L22" s="396"/>
      <c r="M22" s="396"/>
      <c r="N22" s="396"/>
      <c r="O22" s="444"/>
      <c r="P22" s="396"/>
      <c r="Q22" s="396"/>
      <c r="R22" s="396"/>
      <c r="S22" s="419"/>
      <c r="T22" s="4"/>
      <c r="U22" s="29"/>
      <c r="V22" s="151"/>
      <c r="W22" s="497" t="s">
        <v>1460</v>
      </c>
      <c r="X22" s="99"/>
      <c r="Y22" s="396"/>
      <c r="Z22" s="99"/>
      <c r="AA22" s="396"/>
      <c r="AB22" s="99"/>
      <c r="AC22" s="412"/>
      <c r="AD22" s="396"/>
      <c r="AE22" s="4"/>
      <c r="AF22" s="7"/>
      <c r="AH22" s="3"/>
      <c r="AI22" s="2"/>
      <c r="AJ22" s="7"/>
      <c r="AL22" s="3"/>
      <c r="AM22" s="7"/>
      <c r="AO22" s="3"/>
      <c r="AP22" s="7"/>
      <c r="AS22" s="2"/>
      <c r="AT22" s="7"/>
      <c r="AV22" s="3"/>
      <c r="AW22" s="7"/>
      <c r="AY22" s="3"/>
      <c r="AZ22" s="7"/>
      <c r="BB22" s="3"/>
      <c r="BC22" s="2"/>
      <c r="BD22" s="7"/>
      <c r="BF22" s="3"/>
      <c r="BG22" s="7"/>
      <c r="BI22" s="3"/>
      <c r="BJ22" s="7"/>
    </row>
    <row r="23" spans="1:62" s="437" customFormat="1" ht="7.5" customHeight="1" x14ac:dyDescent="0.25">
      <c r="B23" s="11"/>
      <c r="C23" s="396"/>
      <c r="E23" s="487"/>
      <c r="F23" s="487"/>
      <c r="G23" s="487"/>
      <c r="H23" s="487"/>
      <c r="I23" s="487"/>
      <c r="J23" s="396"/>
      <c r="K23" s="467"/>
      <c r="L23" s="396"/>
      <c r="M23" s="396"/>
      <c r="N23" s="396"/>
      <c r="O23" s="444"/>
      <c r="P23" s="396"/>
      <c r="Q23" s="396"/>
      <c r="R23" s="396"/>
      <c r="S23" s="419"/>
      <c r="T23" s="4"/>
      <c r="U23" s="29"/>
      <c r="V23" s="151"/>
      <c r="W23" s="1029" t="s">
        <v>245</v>
      </c>
      <c r="X23" s="1029"/>
      <c r="Y23" s="1029"/>
      <c r="Z23" s="1029"/>
      <c r="AA23" s="1029"/>
      <c r="AB23" s="1029"/>
      <c r="AC23" s="1029"/>
      <c r="AD23" s="1029"/>
      <c r="AE23" s="4"/>
      <c r="AF23" s="7"/>
      <c r="AH23" s="436"/>
      <c r="AI23" s="2"/>
      <c r="AJ23" s="7"/>
      <c r="AL23" s="436"/>
      <c r="AM23" s="7"/>
      <c r="AO23" s="436"/>
      <c r="AP23" s="7"/>
      <c r="AS23" s="2"/>
      <c r="AT23" s="7"/>
      <c r="AV23" s="436"/>
      <c r="AW23" s="7"/>
      <c r="AY23" s="436"/>
      <c r="AZ23" s="7"/>
      <c r="BB23" s="436"/>
      <c r="BC23" s="2"/>
      <c r="BD23" s="7"/>
      <c r="BF23" s="436"/>
      <c r="BG23" s="7"/>
      <c r="BI23" s="436"/>
      <c r="BJ23" s="7"/>
    </row>
    <row r="24" spans="1:62" ht="15" customHeight="1" x14ac:dyDescent="0.25">
      <c r="B24" s="11"/>
      <c r="C24" s="396"/>
      <c r="D24" s="487"/>
      <c r="E24" s="487"/>
      <c r="F24" s="487"/>
      <c r="G24" s="487"/>
      <c r="H24" s="487"/>
      <c r="I24" s="487"/>
      <c r="J24" s="396"/>
      <c r="K24" s="505" t="b">
        <f>AND(Unformatted!$E$48="COMPLETE",OR($N20=0,$P$20=0))</f>
        <v>0</v>
      </c>
      <c r="L24" s="396"/>
      <c r="M24" s="396"/>
      <c r="N24" s="396"/>
      <c r="O24" s="396"/>
      <c r="P24" s="396"/>
      <c r="Q24" s="393"/>
      <c r="R24" s="396"/>
      <c r="S24" s="419"/>
      <c r="T24" s="4"/>
      <c r="V24" s="31"/>
      <c r="W24" s="1029"/>
      <c r="X24" s="1029"/>
      <c r="Y24" s="1029"/>
      <c r="Z24" s="1029"/>
      <c r="AA24" s="1029"/>
      <c r="AB24" s="1029"/>
      <c r="AC24" s="1029"/>
      <c r="AD24" s="1029"/>
      <c r="AE24" s="150"/>
      <c r="AF24" s="7"/>
      <c r="AI24" s="2"/>
      <c r="AL24" s="3"/>
      <c r="AM24" s="7"/>
      <c r="AO24" s="3"/>
      <c r="AP24" s="7"/>
      <c r="AS24" s="2"/>
      <c r="AT24" s="7"/>
      <c r="AV24" s="3"/>
      <c r="AW24" s="7"/>
      <c r="AY24" s="3"/>
      <c r="AZ24" s="7"/>
      <c r="BB24" s="3"/>
      <c r="BC24" s="2"/>
      <c r="BD24" s="7"/>
      <c r="BF24" s="3"/>
      <c r="BG24" s="7"/>
      <c r="BI24" s="3"/>
      <c r="BJ24" s="7"/>
    </row>
    <row r="25" spans="1:62" ht="15" customHeight="1" x14ac:dyDescent="0.25">
      <c r="B25" s="11"/>
      <c r="C25" s="396"/>
      <c r="D25" s="396"/>
      <c r="E25" s="430"/>
      <c r="F25" s="430"/>
      <c r="G25" s="430"/>
      <c r="H25" s="430"/>
      <c r="I25" s="430"/>
      <c r="J25" s="396"/>
      <c r="K25" s="505"/>
      <c r="L25" s="396"/>
      <c r="M25" s="396"/>
      <c r="N25" s="396"/>
      <c r="O25" s="396"/>
      <c r="P25" s="396"/>
      <c r="Q25" s="393"/>
      <c r="R25" s="396"/>
      <c r="S25" s="419"/>
      <c r="T25" s="4"/>
      <c r="V25" s="31"/>
      <c r="W25" s="454"/>
      <c r="X25" s="396"/>
      <c r="Y25" s="396"/>
      <c r="Z25" s="396"/>
      <c r="AA25" s="393"/>
      <c r="AB25" s="396"/>
      <c r="AC25" s="412"/>
      <c r="AD25" s="396"/>
      <c r="AE25" s="150"/>
      <c r="AF25" s="7"/>
      <c r="AI25" s="2"/>
      <c r="AL25" s="3"/>
      <c r="AM25" s="7"/>
      <c r="AO25" s="3"/>
      <c r="AP25" s="7"/>
      <c r="AS25" s="2"/>
      <c r="AT25" s="7"/>
      <c r="AV25" s="3"/>
      <c r="AW25" s="7"/>
      <c r="AY25" s="3"/>
      <c r="AZ25" s="7"/>
      <c r="BB25" s="3"/>
      <c r="BC25" s="2"/>
      <c r="BD25" s="7"/>
      <c r="BF25" s="3"/>
      <c r="BG25" s="7"/>
      <c r="BI25" s="3"/>
      <c r="BJ25" s="7"/>
    </row>
    <row r="26" spans="1:62" ht="22.5" customHeight="1" x14ac:dyDescent="0.25">
      <c r="B26" s="11"/>
      <c r="C26" s="396"/>
      <c r="D26" s="396"/>
      <c r="E26" s="396"/>
      <c r="F26" s="396"/>
      <c r="G26" s="396"/>
      <c r="H26" s="396"/>
      <c r="I26" s="396"/>
      <c r="J26" s="396"/>
      <c r="K26" s="396"/>
      <c r="L26" s="396"/>
      <c r="M26" s="396"/>
      <c r="N26" s="396"/>
      <c r="O26" s="396"/>
      <c r="P26" s="396"/>
      <c r="Q26" s="396"/>
      <c r="R26" s="396"/>
      <c r="S26" s="419"/>
      <c r="T26" s="4"/>
      <c r="V26" s="31"/>
      <c r="W26" s="396"/>
      <c r="X26" s="396"/>
      <c r="Y26" s="417"/>
      <c r="AA26" s="410"/>
      <c r="AB26" s="419"/>
      <c r="AC26" s="396"/>
      <c r="AD26" s="410"/>
      <c r="AE26" s="150"/>
      <c r="AF26" s="7"/>
      <c r="AH26" s="3"/>
      <c r="AI26" s="2"/>
      <c r="AJ26" s="7"/>
      <c r="AL26" s="3"/>
      <c r="AM26" s="7"/>
      <c r="AO26" s="3"/>
      <c r="AP26" s="7"/>
      <c r="AS26" s="2"/>
      <c r="AT26" s="7"/>
      <c r="AV26" s="3"/>
      <c r="AW26" s="7"/>
      <c r="AY26" s="3"/>
      <c r="AZ26" s="7"/>
      <c r="BB26" s="3"/>
      <c r="BC26" s="2"/>
      <c r="BD26" s="7"/>
      <c r="BF26" s="3"/>
      <c r="BG26" s="7"/>
      <c r="BI26" s="3"/>
      <c r="BJ26" s="7"/>
    </row>
    <row r="27" spans="1:62" x14ac:dyDescent="0.25">
      <c r="B27" s="11"/>
      <c r="C27" s="396"/>
      <c r="D27" s="396"/>
      <c r="E27" s="396"/>
      <c r="F27" s="396"/>
      <c r="G27" s="396"/>
      <c r="H27" s="396"/>
      <c r="I27" s="396"/>
      <c r="J27" s="396"/>
      <c r="K27" s="396"/>
      <c r="L27" s="396"/>
      <c r="M27" s="396"/>
      <c r="N27" s="396"/>
      <c r="O27" s="396"/>
      <c r="P27" s="396"/>
      <c r="Q27" s="396"/>
      <c r="R27" s="396"/>
      <c r="S27" s="396"/>
      <c r="T27" s="4"/>
      <c r="V27" s="11"/>
      <c r="W27" s="417"/>
      <c r="X27" s="396"/>
      <c r="Y27" s="410"/>
      <c r="Z27" s="419"/>
      <c r="AA27" s="396"/>
      <c r="AB27" s="410"/>
      <c r="AC27" s="419"/>
      <c r="AD27" s="396"/>
      <c r="AE27" s="132"/>
      <c r="AF27" s="7"/>
      <c r="AH27" s="3"/>
      <c r="AI27" s="2"/>
      <c r="AJ27" s="7"/>
      <c r="AL27" s="3"/>
      <c r="AM27" s="7"/>
      <c r="AO27" s="3"/>
      <c r="AP27" s="7"/>
      <c r="AS27" s="2"/>
      <c r="AT27" s="7"/>
      <c r="AV27" s="3"/>
      <c r="AW27" s="7"/>
      <c r="AY27" s="3"/>
      <c r="AZ27" s="7"/>
      <c r="BB27" s="3"/>
      <c r="BC27" s="2"/>
      <c r="BD27" s="7"/>
      <c r="BF27" s="3"/>
      <c r="BG27" s="7"/>
      <c r="BI27" s="3"/>
      <c r="BJ27" s="7"/>
    </row>
    <row r="28" spans="1:62" x14ac:dyDescent="0.25">
      <c r="B28" s="11"/>
      <c r="C28" s="396"/>
      <c r="D28" s="396"/>
      <c r="E28" s="396"/>
      <c r="F28" s="396"/>
      <c r="G28" s="396"/>
      <c r="H28" s="396"/>
      <c r="I28" s="396"/>
      <c r="J28" s="396"/>
      <c r="K28" s="396"/>
      <c r="L28" s="396"/>
      <c r="M28" s="396"/>
      <c r="N28" s="396"/>
      <c r="O28" s="396"/>
      <c r="P28" s="396"/>
      <c r="Q28" s="396"/>
      <c r="R28" s="396"/>
      <c r="S28" s="396"/>
      <c r="T28" s="4"/>
      <c r="V28" s="31"/>
      <c r="W28" s="396"/>
      <c r="X28" s="396"/>
      <c r="Y28" s="410"/>
      <c r="Z28" s="419"/>
      <c r="AA28" s="396"/>
      <c r="AB28" s="410"/>
      <c r="AC28" s="419"/>
      <c r="AD28" s="396"/>
      <c r="AE28" s="132"/>
      <c r="AF28" s="7"/>
      <c r="AG28" s="464"/>
      <c r="AH28" s="499"/>
      <c r="AI28" s="499"/>
      <c r="AJ28" s="499"/>
      <c r="AK28" s="499"/>
      <c r="AL28" s="499"/>
      <c r="AM28" s="7"/>
      <c r="AO28" s="3"/>
      <c r="AP28" s="7"/>
      <c r="AS28" s="2"/>
      <c r="AT28" s="7"/>
      <c r="AV28" s="3"/>
      <c r="AW28" s="7"/>
      <c r="AY28" s="3"/>
      <c r="AZ28" s="7"/>
      <c r="BB28" s="3"/>
      <c r="BC28" s="2"/>
      <c r="BD28" s="7"/>
      <c r="BF28" s="3"/>
      <c r="BG28" s="7"/>
      <c r="BI28" s="3"/>
      <c r="BJ28" s="7"/>
    </row>
    <row r="29" spans="1:62" x14ac:dyDescent="0.25">
      <c r="B29" s="11"/>
      <c r="C29" s="396"/>
      <c r="D29" s="396"/>
      <c r="E29" s="396"/>
      <c r="F29" s="396"/>
      <c r="G29" s="396"/>
      <c r="H29" s="396"/>
      <c r="I29" s="396"/>
      <c r="J29" s="396"/>
      <c r="K29" s="396"/>
      <c r="L29" s="396"/>
      <c r="M29" s="396"/>
      <c r="N29" s="396"/>
      <c r="O29" s="396"/>
      <c r="P29" s="396"/>
      <c r="Q29" s="396"/>
      <c r="R29" s="396"/>
      <c r="S29" s="396"/>
      <c r="T29" s="4"/>
      <c r="V29" s="31"/>
      <c r="W29" s="419"/>
      <c r="X29" s="396"/>
      <c r="Y29" s="410"/>
      <c r="Z29" s="419"/>
      <c r="AA29" s="396"/>
      <c r="AB29" s="410"/>
      <c r="AC29" s="419"/>
      <c r="AD29" s="396"/>
      <c r="AE29" s="132"/>
      <c r="AF29" s="7"/>
      <c r="AG29" s="499"/>
      <c r="AH29" s="499"/>
      <c r="AI29" s="499"/>
      <c r="AJ29" s="499"/>
      <c r="AK29" s="499"/>
      <c r="AL29" s="499"/>
      <c r="AM29" s="7"/>
      <c r="AO29" s="3"/>
      <c r="AP29" s="7"/>
      <c r="AS29" s="2"/>
      <c r="AT29" s="7"/>
      <c r="AV29" s="3"/>
      <c r="AW29" s="7"/>
      <c r="AY29" s="3"/>
      <c r="AZ29" s="7"/>
      <c r="BB29" s="3"/>
      <c r="BC29" s="2"/>
      <c r="BD29" s="7"/>
      <c r="BF29" s="3"/>
      <c r="BG29" s="7"/>
      <c r="BI29" s="3"/>
      <c r="BJ29" s="7"/>
    </row>
    <row r="30" spans="1:62" ht="15.75" thickBot="1" x14ac:dyDescent="0.3">
      <c r="B30" s="12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6"/>
      <c r="V30" s="139"/>
      <c r="W30" s="124"/>
      <c r="X30" s="5"/>
      <c r="Y30" s="41"/>
      <c r="Z30" s="124"/>
      <c r="AA30" s="5"/>
      <c r="AB30" s="41"/>
      <c r="AC30" s="124"/>
      <c r="AD30" s="5"/>
      <c r="AE30" s="152"/>
      <c r="AF30" s="7"/>
      <c r="AH30" s="3"/>
      <c r="AI30" s="2"/>
      <c r="AJ30" s="7"/>
      <c r="AM30" s="7"/>
      <c r="AO30" s="3"/>
      <c r="AP30" s="7"/>
      <c r="AS30" s="2"/>
      <c r="AT30" s="7"/>
      <c r="AV30" s="3"/>
      <c r="AW30" s="7"/>
      <c r="AY30" s="3"/>
      <c r="AZ30" s="7"/>
      <c r="BB30" s="3"/>
      <c r="BC30" s="2"/>
      <c r="BD30" s="7"/>
      <c r="BF30" s="3"/>
      <c r="BG30" s="7"/>
      <c r="BI30" s="3"/>
      <c r="BJ30" s="7"/>
    </row>
    <row r="31" spans="1:62" x14ac:dyDescent="0.25">
      <c r="A31" s="396"/>
      <c r="B31" s="396"/>
      <c r="C31" s="396"/>
      <c r="D31" s="396"/>
      <c r="E31" s="396"/>
      <c r="F31" s="396"/>
      <c r="G31" s="396"/>
      <c r="H31" s="396"/>
      <c r="I31" s="396"/>
      <c r="J31" s="396"/>
      <c r="K31" s="396"/>
      <c r="L31" s="396"/>
      <c r="M31" s="396"/>
      <c r="N31" s="396"/>
      <c r="O31" s="396"/>
      <c r="P31" s="396"/>
      <c r="Q31" s="396"/>
      <c r="R31" s="396"/>
      <c r="S31" s="396"/>
      <c r="T31" s="396"/>
      <c r="U31" s="396"/>
      <c r="V31" s="409"/>
      <c r="W31" s="419"/>
      <c r="X31" s="396"/>
      <c r="Y31" s="410"/>
      <c r="Z31" s="419"/>
      <c r="AA31" s="396"/>
      <c r="AB31" s="410"/>
      <c r="AC31" s="419"/>
      <c r="AD31" s="396"/>
      <c r="AE31" s="410"/>
      <c r="AF31" s="7"/>
      <c r="AH31" s="3"/>
      <c r="AI31" s="2"/>
      <c r="AL31" s="465"/>
      <c r="AO31" s="3"/>
      <c r="AP31" s="7"/>
      <c r="AS31" s="2"/>
      <c r="AT31" s="7"/>
      <c r="AV31" s="3"/>
      <c r="AW31" s="7"/>
      <c r="AY31" s="3"/>
      <c r="AZ31" s="7"/>
      <c r="BB31" s="3"/>
      <c r="BC31" s="2"/>
      <c r="BD31" s="7"/>
      <c r="BF31" s="3"/>
      <c r="BG31" s="7"/>
      <c r="BI31" s="3"/>
      <c r="BJ31" s="7"/>
    </row>
    <row r="32" spans="1:62" x14ac:dyDescent="0.25">
      <c r="AF32" s="7"/>
      <c r="AH32" s="3"/>
      <c r="AI32" s="2"/>
      <c r="AK32" s="500"/>
      <c r="AL32" s="500"/>
      <c r="AM32" s="500"/>
      <c r="AN32" s="500"/>
      <c r="AO32" s="3"/>
      <c r="AP32" s="7"/>
      <c r="AS32" s="2"/>
      <c r="AT32" s="7"/>
      <c r="AV32" s="3"/>
      <c r="AW32" s="7"/>
      <c r="AY32" s="3"/>
      <c r="AZ32" s="7"/>
      <c r="BB32" s="3"/>
      <c r="BC32" s="2"/>
      <c r="BD32" s="7"/>
      <c r="BF32" s="3"/>
      <c r="BG32" s="7"/>
      <c r="BI32" s="3"/>
      <c r="BJ32" s="7"/>
    </row>
    <row r="33" spans="1:62" x14ac:dyDescent="0.25">
      <c r="N33" s="153"/>
      <c r="O33" s="153"/>
      <c r="AF33" s="7"/>
      <c r="AH33" s="3"/>
      <c r="AI33" s="2"/>
      <c r="AJ33" s="500"/>
      <c r="AK33" s="500"/>
      <c r="AL33" s="500"/>
      <c r="AM33" s="500"/>
      <c r="AN33" s="500"/>
      <c r="AO33" s="3"/>
      <c r="AP33" s="7"/>
      <c r="AS33" s="2"/>
      <c r="AT33" s="7"/>
      <c r="AV33" s="3"/>
      <c r="AW33" s="7"/>
      <c r="AY33" s="3"/>
      <c r="AZ33" s="7"/>
      <c r="BB33" s="3"/>
      <c r="BC33" s="2"/>
      <c r="BD33" s="7"/>
      <c r="BF33" s="3"/>
      <c r="BG33" s="7"/>
      <c r="BI33" s="3"/>
      <c r="BJ33" s="7"/>
    </row>
    <row r="34" spans="1:62" x14ac:dyDescent="0.25">
      <c r="Y34" s="154"/>
    </row>
    <row r="35" spans="1:62" x14ac:dyDescent="0.25">
      <c r="Y35" s="155"/>
    </row>
    <row r="36" spans="1:62" x14ac:dyDescent="0.25">
      <c r="A36" s="155"/>
    </row>
    <row r="37" spans="1:62" x14ac:dyDescent="0.25">
      <c r="A37" s="155"/>
    </row>
    <row r="38" spans="1:62" x14ac:dyDescent="0.25">
      <c r="A38" s="156"/>
    </row>
    <row r="39" spans="1:62" x14ac:dyDescent="0.25">
      <c r="A39" s="155"/>
    </row>
    <row r="40" spans="1:62" x14ac:dyDescent="0.25">
      <c r="A40" s="155"/>
    </row>
    <row r="98" spans="8:8" x14ac:dyDescent="0.25">
      <c r="H98">
        <f>'As Found Tests'!X66</f>
        <v>0</v>
      </c>
    </row>
  </sheetData>
  <sheetProtection sheet="1" selectLockedCells="1"/>
  <mergeCells count="15">
    <mergeCell ref="V4:AE4"/>
    <mergeCell ref="B4:T4"/>
    <mergeCell ref="C8:D9"/>
    <mergeCell ref="D6:H6"/>
    <mergeCell ref="W16:Z17"/>
    <mergeCell ref="R11:R12"/>
    <mergeCell ref="W23:AD24"/>
    <mergeCell ref="J6:S7"/>
    <mergeCell ref="D21:H22"/>
    <mergeCell ref="J15:S15"/>
    <mergeCell ref="R17:R18"/>
    <mergeCell ref="AD18:AE19"/>
    <mergeCell ref="C11:H12"/>
    <mergeCell ref="C15:H15"/>
    <mergeCell ref="B13:H13"/>
  </mergeCells>
  <dataValidations count="1">
    <dataValidation allowBlank="1" showInputMessage="1" showErrorMessage="1" promptTitle="ALERT" prompt="_x000a_This box is auto-calculated from the voltage config. If test ran using a different voltage select cell and manually input test voltage." sqref="X6" xr:uid="{A3A177CB-8BC8-48D5-8160-1E483E0D00D3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TextBox2">
          <controlPr locked="0" defaultSize="0" autoLine="0" linkedCell="Unformatted!E172" r:id="rId5">
            <anchor moveWithCells="1">
              <from>
                <xdr:col>1</xdr:col>
                <xdr:colOff>85725</xdr:colOff>
                <xdr:row>22</xdr:row>
                <xdr:rowOff>9525</xdr:rowOff>
              </from>
              <to>
                <xdr:col>19</xdr:col>
                <xdr:colOff>47625</xdr:colOff>
                <xdr:row>29</xdr:row>
                <xdr:rowOff>123825</xdr:rowOff>
              </to>
            </anchor>
          </controlPr>
        </control>
      </mc:Choice>
      <mc:Fallback>
        <control shapeId="7181" r:id="rId4" name="TextBox2"/>
      </mc:Fallback>
    </mc:AlternateContent>
    <mc:AlternateContent xmlns:mc="http://schemas.openxmlformats.org/markup-compatibility/2006">
      <mc:Choice Requires="x14">
        <control shapeId="7180" r:id="rId6" name="TextBox1">
          <controlPr locked="0" defaultSize="0" autoLine="0" linkedCell="Unformatted!E187" r:id="rId7">
            <anchor moveWithCells="1">
              <from>
                <xdr:col>21</xdr:col>
                <xdr:colOff>114300</xdr:colOff>
                <xdr:row>23</xdr:row>
                <xdr:rowOff>114300</xdr:rowOff>
              </from>
              <to>
                <xdr:col>30</xdr:col>
                <xdr:colOff>1047750</xdr:colOff>
                <xdr:row>29</xdr:row>
                <xdr:rowOff>123825</xdr:rowOff>
              </to>
            </anchor>
          </controlPr>
        </control>
      </mc:Choice>
      <mc:Fallback>
        <control shapeId="7180" r:id="rId6" name="TextBox1"/>
      </mc:Fallback>
    </mc:AlternateContent>
    <mc:AlternateContent xmlns:mc="http://schemas.openxmlformats.org/markup-compatibility/2006">
      <mc:Choice Requires="x14">
        <control shapeId="7169" r:id="rId8" name="Drop Down 1">
          <controlPr defaultSize="0" autoLine="0" autoPict="0">
            <anchor moveWithCells="1">
              <from>
                <xdr:col>12</xdr:col>
                <xdr:colOff>0</xdr:colOff>
                <xdr:row>9</xdr:row>
                <xdr:rowOff>0</xdr:rowOff>
              </from>
              <to>
                <xdr:col>14</xdr:col>
                <xdr:colOff>95250</xdr:colOff>
                <xdr:row>9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2" r:id="rId9" name="Drop Down 4">
          <controlPr defaultSize="0" autoLine="0" autoPict="0">
            <anchor moveWithCells="1">
              <from>
                <xdr:col>6</xdr:col>
                <xdr:colOff>9525</xdr:colOff>
                <xdr:row>15</xdr:row>
                <xdr:rowOff>0</xdr:rowOff>
              </from>
              <to>
                <xdr:col>7</xdr:col>
                <xdr:colOff>152400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3" r:id="rId10" name="Drop Down 5">
          <controlPr defaultSize="0" autoLine="0" autoPict="0">
            <anchor moveWithCells="1">
              <from>
                <xdr:col>6</xdr:col>
                <xdr:colOff>9525</xdr:colOff>
                <xdr:row>17</xdr:row>
                <xdr:rowOff>9525</xdr:rowOff>
              </from>
              <to>
                <xdr:col>7</xdr:col>
                <xdr:colOff>142875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4" r:id="rId11" name="Drop Down 6">
          <controlPr defaultSize="0" autoLine="0" autoPict="0">
            <anchor moveWithCells="1">
              <from>
                <xdr:col>5</xdr:col>
                <xdr:colOff>295275</xdr:colOff>
                <xdr:row>19</xdr:row>
                <xdr:rowOff>0</xdr:rowOff>
              </from>
              <to>
                <xdr:col>7</xdr:col>
                <xdr:colOff>152400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6" r:id="rId12" name="Check Box 8">
          <controlPr defaultSize="0" autoFill="0" autoLine="0" autoPict="0">
            <anchor moveWithCells="1">
              <from>
                <xdr:col>29</xdr:col>
                <xdr:colOff>228600</xdr:colOff>
                <xdr:row>8</xdr:row>
                <xdr:rowOff>9525</xdr:rowOff>
              </from>
              <to>
                <xdr:col>30</xdr:col>
                <xdr:colOff>590550</xdr:colOff>
                <xdr:row>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3" r:id="rId13" name="Check Box 15">
          <controlPr defaultSize="0" autoFill="0" autoLine="0" autoPict="0">
            <anchor moveWithCells="1">
              <from>
                <xdr:col>30</xdr:col>
                <xdr:colOff>276225</xdr:colOff>
                <xdr:row>14</xdr:row>
                <xdr:rowOff>47625</xdr:rowOff>
              </from>
              <to>
                <xdr:col>30</xdr:col>
                <xdr:colOff>981075</xdr:colOff>
                <xdr:row>15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4" r:id="rId14" name="Check Box 16">
          <controlPr defaultSize="0" autoFill="0" autoLine="0" autoPict="0">
            <anchor moveWithCells="1">
              <from>
                <xdr:col>29</xdr:col>
                <xdr:colOff>114300</xdr:colOff>
                <xdr:row>14</xdr:row>
                <xdr:rowOff>57150</xdr:rowOff>
              </from>
              <to>
                <xdr:col>30</xdr:col>
                <xdr:colOff>238125</xdr:colOff>
                <xdr:row>15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5" r:id="rId15" name="Check Box 17">
          <controlPr defaultSize="0" autoFill="0" autoLine="0" autoPict="0">
            <anchor moveWithCells="1">
              <from>
                <xdr:col>29</xdr:col>
                <xdr:colOff>114300</xdr:colOff>
                <xdr:row>15</xdr:row>
                <xdr:rowOff>95250</xdr:rowOff>
              </from>
              <to>
                <xdr:col>30</xdr:col>
                <xdr:colOff>238125</xdr:colOff>
                <xdr:row>16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6" r:id="rId16" name="Check Box 18">
          <controlPr defaultSize="0" autoFill="0" autoLine="0" autoPict="0">
            <anchor moveWithCells="1">
              <from>
                <xdr:col>30</xdr:col>
                <xdr:colOff>276225</xdr:colOff>
                <xdr:row>15</xdr:row>
                <xdr:rowOff>95250</xdr:rowOff>
              </from>
              <to>
                <xdr:col>30</xdr:col>
                <xdr:colOff>733425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7" r:id="rId17" name="Group Box 19">
          <controlPr defaultSize="0" autoFill="0" autoPict="0" macro="[0]!no_move">
            <anchor moveWithCells="1">
              <from>
                <xdr:col>1</xdr:col>
                <xdr:colOff>66675</xdr:colOff>
                <xdr:row>4</xdr:row>
                <xdr:rowOff>95250</xdr:rowOff>
              </from>
              <to>
                <xdr:col>8</xdr:col>
                <xdr:colOff>0</xdr:colOff>
                <xdr:row>21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9" r:id="rId18" name="Group Box 21">
          <controlPr defaultSize="0" autoFill="0" autoPict="0" macro="[0]!no_move">
            <anchor moveWithCells="1">
              <from>
                <xdr:col>29</xdr:col>
                <xdr:colOff>66675</xdr:colOff>
                <xdr:row>12</xdr:row>
                <xdr:rowOff>66675</xdr:rowOff>
              </from>
              <to>
                <xdr:col>30</xdr:col>
                <xdr:colOff>904875</xdr:colOff>
                <xdr:row>16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8" r:id="rId19" name="Group Box 20">
          <controlPr defaultSize="0" autoFill="0" autoPict="0" macro="[0]!no_move">
            <anchor moveWithCells="1">
              <from>
                <xdr:col>9</xdr:col>
                <xdr:colOff>0</xdr:colOff>
                <xdr:row>4</xdr:row>
                <xdr:rowOff>57150</xdr:rowOff>
              </from>
              <to>
                <xdr:col>18</xdr:col>
                <xdr:colOff>133350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0" r:id="rId20" name="Drop Down 22">
          <controlPr defaultSize="0" autoLine="0" autoPict="0">
            <anchor moveWithCells="1">
              <from>
                <xdr:col>5</xdr:col>
                <xdr:colOff>209550</xdr:colOff>
                <xdr:row>7</xdr:row>
                <xdr:rowOff>0</xdr:rowOff>
              </from>
              <to>
                <xdr:col>7</xdr:col>
                <xdr:colOff>66675</xdr:colOff>
                <xdr:row>7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1" r:id="rId21" name="Check Box 23">
          <controlPr defaultSize="0" autoFill="0" autoLine="0" autoPict="0">
            <anchor moveWithCells="1">
              <from>
                <xdr:col>29</xdr:col>
                <xdr:colOff>228600</xdr:colOff>
                <xdr:row>9</xdr:row>
                <xdr:rowOff>180975</xdr:rowOff>
              </from>
              <to>
                <xdr:col>30</xdr:col>
                <xdr:colOff>942975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2" r:id="rId22" name="Group Box 24">
          <controlPr defaultSize="0" autoFill="0" autoPict="0" macro="[0]!no_move">
            <anchor moveWithCells="1">
              <from>
                <xdr:col>29</xdr:col>
                <xdr:colOff>76200</xdr:colOff>
                <xdr:row>7</xdr:row>
                <xdr:rowOff>238125</xdr:rowOff>
              </from>
              <to>
                <xdr:col>30</xdr:col>
                <xdr:colOff>923925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5" r:id="rId23" name="Check Box 27">
          <controlPr defaultSize="0" autoFill="0" autoLine="0" autoPict="0">
            <anchor moveWithCells="1">
              <from>
                <xdr:col>29</xdr:col>
                <xdr:colOff>228600</xdr:colOff>
                <xdr:row>6</xdr:row>
                <xdr:rowOff>85725</xdr:rowOff>
              </from>
              <to>
                <xdr:col>30</xdr:col>
                <xdr:colOff>942975</xdr:colOff>
                <xdr:row>7</xdr:row>
                <xdr:rowOff>171450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7" id="{8957783D-D76F-46BB-B729-6EC0DCC2410A}">
            <xm:f>N13&gt;Tolerances!Z2</xm:f>
            <x14:dxf>
              <font>
                <b/>
                <i val="0"/>
                <color rgb="FFFF0000"/>
              </font>
            </x14:dxf>
          </x14:cfRule>
          <xm:sqref>N14:O14 O13</xm:sqref>
        </x14:conditionalFormatting>
        <x14:conditionalFormatting xmlns:xm="http://schemas.microsoft.com/office/excel/2006/main">
          <x14:cfRule type="expression" priority="85" id="{942C1A14-1E6D-43AB-B517-DCB06F7E31C2}">
            <xm:f>N18&gt;Tolerances!Z3</xm:f>
            <x14:dxf>
              <font>
                <b/>
                <i val="0"/>
                <color rgb="FFFF0000"/>
              </font>
            </x14:dxf>
          </x14:cfRule>
          <xm:sqref>N18</xm:sqref>
        </x14:conditionalFormatting>
        <x14:conditionalFormatting xmlns:xm="http://schemas.microsoft.com/office/excel/2006/main">
          <x14:cfRule type="expression" priority="84" id="{427DD915-1877-447F-AE33-FD9F120FE26E}">
            <xm:f>N20&gt;Tolerances!Z4</xm:f>
            <x14:dxf>
              <font>
                <b/>
                <i val="0"/>
                <color rgb="FFFF0000"/>
              </font>
            </x14:dxf>
          </x14:cfRule>
          <xm:sqref>N20:N21</xm:sqref>
        </x14:conditionalFormatting>
        <x14:conditionalFormatting xmlns:xm="http://schemas.microsoft.com/office/excel/2006/main">
          <x14:cfRule type="expression" priority="83" id="{5EC57D8A-3C2A-4B3C-B376-45C95B93172E}">
            <xm:f>P18&gt;Tolerances!Z3</xm:f>
            <x14:dxf>
              <font>
                <b/>
                <i val="0"/>
                <color rgb="FFFF0000"/>
              </font>
            </x14:dxf>
          </x14:cfRule>
          <xm:sqref>P20:P21 P18</xm:sqref>
        </x14:conditionalFormatting>
        <x14:conditionalFormatting xmlns:xm="http://schemas.microsoft.com/office/excel/2006/main">
          <x14:cfRule type="expression" priority="80" id="{44DC8A9B-8042-4D0D-A59F-B0EAC6B13D87}">
            <xm:f>Unformatted!$C$166=1</xm:f>
            <x14:dxf>
              <font>
                <b/>
                <i val="0"/>
                <color rgb="FFFF0000"/>
              </font>
            </x14:dxf>
          </x14:cfRule>
          <xm:sqref>L13:L14 N14</xm:sqref>
        </x14:conditionalFormatting>
        <x14:conditionalFormatting xmlns:xm="http://schemas.microsoft.com/office/excel/2006/main">
          <x14:cfRule type="expression" priority="66" id="{031D099D-0AAC-4EBC-8EEB-D6D1393E1C44}">
            <xm:f>Unformatted!$E$176=""</xm:f>
            <x14:dxf>
              <font>
                <b/>
                <i val="0"/>
                <color rgb="FFFF0000"/>
              </font>
            </x14:dxf>
          </x14:cfRule>
          <xm:sqref>W6:W7</xm:sqref>
        </x14:conditionalFormatting>
        <x14:conditionalFormatting xmlns:xm="http://schemas.microsoft.com/office/excel/2006/main">
          <x14:cfRule type="expression" priority="51" id="{60A52CC8-3E8F-46B3-B9FD-4CEEF0D0A668}">
            <xm:f>AND(Unformatted!$E$48="COMPLETE",AD6=0)</xm:f>
            <x14:dxf>
              <font>
                <b/>
                <i val="0"/>
                <color rgb="FFFF0000"/>
              </font>
            </x14:dxf>
          </x14:cfRule>
          <xm:sqref>AD6:AD7</xm:sqref>
        </x14:conditionalFormatting>
        <x14:conditionalFormatting xmlns:xm="http://schemas.microsoft.com/office/excel/2006/main">
          <x14:cfRule type="expression" priority="50" id="{673939DE-F3D6-41F1-ABCF-5661A3414DC7}">
            <xm:f>Unformatted!$E$177=""</xm:f>
            <x14:dxf>
              <font>
                <b/>
                <i val="0"/>
                <color rgb="FFFF0000"/>
              </font>
            </x14:dxf>
          </x14:cfRule>
          <xm:sqref>AC6:AC7</xm:sqref>
        </x14:conditionalFormatting>
        <x14:conditionalFormatting xmlns:xm="http://schemas.microsoft.com/office/excel/2006/main">
          <x14:cfRule type="expression" priority="49" id="{F80B2A7B-7201-4A5B-B405-56915207119A}">
            <xm:f>X20&gt;Tolerances!$AE$2</xm:f>
            <x14:dxf>
              <font>
                <b/>
                <i val="0"/>
                <color rgb="FFFF0000"/>
              </font>
            </x14:dxf>
          </x14:cfRule>
          <xm:sqref>Z20 AB22 X22 Z22</xm:sqref>
        </x14:conditionalFormatting>
        <x14:conditionalFormatting xmlns:xm="http://schemas.microsoft.com/office/excel/2006/main">
          <x14:cfRule type="expression" priority="1102" id="{9A4216E9-5CF0-49CE-819F-EDAEA71B04E0}">
            <xm:f>AND(Unformatted!#REF!&lt;=100*10000000,Unformatted!#REF!&lt;&gt;0)</xm:f>
            <x14:dxf>
              <font>
                <b/>
                <i val="0"/>
                <color rgb="FFFF0000"/>
              </font>
            </x14:dxf>
          </x14:cfRule>
          <xm:sqref>K24 U22:U23</xm:sqref>
        </x14:conditionalFormatting>
        <x14:conditionalFormatting xmlns:xm="http://schemas.microsoft.com/office/excel/2006/main">
          <x14:cfRule type="expression" priority="1107" id="{5DF92003-D751-4838-A6C0-B5D1B059FE7F}">
            <xm:f>AND(Unformatted!#REF!&lt;=Tolerances!$W$2,Unformatted!#REF!&lt;&gt;0)</xm:f>
            <x14:dxf>
              <font>
                <b/>
                <i val="0"/>
                <color rgb="FFFF0000"/>
              </font>
            </x14:dxf>
          </x14:cfRule>
          <xm:sqref>I9</xm:sqref>
        </x14:conditionalFormatting>
        <x14:conditionalFormatting xmlns:xm="http://schemas.microsoft.com/office/excel/2006/main">
          <x14:cfRule type="expression" priority="29" id="{9A411CA4-030A-490E-B3BA-904780F6673C}">
            <xm:f>Unformatted!$F$157="&lt;20"</xm:f>
            <x14:dxf>
              <font>
                <b/>
                <i val="0"/>
                <color rgb="FFFF0000"/>
              </font>
            </x14:dxf>
          </x14:cfRule>
          <x14:cfRule type="expression" priority="1356" id="{5DF92003-D751-4838-A6C0-B5D1B059FE7F}">
            <xm:f>AND(Unformatted!H$157&lt;=Tolerances!$W$2)</xm:f>
            <x14:dxf>
              <font>
                <b/>
                <i val="0"/>
                <color rgb="FFFF0000"/>
              </font>
            </x14:dxf>
          </x14:cfRule>
          <xm:sqref>E8</xm:sqref>
        </x14:conditionalFormatting>
        <x14:conditionalFormatting xmlns:xm="http://schemas.microsoft.com/office/excel/2006/main">
          <x14:cfRule type="expression" priority="30" id="{8EFCA82A-AF81-447F-ACB6-3E3052AF2EE6}">
            <xm:f>Unformatted!$C$186</xm:f>
            <x14:dxf>
              <font>
                <b/>
                <i val="0"/>
                <color rgb="FFFF0000"/>
              </font>
            </x14:dxf>
          </x14:cfRule>
          <xm:sqref>AB20</xm:sqref>
        </x14:conditionalFormatting>
        <x14:conditionalFormatting xmlns:xm="http://schemas.microsoft.com/office/excel/2006/main">
          <x14:cfRule type="expression" priority="26" id="{8E2EAEEB-0F87-4BE9-8D5F-1B0E3D5088BE}">
            <xm:f>Unformatted!$C$165</xm:f>
            <x14:dxf>
              <font>
                <b/>
                <i val="0"/>
                <color rgb="FFFF0000"/>
              </font>
            </x14:dxf>
          </x14:cfRule>
          <xm:sqref>M10 L8</xm:sqref>
        </x14:conditionalFormatting>
        <x14:conditionalFormatting xmlns:xm="http://schemas.microsoft.com/office/excel/2006/main">
          <x14:cfRule type="expression" priority="25" id="{BF7156EA-6E5D-493D-ACB5-1D65D2B812DA}">
            <xm:f>Unformatted!$E$171=""</xm:f>
            <x14:dxf>
              <font>
                <b/>
                <i val="0"/>
                <color rgb="FFFF0000"/>
              </font>
            </x14:dxf>
          </x14:cfRule>
          <xm:sqref>R11</xm:sqref>
        </x14:conditionalFormatting>
        <x14:conditionalFormatting xmlns:xm="http://schemas.microsoft.com/office/excel/2006/main">
          <x14:cfRule type="expression" priority="24" id="{13F90526-5FA8-4134-AAE9-D1F3D67095ED}">
            <xm:f>Unformatted!$F$164=1</xm:f>
            <x14:dxf>
              <font>
                <b/>
                <i val="0"/>
                <color rgb="FFFF0000"/>
              </font>
            </x14:dxf>
          </x14:cfRule>
          <xm:sqref>O8 L10</xm:sqref>
        </x14:conditionalFormatting>
        <x14:conditionalFormatting xmlns:xm="http://schemas.microsoft.com/office/excel/2006/main">
          <x14:cfRule type="expression" priority="12" id="{072AD749-1762-439D-923E-79309F80400F}">
            <xm:f>IF(AND(Unformatted!H157&gt;99999999,Unformatted!F164=2,Unformatted!C181=1),1)</xm:f>
            <x14:dxf>
              <font>
                <b/>
                <i val="0"/>
                <color rgb="FFFF0000"/>
              </font>
            </x14:dxf>
          </x14:cfRule>
          <xm:sqref>W10</xm:sqref>
        </x14:conditionalFormatting>
        <x14:conditionalFormatting xmlns:xm="http://schemas.microsoft.com/office/excel/2006/main">
          <x14:cfRule type="expression" priority="11" id="{986FCDAE-D029-4B74-ABFB-CA6F34A5ED76}">
            <xm:f>IF(AND(Unformatted!H157&gt;99999999,Unformatted!F164=2,Unformatted!$E$182=""),1)</xm:f>
            <x14:dxf>
              <font>
                <b/>
                <i val="0"/>
                <color rgb="FFFF0000"/>
              </font>
            </x14:dxf>
          </x14:cfRule>
          <xm:sqref>X8</xm:sqref>
        </x14:conditionalFormatting>
        <x14:conditionalFormatting xmlns:xm="http://schemas.microsoft.com/office/excel/2006/main">
          <x14:cfRule type="expression" priority="10" id="{7F54EE18-4FAF-4785-AEC5-87DA476ADB7A}">
            <xm:f>IF(AND(Unformatted!H157&gt;99999999,Unformatted!F164=2,Unformatted!$F$182=""),1)</xm:f>
            <x14:dxf>
              <font>
                <b/>
                <i val="0"/>
                <color rgb="FFFF0000"/>
              </font>
            </x14:dxf>
          </x14:cfRule>
          <xm:sqref>Z8</xm:sqref>
        </x14:conditionalFormatting>
        <x14:conditionalFormatting xmlns:xm="http://schemas.microsoft.com/office/excel/2006/main">
          <x14:cfRule type="expression" priority="9" id="{7ED3DF29-27B1-469F-BE35-1CF521120919}">
            <xm:f>IF(AND(Unformatted!H157&gt;99999999,Unformatted!F164=2,Unformatted!$G$182=""),1)</xm:f>
            <x14:dxf>
              <font>
                <b/>
                <i val="0"/>
                <color rgb="FFFF0000"/>
              </font>
            </x14:dxf>
          </x14:cfRule>
          <xm:sqref>AB8</xm:sqref>
        </x14:conditionalFormatting>
        <x14:conditionalFormatting xmlns:xm="http://schemas.microsoft.com/office/excel/2006/main">
          <x14:cfRule type="expression" priority="8" id="{A14F99F6-448E-4E37-91E2-FAC9CAAE3780}">
            <xm:f>IF(AND(Unformatted!H157&gt;99999999,Unformatted!F164=2,Unformatted!$C$184=1),1)</xm:f>
            <x14:dxf>
              <font>
                <b/>
                <i val="0"/>
                <color rgb="FFFF0000"/>
              </font>
            </x14:dxf>
          </x14:cfRule>
          <xm:sqref>W16</xm:sqref>
        </x14:conditionalFormatting>
        <x14:conditionalFormatting xmlns:xm="http://schemas.microsoft.com/office/excel/2006/main">
          <x14:cfRule type="expression" priority="7" id="{EB2AFDA4-0DCD-406A-B359-0D9721AD4DA9}">
            <xm:f>Unformatted!C157=1</xm:f>
            <x14:dxf>
              <font>
                <b/>
                <i val="0"/>
                <color rgb="FFFF0000"/>
              </font>
            </x14:dxf>
          </x14:cfRule>
          <xm:sqref>C8</xm:sqref>
        </x14:conditionalFormatting>
        <x14:conditionalFormatting xmlns:xm="http://schemas.microsoft.com/office/excel/2006/main">
          <x14:cfRule type="expression" priority="5" id="{17412F3A-37D8-4287-AEAB-858D6C4BE072}">
            <xm:f>Unformatted!$C$160=1</xm:f>
            <x14:dxf>
              <font>
                <b/>
                <i val="0"/>
                <color rgb="FFFF0000"/>
              </font>
            </x14:dxf>
          </x14:cfRule>
          <xm:sqref>D16</xm:sqref>
        </x14:conditionalFormatting>
        <x14:conditionalFormatting xmlns:xm="http://schemas.microsoft.com/office/excel/2006/main">
          <x14:cfRule type="expression" priority="4" id="{FFC1DC6F-6DB6-470C-A5B8-5A86C5EF6A08}">
            <xm:f>Unformatted!$C$161=1</xm:f>
            <x14:dxf>
              <font>
                <b/>
                <i val="0"/>
                <color rgb="FFFF0000"/>
              </font>
            </x14:dxf>
          </x14:cfRule>
          <xm:sqref>D18</xm:sqref>
        </x14:conditionalFormatting>
        <x14:conditionalFormatting xmlns:xm="http://schemas.microsoft.com/office/excel/2006/main">
          <x14:cfRule type="expression" priority="3" id="{1D6E279D-1BEB-44D0-A577-CA3CDCA1D3B0}">
            <xm:f>Unformatted!$C$162</xm:f>
            <x14:dxf>
              <font>
                <b/>
                <i val="0"/>
                <color rgb="FFFF0000"/>
              </font>
            </x14:dxf>
          </x14:cfRule>
          <xm:sqref>D20</xm:sqref>
        </x14:conditionalFormatting>
        <x14:conditionalFormatting xmlns:xm="http://schemas.microsoft.com/office/excel/2006/main">
          <x14:cfRule type="expression" priority="2" id="{209F8166-CC96-4295-A99E-C8B15F7F498A}">
            <xm:f>R20&gt;Tolerances!Z9</xm:f>
            <x14:dxf>
              <font>
                <b/>
                <i val="0"/>
                <color rgb="FFFF0000"/>
              </font>
            </x14:dxf>
          </x14:cfRule>
          <xm:sqref>R20:R21</xm:sqref>
        </x14:conditionalFormatting>
        <x14:conditionalFormatting xmlns:xm="http://schemas.microsoft.com/office/excel/2006/main">
          <x14:cfRule type="expression" priority="3565" id="{0B9B2AE5-2676-4191-B812-1356E0588C36}">
            <xm:f>X$10/'Job &amp; Motor Data'!$J$12&gt;Tolerances!$AC$3</xm:f>
            <x14:dxf>
              <font>
                <b/>
                <i val="0"/>
                <color rgb="FFFF0000"/>
              </font>
            </x14:dxf>
          </x14:cfRule>
          <xm:sqref>X10:X12 Z10:Z12 AB10:AB12</xm:sqref>
        </x14:conditionalFormatting>
        <x14:conditionalFormatting xmlns:xm="http://schemas.microsoft.com/office/excel/2006/main">
          <x14:cfRule type="expression" priority="3769" id="{D129D7B1-C6BA-4D50-A900-9E22295819E7}">
            <xm:f>AND(E$16&lt;&gt;0,Unformatted!H160&gt;Tolerances!$W$3)</xm:f>
            <x14:dxf>
              <font>
                <b/>
                <i val="0"/>
                <color rgb="FFFF0000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3799" id="{D129D7B1-C6BA-4D50-A900-9E22295819E7}">
            <xm:f>AND(E$18&lt;&gt;0,Unformatted!H161&gt;=Tolerances!$W$3)</xm:f>
            <x14:dxf>
              <font>
                <b/>
                <i val="0"/>
                <color rgb="FFFF0000"/>
              </font>
            </x14:dxf>
          </x14:cfRule>
          <xm:sqref>E18</xm:sqref>
        </x14:conditionalFormatting>
        <x14:conditionalFormatting xmlns:xm="http://schemas.microsoft.com/office/excel/2006/main">
          <x14:cfRule type="expression" priority="3871" id="{D129D7B1-C6BA-4D50-A900-9E22295819E7}">
            <xm:f>AND(E$20&lt;&gt;0,Unformatted!H162&gt;=Tolerances!W3)</xm:f>
            <x14:dxf>
              <font>
                <b/>
                <i val="0"/>
                <color rgb="FFFF0000"/>
              </font>
            </x14:dxf>
          </x14:cfRule>
          <xm:sqref>E20</xm:sqref>
        </x14:conditionalFormatting>
        <x14:conditionalFormatting xmlns:xm="http://schemas.microsoft.com/office/excel/2006/main">
          <x14:cfRule type="expression" priority="3952" id="{A02F888C-4CA0-4D33-96B6-B40DD9194045}">
            <xm:f>X20&gt;Tolerances!AE2</xm:f>
            <x14:dxf>
              <font>
                <b/>
                <i val="0"/>
                <color rgb="FFFF0000"/>
              </font>
            </x14:dxf>
          </x14:cfRule>
          <xm:sqref>X20</xm:sqref>
        </x14:conditionalFormatting>
        <x14:conditionalFormatting xmlns:xm="http://schemas.microsoft.com/office/excel/2006/main">
          <x14:cfRule type="expression" priority="3963" id="{0C6C4D38-FA06-4BBA-9795-389070F3CD35}">
            <xm:f>Unformatted!C184=1</xm:f>
            <x14:dxf>
              <font>
                <b/>
                <i val="0"/>
                <color rgb="FFFF0000"/>
              </font>
            </x14:dxf>
          </x14:cfRule>
          <xm:sqref>W20</xm:sqref>
        </x14:conditionalFormatting>
        <x14:conditionalFormatting xmlns:xm="http://schemas.microsoft.com/office/excel/2006/main">
          <x14:cfRule type="expression" priority="4001" id="{0C6C4D38-FA06-4BBA-9795-389070F3CD35}">
            <xm:f>Unformatted!C185=1</xm:f>
            <x14:dxf>
              <font>
                <b/>
                <i val="0"/>
                <color rgb="FFFF0000"/>
              </font>
            </x14:dxf>
          </x14:cfRule>
          <xm:sqref>W22</xm:sqref>
        </x14:conditionalFormatting>
        <x14:conditionalFormatting xmlns:xm="http://schemas.microsoft.com/office/excel/2006/main">
          <x14:cfRule type="expression" priority="4651" id="{EC2AD31E-B897-45FE-A6FC-1E645EF352BE}">
            <xm:f>AND(Unformatted!$C$167,Unformatted!$C$167)</xm:f>
            <x14:dxf>
              <font>
                <b/>
                <i val="0"/>
                <color rgb="FFFF0000"/>
              </font>
            </x14:dxf>
          </x14:cfRule>
          <xm:sqref>O18 L18</xm:sqref>
        </x14:conditionalFormatting>
        <x14:conditionalFormatting xmlns:xm="http://schemas.microsoft.com/office/excel/2006/main">
          <x14:cfRule type="expression" priority="4663" id="{EC2AD31E-B897-45FE-A6FC-1E645EF352BE}">
            <xm:f>AND(Q18="",OR(Unformatted!$F$24="C",Unformatted!$F$24="P",Unformatted!$F$24="D"))</xm:f>
            <x14:dxf>
              <font>
                <b/>
                <i val="0"/>
                <color rgb="FFFF0000"/>
              </font>
            </x14:dxf>
          </x14:cfRule>
          <xm:sqref>M18</xm:sqref>
        </x14:conditionalFormatting>
        <x14:conditionalFormatting xmlns:xm="http://schemas.microsoft.com/office/excel/2006/main">
          <x14:cfRule type="expression" priority="4664" id="{35F04A7E-119C-4288-AF6D-6A54C585A31F}">
            <xm:f>AND(P18="",OR(Unformatted!$F$24="C",Unformatted!$F$24="P",Unformatted!$F$24="D"))</xm:f>
            <x14:dxf>
              <font>
                <b/>
                <i val="0"/>
                <color rgb="FFFF0000"/>
              </font>
            </x14:dxf>
          </x14:cfRule>
          <xm:sqref>R16</xm:sqref>
        </x14:conditionalFormatting>
        <x14:conditionalFormatting xmlns:xm="http://schemas.microsoft.com/office/excel/2006/main">
          <x14:cfRule type="expression" priority="6985" id="{D011284D-AE80-452F-98DC-C3CC11611CA5}">
            <xm:f>IF(AND(Unformatted!$C$167=1,Unformatted!$C$169=1,H60=1),1,IF(Unformatted!$C$167=1,1,0))</xm:f>
            <x14:dxf>
              <font>
                <b/>
                <i val="0"/>
                <color rgb="FFFF0000"/>
              </font>
            </x14:dxf>
          </x14:cfRule>
          <xm:sqref>P20:P21</xm:sqref>
        </x14:conditionalFormatting>
        <x14:conditionalFormatting xmlns:xm="http://schemas.microsoft.com/office/excel/2006/main">
          <x14:cfRule type="expression" priority="1" id="{D2C74B4C-FCBE-438A-B04B-1464D6A310E6}">
            <xm:f>AND(Unformatted!$E$166&lt;&gt;"N/A",Unformatted!$E$166&gt;Tolerances!$Z$2)</xm:f>
            <x14:dxf>
              <font>
                <b/>
                <i val="0"/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N13</xm:sqref>
        </x14:conditionalFormatting>
        <x14:conditionalFormatting xmlns:xm="http://schemas.microsoft.com/office/excel/2006/main">
          <x14:cfRule type="expression" priority="8020" id="{A7440E3B-4055-4E5F-B709-E8F9DD1A7392}">
            <xm:f>OR(Unformatted!$C$169,Unformatted!$C$170)</xm:f>
            <x14:dxf>
              <font>
                <b/>
                <i val="0"/>
                <color rgb="FFFF0000"/>
              </font>
            </x14:dxf>
          </x14:cfRule>
          <xm:sqref>O22:O23 L20:M21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A1:AL37"/>
  <sheetViews>
    <sheetView showGridLines="0" showRowColHeaders="0" zoomScaleNormal="100" workbookViewId="0">
      <selection activeCell="D14" sqref="D14"/>
    </sheetView>
  </sheetViews>
  <sheetFormatPr defaultColWidth="9.140625" defaultRowHeight="15" x14ac:dyDescent="0.25"/>
  <cols>
    <col min="1" max="1" width="1.7109375" customWidth="1"/>
    <col min="2" max="2" width="2" customWidth="1"/>
    <col min="3" max="3" width="5.5703125" customWidth="1"/>
    <col min="4" max="4" width="12.28515625" customWidth="1"/>
    <col min="5" max="5" width="2.140625" customWidth="1"/>
    <col min="6" max="6" width="9.140625" customWidth="1"/>
    <col min="7" max="7" width="1.42578125" customWidth="1"/>
    <col min="9" max="9" width="2.140625" customWidth="1"/>
    <col min="11" max="11" width="2.140625" customWidth="1"/>
    <col min="13" max="13" width="2.140625" customWidth="1"/>
    <col min="15" max="15" width="1.42578125" customWidth="1"/>
    <col min="16" max="16" width="9.140625" customWidth="1"/>
    <col min="17" max="17" width="2.140625" customWidth="1"/>
    <col min="18" max="18" width="22.28515625" customWidth="1"/>
    <col min="19" max="19" width="1.28515625" customWidth="1"/>
    <col min="20" max="20" width="0.42578125" customWidth="1"/>
    <col min="21" max="21" width="3" customWidth="1"/>
    <col min="23" max="23" width="9.7109375" customWidth="1"/>
    <col min="25" max="25" width="1.42578125" customWidth="1"/>
    <col min="26" max="26" width="10.5703125" bestFit="1" customWidth="1"/>
    <col min="27" max="27" width="1.42578125" customWidth="1"/>
    <col min="29" max="29" width="1.42578125" customWidth="1"/>
    <col min="31" max="31" width="1.42578125" customWidth="1"/>
    <col min="33" max="33" width="1.42578125" customWidth="1"/>
    <col min="34" max="34" width="12.85546875" customWidth="1"/>
    <col min="35" max="35" width="1.28515625" customWidth="1"/>
    <col min="36" max="36" width="1.5703125" customWidth="1"/>
  </cols>
  <sheetData>
    <row r="1" spans="1:38" s="611" customFormat="1" x14ac:dyDescent="0.25">
      <c r="C1" s="2"/>
      <c r="D1" s="2"/>
      <c r="E1" s="2"/>
      <c r="F1" s="2"/>
      <c r="G1" s="2"/>
      <c r="K1" s="2"/>
      <c r="L1" s="2"/>
      <c r="M1" s="2"/>
    </row>
    <row r="2" spans="1:38" s="611" customFormat="1" ht="23.25" x14ac:dyDescent="0.25">
      <c r="A2" s="107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 t="s">
        <v>581</v>
      </c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</row>
    <row r="3" spans="1:38" s="611" customFormat="1" ht="15.75" thickBot="1" x14ac:dyDescent="0.3">
      <c r="C3" s="429" t="str">
        <f>IF(Unformatted!C189&gt;0,"WARNING: Items highlighted in red are required.", "")</f>
        <v>WARNING: Items highlighted in red are required.</v>
      </c>
      <c r="E3" s="409"/>
      <c r="F3" s="409"/>
      <c r="G3" s="419"/>
      <c r="I3" s="430"/>
      <c r="J3" s="430"/>
      <c r="K3" s="419"/>
      <c r="L3" s="396"/>
      <c r="M3" s="410"/>
      <c r="N3" s="419"/>
      <c r="O3" s="396"/>
      <c r="P3" s="396"/>
      <c r="Q3" s="410"/>
      <c r="R3" s="409"/>
      <c r="S3" s="419"/>
    </row>
    <row r="4" spans="1:38" ht="21" customHeight="1" thickBot="1" x14ac:dyDescent="0.3">
      <c r="B4" s="962" t="s">
        <v>284</v>
      </c>
      <c r="C4" s="963"/>
      <c r="D4" s="963"/>
      <c r="E4" s="963"/>
      <c r="F4" s="963"/>
      <c r="G4" s="963"/>
      <c r="H4" s="963"/>
      <c r="I4" s="963"/>
      <c r="J4" s="963"/>
      <c r="K4" s="963"/>
      <c r="L4" s="963"/>
      <c r="M4" s="963"/>
      <c r="N4" s="963"/>
      <c r="O4" s="963"/>
      <c r="P4" s="963"/>
      <c r="Q4" s="963"/>
      <c r="R4" s="963"/>
      <c r="S4" s="963"/>
      <c r="T4" s="963"/>
      <c r="U4" s="963"/>
      <c r="V4" s="963"/>
      <c r="W4" s="963"/>
      <c r="X4" s="963"/>
      <c r="Y4" s="963"/>
      <c r="Z4" s="963"/>
      <c r="AA4" s="963"/>
      <c r="AB4" s="963"/>
      <c r="AC4" s="963"/>
      <c r="AD4" s="963"/>
      <c r="AE4" s="963"/>
      <c r="AF4" s="963"/>
      <c r="AG4" s="963"/>
      <c r="AH4" s="963"/>
      <c r="AI4" s="963"/>
      <c r="AJ4" s="964"/>
    </row>
    <row r="5" spans="1:38" ht="9.75" customHeight="1" x14ac:dyDescent="0.25">
      <c r="B5" s="11"/>
      <c r="C5" s="54" t="b">
        <f>AND(Unformatted!$E$48="COMPLETE",Unformatted!$F$196=3)</f>
        <v>0</v>
      </c>
      <c r="D5" s="54"/>
      <c r="E5" s="54"/>
      <c r="F5" s="54"/>
      <c r="G5" s="54"/>
      <c r="H5" s="54"/>
      <c r="I5" s="54"/>
      <c r="J5" s="54" t="b">
        <f>AND(Unformatted!$E$48="COMPLETE",Unformatted!$F$200=1)</f>
        <v>0</v>
      </c>
      <c r="K5" s="54"/>
      <c r="L5" s="54"/>
      <c r="M5" s="54"/>
      <c r="N5" s="54" t="b">
        <f>AND(Unformatted!$E$48="COMPLETE",OR(Unformatted!F198=0,AND(Unformatted!F198&lt;3,Unformatted!$F$197=3)))</f>
        <v>0</v>
      </c>
      <c r="O5" s="59"/>
      <c r="P5" s="59"/>
      <c r="Q5" s="59"/>
      <c r="R5" s="59"/>
      <c r="S5" s="59"/>
      <c r="AJ5" s="4"/>
    </row>
    <row r="6" spans="1:38" ht="24.75" customHeight="1" x14ac:dyDescent="0.25">
      <c r="B6" s="11"/>
      <c r="C6" s="184"/>
      <c r="D6" s="185" t="s">
        <v>540</v>
      </c>
      <c r="E6" s="58"/>
      <c r="F6" s="45"/>
      <c r="G6" s="45"/>
      <c r="H6" s="1058" t="s">
        <v>452</v>
      </c>
      <c r="I6" s="1058"/>
      <c r="J6" s="1058"/>
      <c r="K6" s="1058"/>
      <c r="L6" s="1058"/>
      <c r="M6" s="45"/>
      <c r="N6" s="45"/>
      <c r="O6" s="185" t="s">
        <v>60</v>
      </c>
      <c r="P6" s="45"/>
      <c r="Q6" s="45"/>
      <c r="R6" s="45"/>
      <c r="S6" s="45"/>
      <c r="T6" s="45"/>
      <c r="U6" s="45"/>
      <c r="V6" s="1044" t="s">
        <v>170</v>
      </c>
      <c r="W6" s="1044"/>
      <c r="X6" s="53" t="s">
        <v>616</v>
      </c>
      <c r="Y6" s="45"/>
      <c r="Z6" s="45"/>
      <c r="AA6" s="45"/>
      <c r="AB6" s="45"/>
      <c r="AC6" s="45"/>
      <c r="AD6" s="45"/>
      <c r="AE6" s="45"/>
      <c r="AF6" s="1051" t="s">
        <v>589</v>
      </c>
      <c r="AG6" s="45"/>
      <c r="AH6" s="1051" t="s">
        <v>618</v>
      </c>
      <c r="AI6" s="46"/>
      <c r="AJ6" s="4"/>
      <c r="AL6" s="37"/>
    </row>
    <row r="7" spans="1:38" ht="9.75" customHeight="1" thickBot="1" x14ac:dyDescent="0.3">
      <c r="B7" s="11"/>
      <c r="C7" s="47"/>
      <c r="S7" s="9"/>
      <c r="T7" s="1"/>
      <c r="U7" s="54" t="b">
        <f>AND(Unformatted!$E$48="COMPLETE",OR(X13=0,Z13=0,X18=0,Z18=0,AB18=0,X20=0))</f>
        <v>0</v>
      </c>
      <c r="AF7" s="1052"/>
      <c r="AH7" s="1052"/>
      <c r="AI7" s="48"/>
      <c r="AJ7" s="4"/>
    </row>
    <row r="8" spans="1:38" ht="15.75" customHeight="1" thickBot="1" x14ac:dyDescent="0.3">
      <c r="B8" s="11"/>
      <c r="C8" s="47"/>
      <c r="D8" s="36" t="s">
        <v>513</v>
      </c>
      <c r="N8" s="37"/>
      <c r="O8" s="37"/>
      <c r="P8" s="37"/>
      <c r="Q8" s="36" t="s">
        <v>65</v>
      </c>
      <c r="R8" s="118"/>
      <c r="S8" s="9"/>
      <c r="V8" s="186"/>
      <c r="AC8" s="2"/>
      <c r="AF8" s="379"/>
      <c r="AH8" s="201" t="str">
        <f>IF(AF8&gt;0,Unformatted!F623&amp;" Gm. In.","")</f>
        <v/>
      </c>
      <c r="AI8" s="48"/>
      <c r="AJ8" s="4"/>
    </row>
    <row r="9" spans="1:38" ht="14.25" customHeight="1" x14ac:dyDescent="0.25">
      <c r="B9" s="11"/>
      <c r="C9" s="77"/>
      <c r="D9" s="78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190"/>
      <c r="V9" s="190"/>
      <c r="W9" s="190"/>
      <c r="X9" s="50"/>
      <c r="Y9" s="50"/>
      <c r="Z9" s="50"/>
      <c r="AA9" s="50"/>
      <c r="AB9" s="78"/>
      <c r="AC9" s="78"/>
      <c r="AD9" s="50"/>
      <c r="AE9" s="50"/>
      <c r="AF9" s="50"/>
      <c r="AG9" s="50"/>
      <c r="AH9" s="189" t="str">
        <f>Unformatted!G626</f>
        <v>2W</v>
      </c>
      <c r="AI9" s="51"/>
      <c r="AJ9" s="4"/>
    </row>
    <row r="10" spans="1:38" ht="7.5" customHeight="1" x14ac:dyDescent="0.25">
      <c r="B10" s="11"/>
      <c r="F10" s="189"/>
      <c r="N10" s="50"/>
      <c r="S10" s="50"/>
      <c r="AJ10" s="4"/>
    </row>
    <row r="11" spans="1:38" ht="16.5" customHeight="1" x14ac:dyDescent="0.25">
      <c r="B11" s="11"/>
      <c r="C11" s="52" t="s">
        <v>287</v>
      </c>
      <c r="D11" s="53"/>
      <c r="E11" s="163" t="str">
        <f>IF(OR(Unformatted!H206="N/A",Unformatted!G206="N/A"),"",IF(ABS(Unformatted!H206-Unformatted!G206)&gt;0.0004,"ALERT: Journal Out of Round by "&amp;FIXED(ABS(Unformatted!H206-Unformatted!G206),4),""))</f>
        <v/>
      </c>
      <c r="G11" s="45"/>
      <c r="H11" s="45"/>
      <c r="I11" s="45"/>
      <c r="J11" s="45"/>
      <c r="K11" s="45"/>
      <c r="L11" s="45"/>
      <c r="M11" s="45"/>
      <c r="N11" s="951" t="str">
        <f>IF(OR(Unformatted!I206="N/A",Unformatted!J206="N/A"),"",IF(ABS(Unformatted!J206-Unformatted!I206)&gt;0.0004,"ALERT: Housing Out of Round by "&amp;FIXED(ABS(Unformatted!J206-Unformatted!I206),4),""))</f>
        <v/>
      </c>
      <c r="O11" s="45"/>
      <c r="P11" s="45"/>
      <c r="Q11" s="45"/>
      <c r="R11" s="45"/>
      <c r="S11" s="48"/>
      <c r="U11" s="194" t="s">
        <v>619</v>
      </c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191"/>
      <c r="AH11" s="191"/>
      <c r="AI11" s="192"/>
      <c r="AJ11" s="79"/>
    </row>
    <row r="12" spans="1:38" ht="16.5" thickBot="1" x14ac:dyDescent="0.3">
      <c r="B12" s="11"/>
      <c r="C12" s="47"/>
      <c r="F12" s="1057" t="s">
        <v>396</v>
      </c>
      <c r="G12" s="1057"/>
      <c r="H12" s="1057"/>
      <c r="N12" s="1057" t="s">
        <v>395</v>
      </c>
      <c r="O12" s="1057"/>
      <c r="P12" s="1057"/>
      <c r="Q12" s="167"/>
      <c r="S12" s="48"/>
      <c r="U12" s="193"/>
      <c r="X12" s="167" t="s">
        <v>282</v>
      </c>
      <c r="Z12" s="167" t="s">
        <v>283</v>
      </c>
      <c r="AG12" s="1"/>
      <c r="AH12" s="1"/>
      <c r="AI12" s="81"/>
      <c r="AJ12" s="80"/>
    </row>
    <row r="13" spans="1:38" ht="16.5" thickBot="1" x14ac:dyDescent="0.3">
      <c r="B13" s="11"/>
      <c r="C13" s="47"/>
      <c r="D13" s="181" t="s">
        <v>382</v>
      </c>
      <c r="E13" s="13"/>
      <c r="F13" s="167" t="s">
        <v>221</v>
      </c>
      <c r="G13" s="13"/>
      <c r="H13" s="167" t="s">
        <v>222</v>
      </c>
      <c r="I13" s="13"/>
      <c r="N13" s="167" t="s">
        <v>221</v>
      </c>
      <c r="O13" s="13"/>
      <c r="P13" s="167" t="s">
        <v>222</v>
      </c>
      <c r="Q13" s="13"/>
      <c r="S13" s="48"/>
      <c r="U13" s="47"/>
      <c r="W13" s="956" t="s">
        <v>267</v>
      </c>
      <c r="X13" s="40"/>
      <c r="Y13" s="37"/>
      <c r="Z13" s="40"/>
      <c r="AA13" s="37" t="s">
        <v>620</v>
      </c>
      <c r="AI13" s="48"/>
      <c r="AJ13" s="4"/>
    </row>
    <row r="14" spans="1:38" ht="15.75" thickBot="1" x14ac:dyDescent="0.3">
      <c r="B14" s="11"/>
      <c r="C14" s="172" t="s">
        <v>285</v>
      </c>
      <c r="D14" s="26"/>
      <c r="F14" s="34"/>
      <c r="G14" s="55"/>
      <c r="H14" s="34"/>
      <c r="I14" s="56"/>
      <c r="N14" s="34"/>
      <c r="O14" s="24"/>
      <c r="P14" s="34"/>
      <c r="Q14" s="140"/>
      <c r="S14" s="48"/>
      <c r="U14" s="47"/>
      <c r="W14" s="1050" t="str">
        <f>IFERROR(IF(Unformatted!L228&gt;0.0005,"ALERT: Shaft Ext Out of Round by "&amp;FIXED(Unformatted!L228,4),""),"")</f>
        <v/>
      </c>
      <c r="X14" s="1050"/>
      <c r="Y14" s="1050"/>
      <c r="Z14" s="1050"/>
      <c r="AA14" s="1050"/>
      <c r="AB14" s="1050"/>
      <c r="AI14" s="48"/>
      <c r="AJ14" s="4"/>
    </row>
    <row r="15" spans="1:38" ht="5.25" customHeight="1" thickBot="1" x14ac:dyDescent="0.3">
      <c r="B15" s="11"/>
      <c r="C15" s="49"/>
      <c r="S15" s="48"/>
      <c r="U15" s="47"/>
      <c r="W15" s="1050"/>
      <c r="X15" s="1050"/>
      <c r="Y15" s="1050"/>
      <c r="Z15" s="1050"/>
      <c r="AA15" s="1050"/>
      <c r="AB15" s="1050"/>
      <c r="AI15" s="48"/>
      <c r="AJ15" s="4"/>
    </row>
    <row r="16" spans="1:38" ht="15.75" thickBot="1" x14ac:dyDescent="0.3">
      <c r="B16" s="11"/>
      <c r="C16" s="49"/>
      <c r="E16" s="36" t="s">
        <v>380</v>
      </c>
      <c r="F16" s="634" t="str">
        <f>Unformatted!G207</f>
        <v/>
      </c>
      <c r="G16" s="63"/>
      <c r="H16" s="634" t="str">
        <f>Unformatted!H207</f>
        <v/>
      </c>
      <c r="I16" s="2"/>
      <c r="N16" s="634" t="str">
        <f>Unformatted!I207</f>
        <v/>
      </c>
      <c r="O16" s="38"/>
      <c r="P16" s="634" t="str">
        <f>Unformatted!J207</f>
        <v/>
      </c>
      <c r="Q16" s="82"/>
      <c r="S16" s="48"/>
      <c r="U16" s="47"/>
      <c r="X16" s="1055" t="s">
        <v>278</v>
      </c>
      <c r="Z16" s="1055" t="s">
        <v>279</v>
      </c>
      <c r="AB16" s="1055" t="s">
        <v>280</v>
      </c>
      <c r="AD16" s="1055" t="s">
        <v>281</v>
      </c>
      <c r="AF16" s="1053" t="s">
        <v>510</v>
      </c>
      <c r="AI16" s="48"/>
      <c r="AJ16" s="4"/>
    </row>
    <row r="17" spans="2:36" ht="5.25" customHeight="1" thickBot="1" x14ac:dyDescent="0.3">
      <c r="B17" s="11"/>
      <c r="C17" s="49"/>
      <c r="S17" s="48"/>
      <c r="U17" s="47"/>
      <c r="X17" s="1056"/>
      <c r="Y17" s="183"/>
      <c r="Z17" s="1056"/>
      <c r="AA17" s="183"/>
      <c r="AB17" s="1056"/>
      <c r="AC17" s="30"/>
      <c r="AD17" s="1056"/>
      <c r="AF17" s="1053"/>
      <c r="AI17" s="48"/>
      <c r="AJ17" s="4"/>
    </row>
    <row r="18" spans="2:36" ht="15.75" customHeight="1" thickBot="1" x14ac:dyDescent="0.3">
      <c r="B18" s="11"/>
      <c r="C18" s="49"/>
      <c r="D18" s="170" t="s">
        <v>451</v>
      </c>
      <c r="H18" s="170" t="s">
        <v>545</v>
      </c>
      <c r="N18" s="43" t="str">
        <f>IF(OR(Unformatted!I209="N/A",Unformatted!J209="N/A"),"",IF(ABS(Unformatted!J209-Unformatted!I209)&gt;0.0004,"ALERT: Housing Out of Round by "&amp;FIXED(ABS(Unformatted!J209-Unformatted!I209),4),""))</f>
        <v/>
      </c>
      <c r="O18" s="43"/>
      <c r="Q18" s="43"/>
      <c r="R18" s="43"/>
      <c r="S18" s="164"/>
      <c r="U18" s="47"/>
      <c r="W18" s="49" t="s">
        <v>289</v>
      </c>
      <c r="X18" s="40"/>
      <c r="Z18" s="40"/>
      <c r="AB18" s="40"/>
      <c r="AD18" s="957" t="str">
        <f>Unformatted!H228</f>
        <v>N/A</v>
      </c>
      <c r="AF18" s="1053"/>
      <c r="AI18" s="48"/>
      <c r="AJ18" s="4"/>
    </row>
    <row r="19" spans="2:36" ht="6.75" customHeight="1" thickBot="1" x14ac:dyDescent="0.3">
      <c r="B19" s="11"/>
      <c r="C19" s="49"/>
      <c r="D19" s="10"/>
      <c r="H19" s="10"/>
      <c r="N19" s="43"/>
      <c r="O19" s="43"/>
      <c r="P19" s="43"/>
      <c r="Q19" s="43"/>
      <c r="R19" s="43"/>
      <c r="S19" s="164"/>
      <c r="U19" s="47"/>
      <c r="AF19" s="1054"/>
      <c r="AI19" s="48"/>
      <c r="AJ19" s="4"/>
    </row>
    <row r="20" spans="2:36" ht="15.75" customHeight="1" thickBot="1" x14ac:dyDescent="0.3">
      <c r="B20" s="11"/>
      <c r="C20" s="1059" t="str">
        <f>IF(OR(Unformatted!G209="N/A",Unformatted!H209="N/A"),"",IF(ABS(Unformatted!H209-Unformatted!G209)&gt;0.0004,"ALERT: Journal Out of Round by "&amp;FIXED(ABS(Unformatted!H209-Unformatted!G209),4),""))</f>
        <v/>
      </c>
      <c r="D20" s="1060"/>
      <c r="E20" s="1060"/>
      <c r="F20" s="1060"/>
      <c r="G20" s="1060"/>
      <c r="H20" s="1060"/>
      <c r="S20" s="48"/>
      <c r="U20" s="47"/>
      <c r="W20" s="91" t="s">
        <v>288</v>
      </c>
      <c r="X20" s="40"/>
      <c r="Z20" s="40"/>
      <c r="AB20" s="40"/>
      <c r="AD20" s="195" t="str">
        <f>Unformatted!H229</f>
        <v>N/A</v>
      </c>
      <c r="AF20" s="195" t="str">
        <f>IF(Unformatted!I228=0,,Unformatted!I228)</f>
        <v>N/A</v>
      </c>
      <c r="AH20" s="1048" t="str">
        <f>Unformatted!I229</f>
        <v/>
      </c>
      <c r="AI20" s="48"/>
      <c r="AJ20" s="4"/>
    </row>
    <row r="21" spans="2:36" ht="15.75" customHeight="1" thickBot="1" x14ac:dyDescent="0.3">
      <c r="B21" s="11"/>
      <c r="C21" s="49"/>
      <c r="F21" s="167" t="s">
        <v>221</v>
      </c>
      <c r="H21" s="167" t="s">
        <v>222</v>
      </c>
      <c r="N21" s="167" t="s">
        <v>221</v>
      </c>
      <c r="P21" s="167" t="s">
        <v>222</v>
      </c>
      <c r="S21" s="48"/>
      <c r="U21" s="141"/>
      <c r="V21" s="50"/>
      <c r="W21" s="180" t="str">
        <f>IFERROR(IF(Unformatted!L229&gt;0.0005,"ALERT: Coupling Bore Out of Round by "&amp;FIXED(Unformatted!L229,4),""),"")</f>
        <v/>
      </c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1049"/>
      <c r="AI21" s="51"/>
      <c r="AJ21" s="4"/>
    </row>
    <row r="22" spans="2:36" ht="15.75" thickBot="1" x14ac:dyDescent="0.3">
      <c r="B22" s="11"/>
      <c r="C22" s="172" t="s">
        <v>286</v>
      </c>
      <c r="D22" s="26"/>
      <c r="F22" s="34"/>
      <c r="G22" s="55"/>
      <c r="H22" s="34"/>
      <c r="I22" s="56"/>
      <c r="N22" s="34"/>
      <c r="O22" s="55"/>
      <c r="P22" s="34"/>
      <c r="Q22" s="140"/>
      <c r="S22" s="48"/>
      <c r="U22" s="1046" t="s">
        <v>511</v>
      </c>
      <c r="V22" s="1046"/>
      <c r="W22" s="1046"/>
      <c r="X22" s="1046"/>
      <c r="Y22" s="45"/>
      <c r="Z22" s="45"/>
      <c r="AJ22" s="4"/>
    </row>
    <row r="23" spans="2:36" ht="5.25" customHeight="1" thickBot="1" x14ac:dyDescent="0.3">
      <c r="B23" s="11"/>
      <c r="C23" s="47"/>
      <c r="S23" s="48"/>
      <c r="U23" s="1047"/>
      <c r="V23" s="1047"/>
      <c r="W23" s="1047"/>
      <c r="X23" s="1047"/>
      <c r="AJ23" s="4"/>
    </row>
    <row r="24" spans="2:36" ht="15.75" customHeight="1" thickBot="1" x14ac:dyDescent="0.3">
      <c r="B24" s="11"/>
      <c r="C24" s="47"/>
      <c r="E24" s="36" t="s">
        <v>380</v>
      </c>
      <c r="F24" s="634" t="str">
        <f>Unformatted!G210</f>
        <v/>
      </c>
      <c r="G24" s="55"/>
      <c r="H24" s="195" t="str">
        <f>Unformatted!H210</f>
        <v/>
      </c>
      <c r="I24" s="2"/>
      <c r="N24" s="634" t="str">
        <f>Unformatted!I210</f>
        <v/>
      </c>
      <c r="O24" s="38"/>
      <c r="P24" s="634" t="str">
        <f>Unformatted!J210</f>
        <v/>
      </c>
      <c r="Q24" s="82"/>
      <c r="S24" s="48"/>
      <c r="AJ24" s="4"/>
    </row>
    <row r="25" spans="2:36" ht="5.25" customHeight="1" x14ac:dyDescent="0.25">
      <c r="B25" s="11"/>
      <c r="C25" s="47"/>
      <c r="F25" s="2"/>
      <c r="H25" s="2"/>
      <c r="I25" s="2"/>
      <c r="J25" s="2"/>
      <c r="L25" s="2"/>
      <c r="M25" s="2"/>
      <c r="S25" s="48"/>
      <c r="AJ25" s="4"/>
    </row>
    <row r="26" spans="2:36" x14ac:dyDescent="0.25">
      <c r="B26" s="11"/>
      <c r="C26" s="47"/>
      <c r="D26" s="89" t="s">
        <v>451</v>
      </c>
      <c r="F26" s="76"/>
      <c r="G26" s="76"/>
      <c r="H26" s="170" t="s">
        <v>545</v>
      </c>
      <c r="I26" s="76"/>
      <c r="J26" s="76"/>
      <c r="K26" s="76"/>
      <c r="L26" s="76"/>
      <c r="M26" s="3"/>
      <c r="S26" s="48"/>
      <c r="AJ26" s="4"/>
    </row>
    <row r="27" spans="2:36" ht="15" customHeight="1" x14ac:dyDescent="0.25">
      <c r="B27" s="11"/>
      <c r="C27" s="47"/>
      <c r="D27" s="76"/>
      <c r="E27" s="83"/>
      <c r="F27" s="76"/>
      <c r="G27" s="76"/>
      <c r="H27" s="76"/>
      <c r="I27" s="76"/>
      <c r="J27" s="76"/>
      <c r="K27" s="76"/>
      <c r="L27" s="76"/>
      <c r="M27" s="3"/>
      <c r="S27" s="48"/>
      <c r="AJ27" s="4"/>
    </row>
    <row r="28" spans="2:36" ht="13.5" customHeight="1" thickBot="1" x14ac:dyDescent="0.3">
      <c r="B28" s="11"/>
      <c r="C28" s="188" t="s">
        <v>615</v>
      </c>
      <c r="K28" s="187"/>
      <c r="L28" s="187"/>
      <c r="M28" s="2"/>
      <c r="S28" s="171"/>
      <c r="AJ28" s="4"/>
    </row>
    <row r="29" spans="2:36" ht="15.75" customHeight="1" thickBot="1" x14ac:dyDescent="0.3">
      <c r="B29" s="90"/>
      <c r="I29" s="36" t="s">
        <v>514</v>
      </c>
      <c r="J29" s="633"/>
      <c r="L29" s="170" t="s">
        <v>517</v>
      </c>
      <c r="O29" s="1045" t="s">
        <v>1453</v>
      </c>
      <c r="P29" s="1045"/>
      <c r="Q29" s="1045"/>
      <c r="R29" s="182"/>
      <c r="S29" s="48"/>
      <c r="AJ29" s="4"/>
    </row>
    <row r="30" spans="2:36" ht="5.25" customHeight="1" thickBot="1" x14ac:dyDescent="0.3">
      <c r="B30" s="90"/>
      <c r="I30" s="1"/>
      <c r="J30" s="140" t="s">
        <v>1524</v>
      </c>
      <c r="L30" s="13"/>
      <c r="O30" s="1045"/>
      <c r="P30" s="1045"/>
      <c r="Q30" s="1045"/>
      <c r="R30" s="182"/>
      <c r="S30" s="48"/>
      <c r="AJ30" s="4"/>
    </row>
    <row r="31" spans="2:36" ht="15.75" thickBot="1" x14ac:dyDescent="0.3">
      <c r="B31" s="90"/>
      <c r="I31" s="36" t="s">
        <v>515</v>
      </c>
      <c r="J31" s="633"/>
      <c r="K31" s="55"/>
      <c r="L31" s="1042" t="str">
        <f>Unformatted!F219</f>
        <v>N/A</v>
      </c>
      <c r="M31" s="1043"/>
      <c r="O31" s="1045"/>
      <c r="P31" s="1045"/>
      <c r="Q31" s="1045"/>
      <c r="R31" s="182"/>
      <c r="S31" s="48"/>
      <c r="AJ31" s="4"/>
    </row>
    <row r="32" spans="2:36" ht="5.25" customHeight="1" thickBot="1" x14ac:dyDescent="0.3">
      <c r="B32" s="11"/>
      <c r="C32" s="47"/>
      <c r="I32" s="1"/>
      <c r="J32" s="140"/>
      <c r="K32" s="55"/>
      <c r="L32" s="140"/>
      <c r="S32" s="48"/>
      <c r="AJ32" s="4"/>
    </row>
    <row r="33" spans="2:36" ht="15.75" thickBot="1" x14ac:dyDescent="0.3">
      <c r="B33" s="11"/>
      <c r="C33" s="47"/>
      <c r="I33" s="172" t="s">
        <v>516</v>
      </c>
      <c r="J33" s="632" t="str">
        <f>Unformatted!G221</f>
        <v>N/A</v>
      </c>
      <c r="S33" s="48"/>
      <c r="AJ33" s="4"/>
    </row>
    <row r="34" spans="2:36" x14ac:dyDescent="0.25">
      <c r="B34" s="11"/>
      <c r="C34" s="141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1"/>
      <c r="AJ34" s="4"/>
    </row>
    <row r="35" spans="2:36" ht="5.25" customHeight="1" thickBot="1" x14ac:dyDescent="0.3">
      <c r="B35" s="12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6"/>
    </row>
    <row r="37" spans="2:36" x14ac:dyDescent="0.25">
      <c r="J37" s="10"/>
      <c r="P37" s="10"/>
    </row>
  </sheetData>
  <sheetProtection sheet="1" selectLockedCells="1"/>
  <mergeCells count="18">
    <mergeCell ref="B4:AJ4"/>
    <mergeCell ref="F12:H12"/>
    <mergeCell ref="N12:P12"/>
    <mergeCell ref="H6:L6"/>
    <mergeCell ref="C20:H20"/>
    <mergeCell ref="L31:M31"/>
    <mergeCell ref="V6:W6"/>
    <mergeCell ref="O29:Q31"/>
    <mergeCell ref="U22:X23"/>
    <mergeCell ref="AH20:AH21"/>
    <mergeCell ref="W14:AB15"/>
    <mergeCell ref="AH6:AH7"/>
    <mergeCell ref="AF16:AF19"/>
    <mergeCell ref="X16:X17"/>
    <mergeCell ref="Z16:Z17"/>
    <mergeCell ref="AB16:AB17"/>
    <mergeCell ref="AD16:AD17"/>
    <mergeCell ref="AF6:AF7"/>
  </mergeCells>
  <conditionalFormatting sqref="F16">
    <cfRule type="expression" dxfId="335" priority="51">
      <formula>F16&lt;&gt;"OK"</formula>
    </cfRule>
  </conditionalFormatting>
  <conditionalFormatting sqref="H24">
    <cfRule type="expression" dxfId="334" priority="48">
      <formula>H24&lt;&gt;"OK"</formula>
    </cfRule>
  </conditionalFormatting>
  <conditionalFormatting sqref="N24">
    <cfRule type="expression" dxfId="333" priority="45">
      <formula>N24&lt;&gt;"OK"</formula>
    </cfRule>
  </conditionalFormatting>
  <conditionalFormatting sqref="H16">
    <cfRule type="expression" dxfId="332" priority="50">
      <formula>H16&lt;&gt;"OK"</formula>
    </cfRule>
  </conditionalFormatting>
  <conditionalFormatting sqref="F24">
    <cfRule type="expression" dxfId="331" priority="49">
      <formula>F24&lt;&gt;"OK"</formula>
    </cfRule>
  </conditionalFormatting>
  <conditionalFormatting sqref="N16">
    <cfRule type="expression" dxfId="330" priority="47">
      <formula>N16&lt;&gt;"OK"</formula>
    </cfRule>
  </conditionalFormatting>
  <conditionalFormatting sqref="P16:Q16">
    <cfRule type="expression" dxfId="329" priority="46">
      <formula>P16&lt;&gt;"OK"</formula>
    </cfRule>
  </conditionalFormatting>
  <conditionalFormatting sqref="P24:Q24">
    <cfRule type="expression" dxfId="328" priority="44">
      <formula>P24&lt;&gt;"OK"</formula>
    </cfRule>
  </conditionalFormatting>
  <conditionalFormatting sqref="L31">
    <cfRule type="expression" dxfId="327" priority="27">
      <formula>L31&lt;=0</formula>
    </cfRule>
  </conditionalFormatting>
  <conditionalFormatting sqref="W20">
    <cfRule type="expression" dxfId="326" priority="1">
      <formula>OR($X$20="",$Z$20="",$AB$20="")</formula>
    </cfRule>
  </conditionalFormatting>
  <conditionalFormatting sqref="AF6">
    <cfRule type="expression" dxfId="325" priority="2112">
      <formula>$O$31=""</formula>
    </cfRule>
  </conditionalFormatting>
  <conditionalFormatting sqref="W18">
    <cfRule type="expression" dxfId="324" priority="2159">
      <formula>OR(X18="",$Z$18="",$AB$18="")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7179" r:id="rId4" name="TextBox1">
          <controlPr locked="0" defaultSize="0" autoLine="0" linkedCell="Unformatted!E234" r:id="rId5">
            <anchor moveWithCells="1">
              <from>
                <xdr:col>20</xdr:col>
                <xdr:colOff>47625</xdr:colOff>
                <xdr:row>23</xdr:row>
                <xdr:rowOff>0</xdr:rowOff>
              </from>
              <to>
                <xdr:col>35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47179" r:id="rId4" name="TextBox1"/>
      </mc:Fallback>
    </mc:AlternateContent>
    <mc:AlternateContent xmlns:mc="http://schemas.openxmlformats.org/markup-compatibility/2006">
      <mc:Choice Requires="x14">
        <control shapeId="47108" r:id="rId6" name="Drop Down 4">
          <controlPr defaultSize="0" autoLine="0" autoPict="0">
            <anchor moveWithCells="1">
              <from>
                <xdr:col>21</xdr:col>
                <xdr:colOff>104775</xdr:colOff>
                <xdr:row>6</xdr:row>
                <xdr:rowOff>57150</xdr:rowOff>
              </from>
              <to>
                <xdr:col>22</xdr:col>
                <xdr:colOff>533400</xdr:colOff>
                <xdr:row>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109" r:id="rId7" name="Check Box 5">
          <controlPr defaultSize="0" autoFill="0" autoLine="0" autoPict="0">
            <anchor moveWithCells="1">
              <from>
                <xdr:col>9</xdr:col>
                <xdr:colOff>295275</xdr:colOff>
                <xdr:row>6</xdr:row>
                <xdr:rowOff>95250</xdr:rowOff>
              </from>
              <to>
                <xdr:col>11</xdr:col>
                <xdr:colOff>400050</xdr:colOff>
                <xdr:row>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110" r:id="rId8" name="Check Box 6">
          <controlPr defaultSize="0" autoFill="0" autoLine="0" autoPict="0">
            <anchor moveWithCells="1">
              <from>
                <xdr:col>7</xdr:col>
                <xdr:colOff>285750</xdr:colOff>
                <xdr:row>6</xdr:row>
                <xdr:rowOff>95250</xdr:rowOff>
              </from>
              <to>
                <xdr:col>9</xdr:col>
                <xdr:colOff>400050</xdr:colOff>
                <xdr:row>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111" r:id="rId9" name="Check Box 7">
          <controlPr defaultSize="0" autoFill="0" autoLine="0" autoPict="0">
            <anchor moveWithCells="1">
              <from>
                <xdr:col>7</xdr:col>
                <xdr:colOff>285750</xdr:colOff>
                <xdr:row>5</xdr:row>
                <xdr:rowOff>228600</xdr:rowOff>
              </from>
              <to>
                <xdr:col>9</xdr:col>
                <xdr:colOff>142875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117" r:id="rId10" name="Drop Down 13">
          <controlPr defaultSize="0" autoLine="0" autoPict="0">
            <anchor moveWithCells="1">
              <from>
                <xdr:col>17</xdr:col>
                <xdr:colOff>38100</xdr:colOff>
                <xdr:row>7</xdr:row>
                <xdr:rowOff>28575</xdr:rowOff>
              </from>
              <to>
                <xdr:col>17</xdr:col>
                <xdr:colOff>1066800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122" r:id="rId11" name="Check Box 18">
          <controlPr defaultSize="0" autoFill="0" autoLine="0" autoPict="0">
            <anchor moveWithCells="1">
              <from>
                <xdr:col>9</xdr:col>
                <xdr:colOff>295275</xdr:colOff>
                <xdr:row>5</xdr:row>
                <xdr:rowOff>238125</xdr:rowOff>
              </from>
              <to>
                <xdr:col>13</xdr:col>
                <xdr:colOff>47625</xdr:colOff>
                <xdr:row>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132" r:id="rId12" name="Drop Down 28">
          <controlPr defaultSize="0" autoLine="0" autoPict="0">
            <anchor moveWithCells="1">
              <from>
                <xdr:col>4</xdr:col>
                <xdr:colOff>28575</xdr:colOff>
                <xdr:row>7</xdr:row>
                <xdr:rowOff>19050</xdr:rowOff>
              </from>
              <to>
                <xdr:col>7</xdr:col>
                <xdr:colOff>47625</xdr:colOff>
                <xdr:row>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133" r:id="rId13" name="Drop Down 29">
          <controlPr defaultSize="0" autoLine="0" autoPict="0">
            <anchor moveWithCells="1">
              <from>
                <xdr:col>3</xdr:col>
                <xdr:colOff>476250</xdr:colOff>
                <xdr:row>17</xdr:row>
                <xdr:rowOff>19050</xdr:rowOff>
              </from>
              <to>
                <xdr:col>5</xdr:col>
                <xdr:colOff>428625</xdr:colOff>
                <xdr:row>17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134" r:id="rId14" name="Drop Down 30">
          <controlPr defaultSize="0" autoLine="0" autoPict="0">
            <anchor moveWithCells="1">
              <from>
                <xdr:col>3</xdr:col>
                <xdr:colOff>504825</xdr:colOff>
                <xdr:row>25</xdr:row>
                <xdr:rowOff>19050</xdr:rowOff>
              </from>
              <to>
                <xdr:col>5</xdr:col>
                <xdr:colOff>457200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135" r:id="rId15" name="Drop Down 31">
          <controlPr defaultSize="0" autoLine="0" autoPict="0">
            <anchor moveWithCells="1">
              <from>
                <xdr:col>4</xdr:col>
                <xdr:colOff>28575</xdr:colOff>
                <xdr:row>5</xdr:row>
                <xdr:rowOff>142875</xdr:rowOff>
              </from>
              <to>
                <xdr:col>7</xdr:col>
                <xdr:colOff>247650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136" r:id="rId16" name="Check Box 32">
          <controlPr defaultSize="0" autoFill="0" autoLine="0" autoPict="0">
            <anchor moveWithCells="1">
              <from>
                <xdr:col>7</xdr:col>
                <xdr:colOff>285750</xdr:colOff>
                <xdr:row>7</xdr:row>
                <xdr:rowOff>142875</xdr:rowOff>
              </from>
              <to>
                <xdr:col>9</xdr:col>
                <xdr:colOff>333375</xdr:colOff>
                <xdr:row>8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137" r:id="rId17" name="Check Box 33">
          <controlPr defaultSize="0" autoFill="0" autoLine="0" autoPict="0">
            <anchor moveWithCells="1">
              <from>
                <xdr:col>9</xdr:col>
                <xdr:colOff>295275</xdr:colOff>
                <xdr:row>7</xdr:row>
                <xdr:rowOff>142875</xdr:rowOff>
              </from>
              <to>
                <xdr:col>11</xdr:col>
                <xdr:colOff>476250</xdr:colOff>
                <xdr:row>8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181" r:id="rId18" name="Drop Down 77">
          <controlPr defaultSize="0" autoLine="0" autoPict="0">
            <anchor moveWithCells="1">
              <from>
                <xdr:col>9</xdr:col>
                <xdr:colOff>419100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183" r:id="rId19" name="Drop Down 79">
          <controlPr defaultSize="0" autoLine="0" autoPict="0">
            <anchor moveWithCells="1">
              <from>
                <xdr:col>9</xdr:col>
                <xdr:colOff>419100</xdr:colOff>
                <xdr:row>17</xdr:row>
                <xdr:rowOff>0</xdr:rowOff>
              </from>
              <to>
                <xdr:col>12</xdr:col>
                <xdr:colOff>19050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199" r:id="rId20" name="Check Box 95">
          <controlPr defaultSize="0" autoFill="0" autoLine="0" autoPict="0">
            <anchor moveWithCells="1">
              <from>
                <xdr:col>2</xdr:col>
                <xdr:colOff>333375</xdr:colOff>
                <xdr:row>28</xdr:row>
                <xdr:rowOff>47625</xdr:rowOff>
              </from>
              <to>
                <xdr:col>5</xdr:col>
                <xdr:colOff>85725</xdr:colOff>
                <xdr:row>32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00" r:id="rId21" name="Group Box 96">
          <controlPr defaultSize="0" autoFill="0" autoPict="0">
            <anchor moveWithCells="1">
              <from>
                <xdr:col>8</xdr:col>
                <xdr:colOff>76200</xdr:colOff>
                <xdr:row>11</xdr:row>
                <xdr:rowOff>0</xdr:rowOff>
              </from>
              <to>
                <xdr:col>12</xdr:col>
                <xdr:colOff>66675</xdr:colOff>
                <xdr:row>13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01" r:id="rId22" name="Check Box 97">
          <controlPr defaultSize="0" autoFill="0" autoLine="0" autoPict="0">
            <anchor moveWithCells="1">
              <from>
                <xdr:col>8</xdr:col>
                <xdr:colOff>66675</xdr:colOff>
                <xdr:row>10</xdr:row>
                <xdr:rowOff>200025</xdr:rowOff>
              </from>
              <to>
                <xdr:col>11</xdr:col>
                <xdr:colOff>57150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02" r:id="rId23" name="Check Box 98">
          <controlPr defaultSize="0" autoFill="0" autoLine="0" autoPict="0">
            <anchor moveWithCells="1">
              <from>
                <xdr:col>11</xdr:col>
                <xdr:colOff>95250</xdr:colOff>
                <xdr:row>10</xdr:row>
                <xdr:rowOff>209550</xdr:rowOff>
              </from>
              <to>
                <xdr:col>12</xdr:col>
                <xdr:colOff>76200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03" r:id="rId24" name="Check Box 99">
          <controlPr defaultSize="0" autoFill="0" autoLine="0" autoPict="0">
            <anchor moveWithCells="1">
              <from>
                <xdr:col>8</xdr:col>
                <xdr:colOff>66675</xdr:colOff>
                <xdr:row>11</xdr:row>
                <xdr:rowOff>190500</xdr:rowOff>
              </from>
              <to>
                <xdr:col>11</xdr:col>
                <xdr:colOff>95250</xdr:colOff>
                <xdr:row>12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04" r:id="rId25" name="Check Box 100">
          <controlPr defaultSize="0" autoFill="0" autoLine="0" autoPict="0">
            <anchor moveWithCells="1">
              <from>
                <xdr:col>8</xdr:col>
                <xdr:colOff>66675</xdr:colOff>
                <xdr:row>12</xdr:row>
                <xdr:rowOff>190500</xdr:rowOff>
              </from>
              <to>
                <xdr:col>11</xdr:col>
                <xdr:colOff>95250</xdr:colOff>
                <xdr:row>13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06" r:id="rId26" name="Check Box 102">
          <controlPr defaultSize="0" autoFill="0" autoLine="0" autoPict="0">
            <anchor moveWithCells="1">
              <from>
                <xdr:col>11</xdr:col>
                <xdr:colOff>95250</xdr:colOff>
                <xdr:row>11</xdr:row>
                <xdr:rowOff>190500</xdr:rowOff>
              </from>
              <to>
                <xdr:col>12</xdr:col>
                <xdr:colOff>85725</xdr:colOff>
                <xdr:row>12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07" r:id="rId27" name="Check Box 103">
          <controlPr defaultSize="0" autoFill="0" autoLine="0" autoPict="0">
            <anchor moveWithCells="1">
              <from>
                <xdr:col>11</xdr:col>
                <xdr:colOff>95250</xdr:colOff>
                <xdr:row>12</xdr:row>
                <xdr:rowOff>180975</xdr:rowOff>
              </from>
              <to>
                <xdr:col>12</xdr:col>
                <xdr:colOff>66675</xdr:colOff>
                <xdr:row>13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08" r:id="rId28" name="Group Box 104">
          <controlPr defaultSize="0" autoFill="0" autoPict="0">
            <anchor moveWithCells="1">
              <from>
                <xdr:col>16</xdr:col>
                <xdr:colOff>76200</xdr:colOff>
                <xdr:row>11</xdr:row>
                <xdr:rowOff>0</xdr:rowOff>
              </from>
              <to>
                <xdr:col>17</xdr:col>
                <xdr:colOff>1438275</xdr:colOff>
                <xdr:row>13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09" r:id="rId29" name="Check Box 105">
          <controlPr defaultSize="0" autoFill="0" autoLine="0" autoPict="0">
            <anchor moveWithCells="1">
              <from>
                <xdr:col>16</xdr:col>
                <xdr:colOff>66675</xdr:colOff>
                <xdr:row>10</xdr:row>
                <xdr:rowOff>200025</xdr:rowOff>
              </from>
              <to>
                <xdr:col>17</xdr:col>
                <xdr:colOff>809625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10" r:id="rId30" name="Check Box 106">
          <controlPr defaultSize="0" autoFill="0" autoLine="0" autoPict="0">
            <anchor moveWithCells="1">
              <from>
                <xdr:col>17</xdr:col>
                <xdr:colOff>809625</xdr:colOff>
                <xdr:row>10</xdr:row>
                <xdr:rowOff>200025</xdr:rowOff>
              </from>
              <to>
                <xdr:col>17</xdr:col>
                <xdr:colOff>1457325</xdr:colOff>
                <xdr:row>11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11" r:id="rId31" name="Check Box 107">
          <controlPr defaultSize="0" autoFill="0" autoLine="0" autoPict="0">
            <anchor moveWithCells="1">
              <from>
                <xdr:col>16</xdr:col>
                <xdr:colOff>66675</xdr:colOff>
                <xdr:row>11</xdr:row>
                <xdr:rowOff>190500</xdr:rowOff>
              </from>
              <to>
                <xdr:col>17</xdr:col>
                <xdr:colOff>857250</xdr:colOff>
                <xdr:row>12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12" r:id="rId32" name="Check Box 108">
          <controlPr defaultSize="0" autoFill="0" autoLine="0" autoPict="0">
            <anchor moveWithCells="1">
              <from>
                <xdr:col>16</xdr:col>
                <xdr:colOff>66675</xdr:colOff>
                <xdr:row>12</xdr:row>
                <xdr:rowOff>190500</xdr:rowOff>
              </from>
              <to>
                <xdr:col>17</xdr:col>
                <xdr:colOff>857250</xdr:colOff>
                <xdr:row>13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13" r:id="rId33" name="Check Box 109">
          <controlPr defaultSize="0" autoFill="0" autoLine="0" autoPict="0">
            <anchor moveWithCells="1">
              <from>
                <xdr:col>17</xdr:col>
                <xdr:colOff>809625</xdr:colOff>
                <xdr:row>11</xdr:row>
                <xdr:rowOff>190500</xdr:rowOff>
              </from>
              <to>
                <xdr:col>17</xdr:col>
                <xdr:colOff>1438275</xdr:colOff>
                <xdr:row>12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14" r:id="rId34" name="Check Box 110">
          <controlPr defaultSize="0" autoFill="0" autoLine="0" autoPict="0">
            <anchor moveWithCells="1">
              <from>
                <xdr:col>17</xdr:col>
                <xdr:colOff>809625</xdr:colOff>
                <xdr:row>12</xdr:row>
                <xdr:rowOff>180975</xdr:rowOff>
              </from>
              <to>
                <xdr:col>20</xdr:col>
                <xdr:colOff>57150</xdr:colOff>
                <xdr:row>13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27" r:id="rId35" name="Group Box 123">
          <controlPr defaultSize="0" autoFill="0" autoPict="0">
            <anchor moveWithCells="1">
              <from>
                <xdr:col>8</xdr:col>
                <xdr:colOff>76200</xdr:colOff>
                <xdr:row>19</xdr:row>
                <xdr:rowOff>9525</xdr:rowOff>
              </from>
              <to>
                <xdr:col>12</xdr:col>
                <xdr:colOff>66675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28" r:id="rId36" name="Check Box 124">
          <controlPr defaultSize="0" autoFill="0" autoLine="0" autoPict="0">
            <anchor moveWithCells="1">
              <from>
                <xdr:col>8</xdr:col>
                <xdr:colOff>66675</xdr:colOff>
                <xdr:row>18</xdr:row>
                <xdr:rowOff>85725</xdr:rowOff>
              </from>
              <to>
                <xdr:col>11</xdr:col>
                <xdr:colOff>9525</xdr:colOff>
                <xdr:row>20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29" r:id="rId37" name="Check Box 125">
          <controlPr defaultSize="0" autoFill="0" autoLine="0" autoPict="0">
            <anchor moveWithCells="1">
              <from>
                <xdr:col>11</xdr:col>
                <xdr:colOff>66675</xdr:colOff>
                <xdr:row>19</xdr:row>
                <xdr:rowOff>0</xdr:rowOff>
              </from>
              <to>
                <xdr:col>12</xdr:col>
                <xdr:colOff>76200</xdr:colOff>
                <xdr:row>20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30" r:id="rId38" name="Check Box 126">
          <controlPr defaultSize="0" autoFill="0" autoLine="0" autoPict="0">
            <anchor moveWithCells="1">
              <from>
                <xdr:col>8</xdr:col>
                <xdr:colOff>66675</xdr:colOff>
                <xdr:row>19</xdr:row>
                <xdr:rowOff>190500</xdr:rowOff>
              </from>
              <to>
                <xdr:col>11</xdr:col>
                <xdr:colOff>9525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31" r:id="rId39" name="Check Box 127">
          <controlPr defaultSize="0" autoFill="0" autoLine="0" autoPict="0">
            <anchor moveWithCells="1">
              <from>
                <xdr:col>8</xdr:col>
                <xdr:colOff>66675</xdr:colOff>
                <xdr:row>20</xdr:row>
                <xdr:rowOff>190500</xdr:rowOff>
              </from>
              <to>
                <xdr:col>11</xdr:col>
                <xdr:colOff>47625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32" r:id="rId40" name="Check Box 128">
          <controlPr defaultSize="0" autoFill="0" autoLine="0" autoPict="0">
            <anchor moveWithCells="1">
              <from>
                <xdr:col>11</xdr:col>
                <xdr:colOff>66675</xdr:colOff>
                <xdr:row>19</xdr:row>
                <xdr:rowOff>190500</xdr:rowOff>
              </from>
              <to>
                <xdr:col>12</xdr:col>
                <xdr:colOff>76200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33" r:id="rId41" name="Check Box 129">
          <controlPr defaultSize="0" autoFill="0" autoLine="0" autoPict="0">
            <anchor moveWithCells="1">
              <from>
                <xdr:col>11</xdr:col>
                <xdr:colOff>66675</xdr:colOff>
                <xdr:row>20</xdr:row>
                <xdr:rowOff>190500</xdr:rowOff>
              </from>
              <to>
                <xdr:col>12</xdr:col>
                <xdr:colOff>28575</xdr:colOff>
                <xdr:row>22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34" r:id="rId42" name="Group Box 130">
          <controlPr defaultSize="0" autoFill="0" autoPict="0">
            <anchor moveWithCells="1">
              <from>
                <xdr:col>16</xdr:col>
                <xdr:colOff>76200</xdr:colOff>
                <xdr:row>19</xdr:row>
                <xdr:rowOff>0</xdr:rowOff>
              </from>
              <to>
                <xdr:col>17</xdr:col>
                <xdr:colOff>1428750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35" r:id="rId43" name="Check Box 131">
          <controlPr defaultSize="0" autoFill="0" autoLine="0" autoPict="0">
            <anchor moveWithCells="1">
              <from>
                <xdr:col>16</xdr:col>
                <xdr:colOff>66675</xdr:colOff>
                <xdr:row>18</xdr:row>
                <xdr:rowOff>76200</xdr:rowOff>
              </from>
              <to>
                <xdr:col>17</xdr:col>
                <xdr:colOff>809625</xdr:colOff>
                <xdr:row>20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36" r:id="rId44" name="Check Box 132">
          <controlPr defaultSize="0" autoFill="0" autoLine="0" autoPict="0">
            <anchor moveWithCells="1">
              <from>
                <xdr:col>17</xdr:col>
                <xdr:colOff>828675</xdr:colOff>
                <xdr:row>19</xdr:row>
                <xdr:rowOff>0</xdr:rowOff>
              </from>
              <to>
                <xdr:col>17</xdr:col>
                <xdr:colOff>1447800</xdr:colOff>
                <xdr:row>20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37" r:id="rId45" name="Check Box 133">
          <controlPr defaultSize="0" autoFill="0" autoLine="0" autoPict="0">
            <anchor moveWithCells="1">
              <from>
                <xdr:col>16</xdr:col>
                <xdr:colOff>66675</xdr:colOff>
                <xdr:row>19</xdr:row>
                <xdr:rowOff>190500</xdr:rowOff>
              </from>
              <to>
                <xdr:col>17</xdr:col>
                <xdr:colOff>819150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38" r:id="rId46" name="Check Box 134">
          <controlPr defaultSize="0" autoFill="0" autoLine="0" autoPict="0">
            <anchor moveWithCells="1">
              <from>
                <xdr:col>16</xdr:col>
                <xdr:colOff>66675</xdr:colOff>
                <xdr:row>21</xdr:row>
                <xdr:rowOff>0</xdr:rowOff>
              </from>
              <to>
                <xdr:col>17</xdr:col>
                <xdr:colOff>819150</xdr:colOff>
                <xdr:row>22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39" r:id="rId47" name="Check Box 135">
          <controlPr defaultSize="0" autoFill="0" autoLine="0" autoPict="0">
            <anchor moveWithCells="1">
              <from>
                <xdr:col>17</xdr:col>
                <xdr:colOff>828675</xdr:colOff>
                <xdr:row>19</xdr:row>
                <xdr:rowOff>200025</xdr:rowOff>
              </from>
              <to>
                <xdr:col>17</xdr:col>
                <xdr:colOff>1438275</xdr:colOff>
                <xdr:row>21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40" r:id="rId48" name="Check Box 136">
          <controlPr defaultSize="0" autoFill="0" autoLine="0" autoPict="0">
            <anchor moveWithCells="1">
              <from>
                <xdr:col>17</xdr:col>
                <xdr:colOff>828675</xdr:colOff>
                <xdr:row>21</xdr:row>
                <xdr:rowOff>0</xdr:rowOff>
              </from>
              <to>
                <xdr:col>17</xdr:col>
                <xdr:colOff>1428750</xdr:colOff>
                <xdr:row>22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50" r:id="rId49" name="Option Button 146">
          <controlPr defaultSize="0" autoFill="0" autoLine="0" autoPict="0">
            <anchor moveWithCells="1">
              <from>
                <xdr:col>9</xdr:col>
                <xdr:colOff>85725</xdr:colOff>
                <xdr:row>14</xdr:row>
                <xdr:rowOff>66675</xdr:rowOff>
              </from>
              <to>
                <xdr:col>10</xdr:col>
                <xdr:colOff>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51" r:id="rId50" name="Option Button 147">
          <controlPr defaultSize="0" autoFill="0" autoLine="0" autoPict="0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52" r:id="rId51" name="Group Box 148">
          <controlPr defaultSize="0" autoFill="0" autoPict="0">
            <anchor moveWithCells="1">
              <from>
                <xdr:col>9</xdr:col>
                <xdr:colOff>0</xdr:colOff>
                <xdr:row>14</xdr:row>
                <xdr:rowOff>66675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53" r:id="rId52" name="Option Button 149">
          <controlPr defaultSize="0" autoFill="0" autoLine="0" autoPict="0">
            <anchor moveWithCells="1">
              <from>
                <xdr:col>17</xdr:col>
                <xdr:colOff>133350</xdr:colOff>
                <xdr:row>15</xdr:row>
                <xdr:rowOff>0</xdr:rowOff>
              </from>
              <to>
                <xdr:col>17</xdr:col>
                <xdr:colOff>666750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54" r:id="rId53" name="Option Button 150">
          <controlPr defaultSize="0" autoFill="0" autoLine="0" autoPict="0">
            <anchor moveWithCells="1">
              <from>
                <xdr:col>17</xdr:col>
                <xdr:colOff>800100</xdr:colOff>
                <xdr:row>15</xdr:row>
                <xdr:rowOff>0</xdr:rowOff>
              </from>
              <to>
                <xdr:col>17</xdr:col>
                <xdr:colOff>1381125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55" r:id="rId54" name="Group Box 151">
          <controlPr defaultSize="0" autoFill="0" autoPict="0">
            <anchor moveWithCells="1">
              <from>
                <xdr:col>17</xdr:col>
                <xdr:colOff>0</xdr:colOff>
                <xdr:row>15</xdr:row>
                <xdr:rowOff>0</xdr:rowOff>
              </from>
              <to>
                <xdr:col>17</xdr:col>
                <xdr:colOff>1390650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56" r:id="rId55" name="Option Button 152">
          <controlPr defaultSize="0" autoFill="0" autoLine="0" autoPict="0">
            <anchor moveWithCells="1">
              <from>
                <xdr:col>9</xdr:col>
                <xdr:colOff>85725</xdr:colOff>
                <xdr:row>23</xdr:row>
                <xdr:rowOff>9525</xdr:rowOff>
              </from>
              <to>
                <xdr:col>10</xdr:col>
                <xdr:colOff>85725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57" r:id="rId56" name="Option Button 153">
          <controlPr defaultSize="0" autoFill="0" autoLine="0" autoPict="0">
            <anchor moveWithCells="1">
              <from>
                <xdr:col>11</xdr:col>
                <xdr:colOff>0</xdr:colOff>
                <xdr:row>23</xdr:row>
                <xdr:rowOff>9525</xdr:rowOff>
              </from>
              <to>
                <xdr:col>11</xdr:col>
                <xdr:colOff>476250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58" r:id="rId57" name="Group Box 154">
          <controlPr defaultSize="0" autoFill="0" autoPict="0">
            <anchor moveWithCells="1">
              <from>
                <xdr:col>8</xdr:col>
                <xdr:colOff>142875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59" r:id="rId58" name="Option Button 155">
          <controlPr defaultSize="0" autoFill="0" autoLine="0" autoPict="0">
            <anchor moveWithCells="1">
              <from>
                <xdr:col>17</xdr:col>
                <xdr:colOff>133350</xdr:colOff>
                <xdr:row>23</xdr:row>
                <xdr:rowOff>9525</xdr:rowOff>
              </from>
              <to>
                <xdr:col>17</xdr:col>
                <xdr:colOff>704850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60" r:id="rId59" name="Option Button 156">
          <controlPr defaultSize="0" autoFill="0" autoLine="0" autoPict="0">
            <anchor moveWithCells="1">
              <from>
                <xdr:col>17</xdr:col>
                <xdr:colOff>800100</xdr:colOff>
                <xdr:row>23</xdr:row>
                <xdr:rowOff>9525</xdr:rowOff>
              </from>
              <to>
                <xdr:col>17</xdr:col>
                <xdr:colOff>1371600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61" r:id="rId60" name="Group Box 157">
          <controlPr defaultSize="0" autoFill="0" autoPict="0">
            <anchor moveWithCells="1">
              <from>
                <xdr:col>17</xdr:col>
                <xdr:colOff>9525</xdr:colOff>
                <xdr:row>22</xdr:row>
                <xdr:rowOff>66675</xdr:rowOff>
              </from>
              <to>
                <xdr:col>17</xdr:col>
                <xdr:colOff>1371600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66" r:id="rId61" name="Option Button 162">
          <controlPr defaultSize="0" autoFill="0" autoLine="0" autoPict="0">
            <anchor moveWithCells="1">
              <from>
                <xdr:col>17</xdr:col>
                <xdr:colOff>66675</xdr:colOff>
                <xdr:row>27</xdr:row>
                <xdr:rowOff>0</xdr:rowOff>
              </from>
              <to>
                <xdr:col>17</xdr:col>
                <xdr:colOff>1209675</xdr:colOff>
                <xdr:row>28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67" r:id="rId62" name="Option Button 163">
          <controlPr defaultSize="0" autoFill="0" autoLine="0" autoPict="0">
            <anchor moveWithCells="1">
              <from>
                <xdr:col>17</xdr:col>
                <xdr:colOff>66675</xdr:colOff>
                <xdr:row>28</xdr:row>
                <xdr:rowOff>38100</xdr:rowOff>
              </from>
              <to>
                <xdr:col>17</xdr:col>
                <xdr:colOff>1209675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68" r:id="rId63" name="Option Button 164">
          <controlPr defaultSize="0" autoFill="0" autoLine="0" autoPict="0">
            <anchor moveWithCells="1">
              <from>
                <xdr:col>17</xdr:col>
                <xdr:colOff>66675</xdr:colOff>
                <xdr:row>29</xdr:row>
                <xdr:rowOff>57150</xdr:rowOff>
              </from>
              <to>
                <xdr:col>17</xdr:col>
                <xdr:colOff>1209675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70" r:id="rId64" name="Group Box 166">
          <controlPr defaultSize="0" autoFill="0" autoPict="0">
            <anchor moveWithCells="1">
              <from>
                <xdr:col>2</xdr:col>
                <xdr:colOff>114300</xdr:colOff>
                <xdr:row>26</xdr:row>
                <xdr:rowOff>104775</xdr:rowOff>
              </from>
              <to>
                <xdr:col>17</xdr:col>
                <xdr:colOff>1476375</xdr:colOff>
                <xdr:row>33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71" r:id="rId65" name="Group Box 167">
          <controlPr defaultSize="0" autoFill="0" autoPict="0">
            <anchor moveWithCells="1">
              <from>
                <xdr:col>23</xdr:col>
                <xdr:colOff>104775</xdr:colOff>
                <xdr:row>5</xdr:row>
                <xdr:rowOff>76200</xdr:rowOff>
              </from>
              <to>
                <xdr:col>30</xdr:col>
                <xdr:colOff>0</xdr:colOff>
                <xdr:row>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74" r:id="rId66" name="Option Button 170">
          <controlPr defaultSize="0" autoFill="0" autoLine="0" autoPict="0">
            <anchor moveWithCells="1">
              <from>
                <xdr:col>23</xdr:col>
                <xdr:colOff>209550</xdr:colOff>
                <xdr:row>6</xdr:row>
                <xdr:rowOff>9525</xdr:rowOff>
              </from>
              <to>
                <xdr:col>25</xdr:col>
                <xdr:colOff>9525</xdr:colOff>
                <xdr:row>7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75" r:id="rId67" name="Option Button 171">
          <controlPr defaultSize="0" autoFill="0" autoLine="0" autoPict="0">
            <anchor moveWithCells="1">
              <from>
                <xdr:col>24</xdr:col>
                <xdr:colOff>142875</xdr:colOff>
                <xdr:row>6</xdr:row>
                <xdr:rowOff>9525</xdr:rowOff>
              </from>
              <to>
                <xdr:col>25</xdr:col>
                <xdr:colOff>466725</xdr:colOff>
                <xdr:row>7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77" r:id="rId68" name="Check Box 173">
          <controlPr defaultSize="0" autoFill="0" autoLine="0" autoPict="0">
            <anchor moveWithCells="1">
              <from>
                <xdr:col>25</xdr:col>
                <xdr:colOff>552450</xdr:colOff>
                <xdr:row>5</xdr:row>
                <xdr:rowOff>85725</xdr:rowOff>
              </from>
              <to>
                <xdr:col>27</xdr:col>
                <xdr:colOff>561975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78" r:id="rId69" name="Check Box 174">
          <controlPr defaultSize="0" autoFill="0" autoLine="0" autoPict="0">
            <anchor moveWithCells="1">
              <from>
                <xdr:col>28</xdr:col>
                <xdr:colOff>28575</xdr:colOff>
                <xdr:row>5</xdr:row>
                <xdr:rowOff>266700</xdr:rowOff>
              </from>
              <to>
                <xdr:col>29</xdr:col>
                <xdr:colOff>476250</xdr:colOff>
                <xdr:row>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79" r:id="rId70" name="Check Box 175">
          <controlPr defaultSize="0" autoFill="0" autoLine="0" autoPict="0">
            <anchor moveWithCells="1">
              <from>
                <xdr:col>28</xdr:col>
                <xdr:colOff>28575</xdr:colOff>
                <xdr:row>5</xdr:row>
                <xdr:rowOff>95250</xdr:rowOff>
              </from>
              <to>
                <xdr:col>29</xdr:col>
                <xdr:colOff>495300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80" r:id="rId71" name="Check Box 176">
          <controlPr defaultSize="0" autoFill="0" autoLine="0" autoPict="0">
            <anchor moveWithCells="1">
              <from>
                <xdr:col>25</xdr:col>
                <xdr:colOff>552450</xdr:colOff>
                <xdr:row>5</xdr:row>
                <xdr:rowOff>295275</xdr:rowOff>
              </from>
              <to>
                <xdr:col>28</xdr:col>
                <xdr:colOff>9525</xdr:colOff>
                <xdr:row>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81" r:id="rId72" name="Check Box 177">
          <controlPr defaultSize="0" autoFill="0" autoLine="0" autoPict="0">
            <anchor moveWithCells="1">
              <from>
                <xdr:col>25</xdr:col>
                <xdr:colOff>552450</xdr:colOff>
                <xdr:row>7</xdr:row>
                <xdr:rowOff>38100</xdr:rowOff>
              </from>
              <to>
                <xdr:col>28</xdr:col>
                <xdr:colOff>47625</xdr:colOff>
                <xdr:row>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82" r:id="rId73" name="Check Box 178">
          <controlPr defaultSize="0" autoFill="0" autoLine="0" autoPict="0">
            <anchor moveWithCells="1">
              <from>
                <xdr:col>28</xdr:col>
                <xdr:colOff>28575</xdr:colOff>
                <xdr:row>7</xdr:row>
                <xdr:rowOff>19050</xdr:rowOff>
              </from>
              <to>
                <xdr:col>29</xdr:col>
                <xdr:colOff>485775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91" r:id="rId74" name="Group Box 187">
          <controlPr defaultSize="0" autoFill="0" autoPict="0">
            <anchor moveWithCells="1">
              <from>
                <xdr:col>13</xdr:col>
                <xdr:colOff>266700</xdr:colOff>
                <xdr:row>5</xdr:row>
                <xdr:rowOff>57150</xdr:rowOff>
              </from>
              <to>
                <xdr:col>17</xdr:col>
                <xdr:colOff>1314450</xdr:colOff>
                <xdr:row>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95" r:id="rId75" name="Option Button 191">
          <controlPr defaultSize="0" autoFill="0" autoLine="0" autoPict="0">
            <anchor moveWithCells="1">
              <from>
                <xdr:col>15</xdr:col>
                <xdr:colOff>66675</xdr:colOff>
                <xdr:row>5</xdr:row>
                <xdr:rowOff>133350</xdr:rowOff>
              </from>
              <to>
                <xdr:col>15</xdr:col>
                <xdr:colOff>600075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96" r:id="rId76" name="Option Button 192">
          <controlPr defaultSize="0" autoFill="0" autoLine="0" autoPict="0">
            <anchor moveWithCells="1">
              <from>
                <xdr:col>16</xdr:col>
                <xdr:colOff>76200</xdr:colOff>
                <xdr:row>5</xdr:row>
                <xdr:rowOff>133350</xdr:rowOff>
              </from>
              <to>
                <xdr:col>17</xdr:col>
                <xdr:colOff>476250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97" r:id="rId77" name="Option Button 193">
          <controlPr defaultSize="0" autoFill="0" autoLine="0" autoPict="0">
            <anchor moveWithCells="1">
              <from>
                <xdr:col>17</xdr:col>
                <xdr:colOff>561975</xdr:colOff>
                <xdr:row>5</xdr:row>
                <xdr:rowOff>142875</xdr:rowOff>
              </from>
              <to>
                <xdr:col>17</xdr:col>
                <xdr:colOff>1114425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299" r:id="rId78" name="Option Button 195">
          <controlPr defaultSize="0" autoFill="0" autoLine="0" autoPict="0" macro="[0]!OptionButton195_Click">
            <anchor moveWithCells="1">
              <from>
                <xdr:col>17</xdr:col>
                <xdr:colOff>66675</xdr:colOff>
                <xdr:row>31</xdr:row>
                <xdr:rowOff>9525</xdr:rowOff>
              </from>
              <to>
                <xdr:col>17</xdr:col>
                <xdr:colOff>1209675</xdr:colOff>
                <xdr:row>32</xdr:row>
                <xdr:rowOff>152400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" id="{00000000-000E-0000-0600-00001A000000}">
            <xm:f>AND(AF20&lt;&gt;"N/A",AF20&gt;Tolerances!$Z$9)</xm:f>
            <x14:dxf>
              <font>
                <b/>
                <i val="0"/>
                <color rgb="FFFF0000"/>
              </font>
            </x14:dxf>
          </x14:cfRule>
          <xm:sqref>AF20</xm:sqref>
        </x14:conditionalFormatting>
        <x14:conditionalFormatting xmlns:xm="http://schemas.microsoft.com/office/excel/2006/main">
          <x14:cfRule type="expression" priority="43" id="{0DCD84C4-2A98-4CFF-9B05-C9FD9752D14C}">
            <xm:f>$X$13&gt;Tolerances!$Z$7</xm:f>
            <x14:dxf>
              <font>
                <b/>
                <i val="0"/>
                <color rgb="FFFF0000"/>
              </font>
            </x14:dxf>
          </x14:cfRule>
          <xm:sqref>X13</xm:sqref>
        </x14:conditionalFormatting>
        <x14:conditionalFormatting xmlns:xm="http://schemas.microsoft.com/office/excel/2006/main">
          <x14:cfRule type="expression" priority="42" id="{64A82967-1F23-40B4-B1C6-206145C22A66}">
            <xm:f>$Z$13&gt;Tolerances!$Z$6</xm:f>
            <x14:dxf>
              <font>
                <b/>
                <i val="0"/>
                <color rgb="FFFF0000"/>
              </font>
            </x14:dxf>
          </x14:cfRule>
          <xm:sqref>Z13</xm:sqref>
        </x14:conditionalFormatting>
        <x14:conditionalFormatting xmlns:xm="http://schemas.microsoft.com/office/excel/2006/main">
          <x14:cfRule type="expression" priority="4" id="{DBB4B13F-C292-4553-898E-89FED08DF1A0}">
            <xm:f>Unformatted!$C$208=1</xm:f>
            <x14:dxf>
              <font>
                <b/>
                <i val="0"/>
                <color rgb="FFFF0000"/>
              </font>
            </x14:dxf>
          </x14:cfRule>
          <x14:cfRule type="expression" priority="39" id="{76902B35-A04A-4AA9-AC85-FDD6C9EDA6E9}">
            <xm:f>Unformatted!$C$205=1</xm:f>
            <x14:dxf>
              <font>
                <b/>
                <i val="0"/>
                <color rgb="FFFF0000"/>
              </font>
            </x14:dxf>
          </x14:cfRule>
          <xm:sqref>D13</xm:sqref>
        </x14:conditionalFormatting>
        <x14:conditionalFormatting xmlns:xm="http://schemas.microsoft.com/office/excel/2006/main">
          <x14:cfRule type="expression" priority="38" id="{3E904580-3B07-404F-BC4E-9E35467D1BF7}">
            <xm:f>AND(Unformatted!$E$48="COMPLETE",D14="")</xm:f>
            <x14:dxf>
              <font>
                <b/>
                <i val="0"/>
                <color rgb="FFFF0000"/>
              </font>
            </x14:dxf>
          </x14:cfRule>
          <xm:sqref>C14</xm:sqref>
        </x14:conditionalFormatting>
        <x14:conditionalFormatting xmlns:xm="http://schemas.microsoft.com/office/excel/2006/main">
          <x14:cfRule type="expression" priority="37" id="{09B7EE61-7A70-418F-99C5-3C69DE09851A}">
            <xm:f>AND(Unformatted!$E$48="COMPLETE",D22="")</xm:f>
            <x14:dxf>
              <font>
                <b/>
                <i val="0"/>
                <color rgb="FFFF0000"/>
              </font>
            </x14:dxf>
          </x14:cfRule>
          <xm:sqref>C22</xm:sqref>
        </x14:conditionalFormatting>
        <x14:conditionalFormatting xmlns:xm="http://schemas.microsoft.com/office/excel/2006/main">
          <x14:cfRule type="expression" priority="53" id="{FD881DFB-C0B0-46EA-A901-827890FF0F37}">
            <xm:f>AND(Unformatted!$E$48="COMPLETE",Unformatted!F198=0)</xm:f>
            <x14:dxf>
              <font>
                <b/>
                <i val="0"/>
                <color rgb="FFFF0000"/>
              </font>
            </x14:dxf>
          </x14:cfRule>
          <xm:sqref>T7</xm:sqref>
        </x14:conditionalFormatting>
        <x14:conditionalFormatting xmlns:xm="http://schemas.microsoft.com/office/excel/2006/main">
          <x14:cfRule type="expression" priority="56" id="{61CE85E0-B59F-431C-AB92-B667DE71F7AF}">
            <xm:f>AND(N14&gt;0,OR(Unformatted!R200=0,Unformatted!R201=""))</xm:f>
            <x14:dxf>
              <font>
                <b/>
                <i val="0"/>
                <color rgb="FFFF0000"/>
              </font>
            </x14:dxf>
          </x14:cfRule>
          <xm:sqref>P37</xm:sqref>
        </x14:conditionalFormatting>
        <x14:conditionalFormatting xmlns:xm="http://schemas.microsoft.com/office/excel/2006/main">
          <x14:cfRule type="expression" priority="33" id="{B6307157-68D9-43D7-8DF8-8B24B0CF96A0}">
            <xm:f>Unformatted!C216=1</xm:f>
            <x14:dxf>
              <font>
                <b/>
                <i val="0"/>
                <color rgb="FFFF0000"/>
              </font>
            </x14:dxf>
          </x14:cfRule>
          <xm:sqref>D18:D19</xm:sqref>
        </x14:conditionalFormatting>
        <x14:conditionalFormatting xmlns:xm="http://schemas.microsoft.com/office/excel/2006/main">
          <x14:cfRule type="expression" priority="31" id="{C9F92C1F-9670-4E5F-9C9F-0DBC24E4D625}">
            <xm:f>AND($F$22&gt;0,Unformatted!G218=1)</xm:f>
            <x14:dxf>
              <font>
                <b/>
                <i val="0"/>
                <color rgb="FFFF0000"/>
              </font>
            </x14:dxf>
          </x14:cfRule>
          <xm:sqref>E27</xm:sqref>
        </x14:conditionalFormatting>
        <x14:conditionalFormatting xmlns:xm="http://schemas.microsoft.com/office/excel/2006/main">
          <x14:cfRule type="expression" priority="30" id="{AFA56673-55D2-4E1F-804F-D52B9CF01932}">
            <xm:f>AND($N$22&gt;0,Unformatted!K217=1)</xm:f>
            <x14:dxf>
              <font>
                <b/>
                <i val="0"/>
                <color rgb="FFFF0000"/>
              </font>
            </x14:dxf>
          </x14:cfRule>
          <xm:sqref>M26:M27</xm:sqref>
        </x14:conditionalFormatting>
        <x14:conditionalFormatting xmlns:xm="http://schemas.microsoft.com/office/excel/2006/main">
          <x14:cfRule type="expression" priority="62" id="{63FC77D0-FAA2-44C8-85FB-0E59E7636729}">
            <xm:f>AND(Unformatted!$E$48="COMPLETE",OR(X20=0,Z20=0,AB20=0))</xm:f>
            <x14:dxf>
              <font>
                <b/>
                <i val="0"/>
                <color rgb="FFFF0000"/>
              </font>
            </x14:dxf>
          </x14:cfRule>
          <xm:sqref>W14</xm:sqref>
        </x14:conditionalFormatting>
        <x14:conditionalFormatting xmlns:xm="http://schemas.microsoft.com/office/excel/2006/main">
          <x14:cfRule type="expression" priority="956" id="{C9F92C1F-9670-4E5F-9C9F-0DBC24E4D625}">
            <xm:f>Unformatted!C217=1</xm:f>
            <x14:dxf>
              <font>
                <b/>
                <i val="0"/>
                <color rgb="FFFF0000"/>
              </font>
            </x14:dxf>
          </x14:cfRule>
          <xm:sqref>D26</xm:sqref>
        </x14:conditionalFormatting>
        <x14:conditionalFormatting xmlns:xm="http://schemas.microsoft.com/office/excel/2006/main">
          <x14:cfRule type="expression" priority="1852" id="{55A41E75-73F3-47FE-97AA-F47A03C3BA2C}">
            <xm:f>AND(F14&gt;0,OR(Unformatted!J203=0,Unformatted!#REF!=""))</xm:f>
            <x14:dxf>
              <font>
                <b/>
                <i val="0"/>
                <color rgb="FFFF0000"/>
              </font>
            </x14:dxf>
          </x14:cfRule>
          <xm:sqref>J37</xm:sqref>
        </x14:conditionalFormatting>
        <x14:conditionalFormatting xmlns:xm="http://schemas.microsoft.com/office/excel/2006/main">
          <x14:cfRule type="expression" priority="1866" id="{65B3EBCB-ACB6-4109-BC9D-1C9C1260907B}">
            <xm:f>Unformatted!C216=1</xm:f>
            <x14:dxf>
              <font>
                <b/>
                <i val="0"/>
                <color rgb="FFFF0000"/>
              </font>
            </x14:dxf>
          </x14:cfRule>
          <xm:sqref>H18</xm:sqref>
        </x14:conditionalFormatting>
        <x14:conditionalFormatting xmlns:xm="http://schemas.microsoft.com/office/excel/2006/main">
          <x14:cfRule type="expression" priority="1867" id="{65B3EBCB-ACB6-4109-BC9D-1C9C1260907B}">
            <xm:f>AND(F24&gt;0,OR(Unformatted!#REF!=0,Unformatted!M214=""))</xm:f>
            <x14:dxf>
              <font>
                <b/>
                <i val="0"/>
                <color rgb="FFFF0000"/>
              </font>
            </x14:dxf>
          </x14:cfRule>
          <xm:sqref>H19</xm:sqref>
        </x14:conditionalFormatting>
        <x14:conditionalFormatting xmlns:xm="http://schemas.microsoft.com/office/excel/2006/main">
          <x14:cfRule type="expression" priority="1911" id="{BDCFEAA6-7597-45D3-BFF5-AF300340D667}">
            <xm:f>Unformatted!$C$196=1</xm:f>
            <x14:dxf>
              <font>
                <b/>
                <i val="0"/>
                <color rgb="FFFF0000"/>
              </font>
            </x14:dxf>
          </x14:cfRule>
          <xm:sqref>V6</xm:sqref>
        </x14:conditionalFormatting>
        <x14:conditionalFormatting xmlns:xm="http://schemas.microsoft.com/office/excel/2006/main">
          <x14:cfRule type="expression" priority="1912" id="{D888D816-B202-4FE9-8BF7-C7680A2CEF48}">
            <xm:f>IF(Unformatted!$F$198=3,0,Unformatted!$C$197=1)</xm:f>
            <x14:dxf>
              <font>
                <b/>
                <i val="0"/>
                <color rgb="FFFF0000"/>
              </font>
            </x14:dxf>
          </x14:cfRule>
          <xm:sqref>Q8</xm:sqref>
        </x14:conditionalFormatting>
        <x14:conditionalFormatting xmlns:xm="http://schemas.microsoft.com/office/excel/2006/main">
          <x14:cfRule type="expression" priority="25" id="{4936A633-C8CB-4904-8386-7E8013BC29D9}">
            <xm:f>Unformatted!$C$199</xm:f>
            <x14:dxf>
              <font>
                <b/>
                <i val="0"/>
                <color rgb="FFFF0000"/>
              </font>
            </x14:dxf>
          </x14:cfRule>
          <xm:sqref>D6</xm:sqref>
        </x14:conditionalFormatting>
        <x14:conditionalFormatting xmlns:xm="http://schemas.microsoft.com/office/excel/2006/main">
          <x14:cfRule type="expression" priority="24" id="{0AC41EA3-5C93-410B-AE11-B5F901281091}">
            <xm:f>Unformatted!$C$200=1</xm:f>
            <x14:dxf>
              <font>
                <b/>
                <i val="0"/>
                <color rgb="FFFF0000"/>
              </font>
            </x14:dxf>
          </x14:cfRule>
          <xm:sqref>D8</xm:sqref>
        </x14:conditionalFormatting>
        <x14:conditionalFormatting xmlns:xm="http://schemas.microsoft.com/office/excel/2006/main">
          <x14:cfRule type="expression" priority="23" id="{D7175363-213E-4C6B-A2D1-C73FCAF28BF4}">
            <xm:f>Unformatted!$C$198=1</xm:f>
            <x14:dxf>
              <font>
                <b/>
                <i val="0"/>
                <color rgb="FFFF0000"/>
              </font>
            </x14:dxf>
          </x14:cfRule>
          <xm:sqref>R8:S8 S7 O6</xm:sqref>
        </x14:conditionalFormatting>
        <x14:conditionalFormatting xmlns:xm="http://schemas.microsoft.com/office/excel/2006/main">
          <x14:cfRule type="expression" priority="22" id="{5AAC7E24-52EF-4B5E-9CFC-B88587F4D52E}">
            <xm:f>Unformatted!C217=1</xm:f>
            <x14:dxf>
              <font>
                <b/>
                <i val="0"/>
                <color rgb="FFFF0000"/>
              </font>
            </x14:dxf>
          </x14:cfRule>
          <xm:sqref>H26</xm:sqref>
        </x14:conditionalFormatting>
        <x14:conditionalFormatting xmlns:xm="http://schemas.microsoft.com/office/excel/2006/main">
          <x14:cfRule type="expression" priority="19" id="{11A88C7B-60C8-41C0-8E98-E1F2BC6B05C9}">
            <xm:f>Unformatted!$C$209=1</xm:f>
            <x14:dxf>
              <font>
                <b/>
                <i val="0"/>
                <color rgb="FFFF0000"/>
              </font>
            </x14:dxf>
          </x14:cfRule>
          <x14:cfRule type="expression" priority="20" id="{B9ADA62D-3409-4A87-AE8D-F27CBAE257EB}">
            <xm:f>Unformatted!$C$206=1</xm:f>
            <x14:dxf>
              <font>
                <b/>
                <i val="0"/>
                <color rgb="FFFF0000"/>
              </font>
            </x14:dxf>
          </x14:cfRule>
          <xm:sqref>F12:H12</xm:sqref>
        </x14:conditionalFormatting>
        <x14:conditionalFormatting xmlns:xm="http://schemas.microsoft.com/office/excel/2006/main">
          <x14:cfRule type="expression" priority="17" id="{CCB2BB50-C6E2-46BF-B00F-A2431316334E}">
            <xm:f>Unformatted!$C$209=1</xm:f>
            <x14:dxf>
              <font>
                <b/>
                <i val="0"/>
                <color rgb="FFFF0000"/>
              </font>
            </x14:dxf>
          </x14:cfRule>
          <x14:cfRule type="expression" priority="18" id="{8685657B-FDF6-4814-B260-46DD95A27789}">
            <xm:f>Unformatted!$C$207=1</xm:f>
            <x14:dxf>
              <font>
                <b/>
                <i val="0"/>
                <color rgb="FFFF0000"/>
              </font>
            </x14:dxf>
          </x14:cfRule>
          <xm:sqref>N12:P12</xm:sqref>
        </x14:conditionalFormatting>
        <x14:conditionalFormatting xmlns:xm="http://schemas.microsoft.com/office/excel/2006/main">
          <x14:cfRule type="expression" priority="16" id="{7D513917-2134-40F2-9E70-C5B35D0A4B07}">
            <xm:f>Unformatted!$C$219=1</xm:f>
            <x14:dxf>
              <font>
                <b/>
                <i val="0"/>
                <color rgb="FFFF0000"/>
              </font>
            </x14:dxf>
          </x14:cfRule>
          <xm:sqref>I29</xm:sqref>
        </x14:conditionalFormatting>
        <x14:conditionalFormatting xmlns:xm="http://schemas.microsoft.com/office/excel/2006/main">
          <x14:cfRule type="expression" priority="15" id="{482D00DB-74D9-4C64-9D03-A3255404DD46}">
            <xm:f>Unformatted!$C$220=1</xm:f>
            <x14:dxf>
              <font>
                <b/>
                <i val="0"/>
                <color rgb="FFFF0000"/>
              </font>
            </x14:dxf>
          </x14:cfRule>
          <xm:sqref>I31</xm:sqref>
        </x14:conditionalFormatting>
        <x14:conditionalFormatting xmlns:xm="http://schemas.microsoft.com/office/excel/2006/main">
          <x14:cfRule type="expression" priority="14" id="{77517C42-178F-441B-8E60-D713FC6FB308}">
            <xm:f>Unformatted!$C$221</xm:f>
            <x14:dxf>
              <font>
                <b/>
                <i val="0"/>
                <color rgb="FFFF0000"/>
              </font>
            </x14:dxf>
          </x14:cfRule>
          <xm:sqref>I33</xm:sqref>
        </x14:conditionalFormatting>
        <x14:conditionalFormatting xmlns:xm="http://schemas.microsoft.com/office/excel/2006/main">
          <x14:cfRule type="expression" priority="13" id="{BEF3F7CA-ED8E-434D-9576-CBDE0D8D006B}">
            <xm:f>Unformatted!$C$223</xm:f>
            <x14:dxf>
              <font>
                <b/>
                <i val="0"/>
                <color rgb="FFFF0000"/>
              </font>
            </x14:dxf>
          </x14:cfRule>
          <xm:sqref>K28:L28 O29</xm:sqref>
        </x14:conditionalFormatting>
        <x14:conditionalFormatting xmlns:xm="http://schemas.microsoft.com/office/excel/2006/main">
          <x14:cfRule type="expression" priority="12" id="{44EFC582-5321-4394-88B7-6AB1E4F40941}">
            <xm:f>Unformatted!$C$226=1</xm:f>
            <x14:dxf>
              <font>
                <b/>
                <i val="0"/>
                <color rgb="FFFF0000"/>
              </font>
            </x14:dxf>
          </x14:cfRule>
          <xm:sqref>U9:W9 V8 W13</xm:sqref>
        </x14:conditionalFormatting>
        <x14:conditionalFormatting xmlns:xm="http://schemas.microsoft.com/office/excel/2006/main">
          <x14:cfRule type="expression" priority="11" id="{8B2015AF-6244-4A00-BE40-C0A63095D8F6}">
            <xm:f>Unformatted!$C$232=1</xm:f>
            <x14:dxf>
              <font>
                <b/>
                <i val="0"/>
                <color rgb="FFFF0000"/>
              </font>
            </x14:dxf>
          </x14:cfRule>
          <xm:sqref>AL6 X6</xm:sqref>
        </x14:conditionalFormatting>
        <x14:conditionalFormatting xmlns:xm="http://schemas.microsoft.com/office/excel/2006/main">
          <x14:cfRule type="expression" priority="6560" id="{CBA45A7E-E5C5-4C92-AB22-65D322A3B124}">
            <xm:f>AND(Unformatted!F56,Unformatted!$G$229="")</xm:f>
            <x14:dxf>
              <font>
                <b/>
                <i val="0"/>
                <color rgb="FFFF0000"/>
              </font>
            </x14:dxf>
          </x14:cfRule>
          <x14:cfRule type="expression" priority="6561" id="{2801A922-AB2E-4B5D-8554-B1192039C469}">
            <xm:f>Unformatted!$G$228=""</xm:f>
            <x14:dxf>
              <font>
                <b/>
                <i val="0"/>
                <color rgb="FFFF0000"/>
              </font>
            </x14:dxf>
          </x14:cfRule>
          <xm:sqref>AB16</xm:sqref>
        </x14:conditionalFormatting>
        <x14:conditionalFormatting xmlns:xm="http://schemas.microsoft.com/office/excel/2006/main">
          <x14:cfRule type="expression" priority="6568" id="{F3DC32BB-7A9F-4936-BFFD-52E57D9B3669}">
            <xm:f>AND(Unformatted!F56,Unformatted!$E$229="")</xm:f>
            <x14:dxf>
              <font>
                <b/>
                <i val="0"/>
                <color rgb="FFFF0000"/>
              </font>
            </x14:dxf>
          </x14:cfRule>
          <x14:cfRule type="expression" priority="6569" id="{7BF0E235-8346-46A8-AE70-946C1C031997}">
            <xm:f>Unformatted!$E$228=""</xm:f>
            <x14:dxf>
              <font>
                <b/>
                <i val="0"/>
                <color rgb="FFFF0000"/>
              </font>
            </x14:dxf>
          </x14:cfRule>
          <xm:sqref>X16</xm:sqref>
        </x14:conditionalFormatting>
        <x14:conditionalFormatting xmlns:xm="http://schemas.microsoft.com/office/excel/2006/main">
          <x14:cfRule type="expression" priority="6570" id="{6DC72F58-239A-4E7E-AC2F-E77BD1FEB5F2}">
            <xm:f>Unformatted!$F$228=""</xm:f>
            <x14:dxf>
              <font>
                <b/>
                <i val="0"/>
                <color rgb="FFFF0000"/>
              </font>
            </x14:dxf>
          </x14:cfRule>
          <x14:cfRule type="expression" priority="6571" id="{15C727F3-1C37-4137-BD4F-2D85F871E9C6}">
            <xm:f>AND(Unformatted!F56,Unformatted!$F$229="")</xm:f>
            <x14:dxf>
              <font>
                <b/>
                <i val="0"/>
                <color rgb="FFFF0000"/>
              </font>
            </x14:dxf>
          </x14:cfRule>
          <xm:sqref>Z16</xm:sqref>
        </x14:conditionalFormatting>
        <x14:conditionalFormatting xmlns:xm="http://schemas.microsoft.com/office/excel/2006/main">
          <x14:cfRule type="expression" priority="6993" id="{CDA7819A-174C-4A8F-86FE-CA00D2F7A212}">
            <xm:f>AND(Unformatted!$E$48="COMPLETE",Unformatted!$M$228=0)</xm:f>
            <x14:dxf>
              <font>
                <b/>
                <i val="0"/>
                <color rgb="FFFF0000"/>
              </font>
            </x14:dxf>
          </x14:cfRule>
          <xm:sqref>AE9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F70FF-9861-40CA-A01D-A904BA516916}">
  <sheetPr codeName="Sheet16"/>
  <dimension ref="A1:AH47"/>
  <sheetViews>
    <sheetView showGridLines="0" showRowColHeaders="0" zoomScaleNormal="100" workbookViewId="0">
      <selection activeCell="D8" sqref="D8:F8"/>
    </sheetView>
  </sheetViews>
  <sheetFormatPr defaultRowHeight="15" x14ac:dyDescent="0.25"/>
  <cols>
    <col min="1" max="1" width="1.7109375" customWidth="1"/>
    <col min="2" max="2" width="2" customWidth="1"/>
    <col min="3" max="3" width="10" customWidth="1"/>
    <col min="4" max="4" width="9.140625" customWidth="1"/>
    <col min="5" max="5" width="9.140625" style="588" customWidth="1"/>
    <col min="6" max="6" width="9.140625" customWidth="1"/>
    <col min="7" max="7" width="4.28515625" style="588" customWidth="1"/>
    <col min="8" max="8" width="10" customWidth="1"/>
    <col min="9" max="10" width="9.140625" customWidth="1"/>
    <col min="11" max="11" width="9.140625" style="588" customWidth="1"/>
    <col min="12" max="12" width="2.85546875" customWidth="1"/>
    <col min="13" max="13" width="2.85546875" style="437" customWidth="1"/>
    <col min="14" max="14" width="14.28515625" style="437" customWidth="1"/>
    <col min="15" max="15" width="10" customWidth="1"/>
    <col min="16" max="16" width="8.28515625" customWidth="1"/>
    <col min="17" max="17" width="9.140625" customWidth="1"/>
    <col min="18" max="18" width="2.85546875" customWidth="1"/>
    <col min="19" max="19" width="14.140625" style="437" customWidth="1"/>
    <col min="20" max="20" width="10" customWidth="1"/>
    <col min="21" max="21" width="8.28515625" customWidth="1"/>
    <col min="23" max="23" width="2.140625" customWidth="1"/>
  </cols>
  <sheetData>
    <row r="1" spans="1:34" s="611" customFormat="1" x14ac:dyDescent="0.25">
      <c r="C1" s="2"/>
      <c r="D1" s="2"/>
      <c r="E1" s="2"/>
      <c r="F1" s="2"/>
      <c r="G1" s="2"/>
      <c r="K1" s="2"/>
      <c r="L1" s="2"/>
      <c r="M1" s="2"/>
    </row>
    <row r="2" spans="1:34" s="611" customFormat="1" ht="23.25" x14ac:dyDescent="0.25">
      <c r="A2" s="107"/>
      <c r="B2" s="107"/>
      <c r="C2" s="107"/>
      <c r="D2" s="107"/>
      <c r="E2" s="107"/>
      <c r="F2" s="107"/>
      <c r="G2" s="107"/>
      <c r="H2" s="107"/>
      <c r="I2" s="107" t="s">
        <v>581</v>
      </c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</row>
    <row r="3" spans="1:34" s="611" customFormat="1" ht="15.75" thickBot="1" x14ac:dyDescent="0.3">
      <c r="C3" s="429"/>
      <c r="E3" s="409"/>
      <c r="F3" s="409"/>
      <c r="G3" s="419"/>
      <c r="I3" s="430"/>
      <c r="J3" s="430"/>
      <c r="K3" s="419"/>
      <c r="L3" s="396"/>
      <c r="M3" s="410"/>
      <c r="N3" s="419"/>
      <c r="O3" s="396"/>
      <c r="P3" s="396"/>
      <c r="Q3" s="410"/>
      <c r="R3" s="409"/>
      <c r="S3" s="419"/>
    </row>
    <row r="4" spans="1:34" ht="24" thickBot="1" x14ac:dyDescent="0.3">
      <c r="B4" s="962" t="s">
        <v>1211</v>
      </c>
      <c r="C4" s="1067"/>
      <c r="D4" s="1067"/>
      <c r="E4" s="1067"/>
      <c r="F4" s="1067"/>
      <c r="G4" s="1067"/>
      <c r="H4" s="1067"/>
      <c r="I4" s="1067"/>
      <c r="J4" s="1067"/>
      <c r="K4" s="1067"/>
      <c r="L4" s="1068"/>
      <c r="N4" s="962" t="s">
        <v>1415</v>
      </c>
      <c r="O4" s="963"/>
      <c r="P4" s="963"/>
      <c r="Q4" s="963"/>
      <c r="R4" s="963"/>
      <c r="S4" s="963"/>
      <c r="T4" s="963"/>
      <c r="U4" s="963"/>
      <c r="V4" s="963"/>
      <c r="W4" s="964"/>
    </row>
    <row r="5" spans="1:34" ht="7.5" customHeight="1" x14ac:dyDescent="0.25">
      <c r="B5" s="11"/>
      <c r="C5" s="396"/>
      <c r="D5" s="396"/>
      <c r="E5" s="396"/>
      <c r="F5" s="396"/>
      <c r="G5" s="396"/>
      <c r="H5" s="396"/>
      <c r="I5" s="396"/>
      <c r="J5" s="396"/>
      <c r="K5" s="396"/>
      <c r="L5" s="4"/>
      <c r="N5" s="11"/>
      <c r="O5" s="396"/>
      <c r="P5" s="396"/>
      <c r="Q5" s="396"/>
      <c r="R5" s="396"/>
      <c r="S5" s="396"/>
      <c r="T5" s="396"/>
      <c r="U5" s="396"/>
      <c r="V5" s="396"/>
      <c r="W5" s="4"/>
    </row>
    <row r="6" spans="1:34" s="437" customFormat="1" ht="18.75" customHeight="1" x14ac:dyDescent="0.25">
      <c r="B6" s="11"/>
      <c r="C6" s="1066" t="s">
        <v>1360</v>
      </c>
      <c r="D6" s="1066"/>
      <c r="E6" s="1066"/>
      <c r="F6" s="1066"/>
      <c r="G6" s="396"/>
      <c r="H6" s="1066" t="s">
        <v>1359</v>
      </c>
      <c r="I6" s="1066"/>
      <c r="J6" s="1066"/>
      <c r="K6" s="1066"/>
      <c r="L6" s="4"/>
      <c r="N6" s="11"/>
      <c r="O6" s="396"/>
      <c r="P6" s="396"/>
      <c r="Q6" s="396"/>
      <c r="R6" s="396"/>
      <c r="S6" s="396"/>
      <c r="T6" s="396"/>
      <c r="U6" s="396"/>
      <c r="V6" s="396"/>
      <c r="W6" s="4"/>
    </row>
    <row r="7" spans="1:34" ht="3.75" customHeight="1" thickBot="1" x14ac:dyDescent="0.3">
      <c r="B7" s="11"/>
      <c r="C7" s="396"/>
      <c r="D7" s="396"/>
      <c r="E7" s="396"/>
      <c r="F7" s="396"/>
      <c r="G7" s="396"/>
      <c r="H7" s="396"/>
      <c r="I7" s="396"/>
      <c r="J7" s="396"/>
      <c r="K7" s="396"/>
      <c r="L7" s="4"/>
      <c r="N7" s="276" t="s">
        <v>1213</v>
      </c>
      <c r="O7" s="396"/>
      <c r="P7" s="396"/>
      <c r="Q7" s="396"/>
      <c r="R7" s="396"/>
      <c r="S7" s="396"/>
      <c r="T7" s="396"/>
      <c r="U7" s="396"/>
      <c r="V7" s="396"/>
      <c r="W7" s="4"/>
    </row>
    <row r="8" spans="1:34" s="437" customFormat="1" ht="18.75" customHeight="1" thickBot="1" x14ac:dyDescent="0.3">
      <c r="B8" s="11"/>
      <c r="C8" s="596" t="s">
        <v>1356</v>
      </c>
      <c r="D8" s="1061"/>
      <c r="E8" s="1062"/>
      <c r="F8" s="1063"/>
      <c r="G8" s="600"/>
      <c r="H8" s="596" t="s">
        <v>1356</v>
      </c>
      <c r="I8" s="1061"/>
      <c r="J8" s="1062"/>
      <c r="K8" s="1063"/>
      <c r="L8" s="4"/>
      <c r="N8" s="11"/>
      <c r="O8" s="396"/>
      <c r="P8" s="396"/>
      <c r="Q8" s="396"/>
      <c r="R8" s="396"/>
      <c r="S8" s="396"/>
      <c r="T8" s="396"/>
      <c r="U8" s="396"/>
      <c r="V8" s="396"/>
      <c r="W8" s="4"/>
    </row>
    <row r="9" spans="1:34" s="588" customFormat="1" ht="3.75" customHeight="1" thickBot="1" x14ac:dyDescent="0.3">
      <c r="B9" s="11"/>
      <c r="C9" s="596"/>
      <c r="D9" s="600"/>
      <c r="E9" s="600"/>
      <c r="F9" s="600"/>
      <c r="G9" s="600"/>
      <c r="H9" s="596"/>
      <c r="I9" s="396"/>
      <c r="J9" s="396"/>
      <c r="K9" s="396"/>
      <c r="L9" s="4"/>
      <c r="N9" s="11"/>
      <c r="O9" s="396"/>
      <c r="P9" s="396"/>
      <c r="Q9" s="396"/>
      <c r="R9" s="396"/>
      <c r="S9" s="396"/>
      <c r="T9" s="396"/>
      <c r="U9" s="396"/>
      <c r="V9" s="396"/>
      <c r="W9" s="4"/>
    </row>
    <row r="10" spans="1:34" ht="18.75" customHeight="1" thickBot="1" x14ac:dyDescent="0.3">
      <c r="B10" s="11"/>
      <c r="C10" s="596" t="s">
        <v>1357</v>
      </c>
      <c r="D10" s="322"/>
      <c r="E10" s="596" t="s">
        <v>1358</v>
      </c>
      <c r="F10" s="322"/>
      <c r="G10" s="589"/>
      <c r="H10" s="596" t="s">
        <v>1357</v>
      </c>
      <c r="I10" s="322"/>
      <c r="J10" s="596" t="s">
        <v>1358</v>
      </c>
      <c r="K10" s="322"/>
      <c r="L10" s="4"/>
      <c r="N10" s="11"/>
      <c r="O10" s="396"/>
      <c r="P10" s="396"/>
      <c r="Q10" s="396"/>
      <c r="R10" s="396"/>
      <c r="S10" s="396"/>
      <c r="T10" s="396"/>
      <c r="U10" s="396"/>
      <c r="V10" s="396"/>
      <c r="W10" s="4"/>
      <c r="X10" s="588"/>
      <c r="Y10" s="588"/>
      <c r="Z10" s="588"/>
      <c r="AA10" s="588"/>
      <c r="AB10" s="588"/>
      <c r="AC10" s="588"/>
      <c r="AD10" s="588"/>
      <c r="AE10" s="588"/>
      <c r="AF10" s="588"/>
      <c r="AG10" s="588"/>
      <c r="AH10" s="588"/>
    </row>
    <row r="11" spans="1:34" ht="3.75" customHeight="1" x14ac:dyDescent="0.25">
      <c r="B11" s="11"/>
      <c r="C11" s="596"/>
      <c r="D11" s="396"/>
      <c r="E11" s="396"/>
      <c r="F11" s="396"/>
      <c r="G11" s="396"/>
      <c r="H11" s="596"/>
      <c r="I11" s="396"/>
      <c r="J11" s="396"/>
      <c r="K11" s="396"/>
      <c r="L11" s="4"/>
      <c r="N11" s="11"/>
      <c r="O11" s="396"/>
      <c r="P11" s="396"/>
      <c r="Q11" s="396"/>
      <c r="R11" s="396"/>
      <c r="S11" s="396"/>
      <c r="T11" s="396"/>
      <c r="U11" s="396"/>
      <c r="V11" s="396"/>
      <c r="W11" s="4"/>
      <c r="X11" s="588"/>
      <c r="Y11" s="588"/>
      <c r="Z11" s="588"/>
      <c r="AA11" s="588"/>
      <c r="AB11" s="588"/>
      <c r="AC11" s="588"/>
      <c r="AD11" s="588"/>
      <c r="AE11" s="588"/>
      <c r="AF11" s="588"/>
      <c r="AG11" s="588"/>
      <c r="AH11" s="588"/>
    </row>
    <row r="12" spans="1:34" ht="18.75" customHeight="1" x14ac:dyDescent="0.25">
      <c r="B12" s="11"/>
      <c r="C12" s="596"/>
      <c r="D12" s="396"/>
      <c r="E12" s="589"/>
      <c r="F12" s="396"/>
      <c r="G12" s="396"/>
      <c r="H12" s="596"/>
      <c r="I12" s="396"/>
      <c r="J12" s="589"/>
      <c r="K12" s="396"/>
      <c r="L12" s="4"/>
      <c r="N12" s="11"/>
      <c r="O12" s="396"/>
      <c r="P12" s="396"/>
      <c r="Q12" s="396"/>
      <c r="R12" s="396"/>
      <c r="S12" s="396"/>
      <c r="T12" s="396"/>
      <c r="U12" s="396"/>
      <c r="V12" s="396"/>
      <c r="W12" s="4"/>
      <c r="X12" s="508"/>
      <c r="Y12" s="508"/>
      <c r="Z12" s="508"/>
      <c r="AA12" s="508"/>
      <c r="AB12" s="508"/>
      <c r="AC12" s="438"/>
      <c r="AD12" s="508"/>
      <c r="AE12" s="508"/>
      <c r="AF12" s="508"/>
      <c r="AG12" s="508"/>
      <c r="AH12" s="508"/>
    </row>
    <row r="13" spans="1:34" ht="7.5" customHeight="1" x14ac:dyDescent="0.25">
      <c r="B13" s="11"/>
      <c r="C13" s="396"/>
      <c r="D13" s="396"/>
      <c r="E13" s="396"/>
      <c r="F13" s="396"/>
      <c r="G13" s="396"/>
      <c r="H13" s="396"/>
      <c r="I13" s="396"/>
      <c r="J13" s="396"/>
      <c r="K13" s="396"/>
      <c r="L13" s="4"/>
      <c r="N13" s="11"/>
      <c r="O13" s="396"/>
      <c r="P13" s="396"/>
      <c r="Q13" s="396"/>
      <c r="R13" s="396"/>
      <c r="S13" s="396"/>
      <c r="T13" s="396"/>
      <c r="U13" s="396"/>
      <c r="V13" s="396"/>
      <c r="W13" s="4"/>
      <c r="X13" s="590"/>
      <c r="Y13" s="438"/>
      <c r="Z13" s="438"/>
      <c r="AA13" s="438"/>
      <c r="AB13" s="438"/>
      <c r="AC13" s="438"/>
      <c r="AD13" s="438"/>
      <c r="AE13" s="438"/>
      <c r="AF13" s="438"/>
      <c r="AG13" s="438"/>
      <c r="AH13" s="438"/>
    </row>
    <row r="14" spans="1:34" ht="18.75" customHeight="1" x14ac:dyDescent="0.25">
      <c r="B14" s="11"/>
      <c r="C14" s="1066" t="s">
        <v>1361</v>
      </c>
      <c r="D14" s="1066"/>
      <c r="E14" s="1066"/>
      <c r="F14" s="1066"/>
      <c r="G14" s="600"/>
      <c r="H14" s="1066" t="s">
        <v>1362</v>
      </c>
      <c r="I14" s="1066"/>
      <c r="J14" s="1066"/>
      <c r="K14" s="1066"/>
      <c r="L14" s="4"/>
      <c r="N14" s="11"/>
      <c r="O14" s="396"/>
      <c r="P14" s="396"/>
      <c r="Q14" s="396"/>
      <c r="R14" s="396"/>
      <c r="S14" s="396"/>
      <c r="T14" s="396"/>
      <c r="U14" s="396"/>
      <c r="V14" s="396"/>
      <c r="W14" s="4"/>
      <c r="X14" s="507"/>
      <c r="Y14" s="438"/>
      <c r="Z14" s="438"/>
      <c r="AA14" s="507"/>
      <c r="AB14" s="438"/>
      <c r="AC14" s="438"/>
      <c r="AD14" s="507"/>
      <c r="AE14" s="438"/>
      <c r="AF14" s="438"/>
      <c r="AG14" s="507"/>
      <c r="AH14" s="438"/>
    </row>
    <row r="15" spans="1:34" ht="3.75" customHeight="1" thickBot="1" x14ac:dyDescent="0.3">
      <c r="B15" s="11"/>
      <c r="C15" s="415"/>
      <c r="D15" s="396"/>
      <c r="E15" s="396"/>
      <c r="F15" s="396"/>
      <c r="G15" s="396"/>
      <c r="H15" s="396"/>
      <c r="I15" s="396"/>
      <c r="J15" s="396"/>
      <c r="K15" s="396"/>
      <c r="L15" s="4"/>
      <c r="N15" s="11"/>
      <c r="O15" s="396"/>
      <c r="P15" s="396"/>
      <c r="Q15" s="396"/>
      <c r="R15" s="396"/>
      <c r="S15" s="396"/>
      <c r="T15" s="396"/>
      <c r="U15" s="396"/>
      <c r="V15" s="396"/>
      <c r="W15" s="4"/>
      <c r="X15" s="438"/>
      <c r="Y15" s="438"/>
      <c r="Z15" s="438"/>
      <c r="AA15" s="438"/>
      <c r="AB15" s="438"/>
      <c r="AC15" s="438"/>
      <c r="AD15" s="438"/>
      <c r="AE15" s="438"/>
      <c r="AF15" s="438"/>
      <c r="AG15" s="438"/>
      <c r="AH15" s="438"/>
    </row>
    <row r="16" spans="1:34" ht="18.75" customHeight="1" thickBot="1" x14ac:dyDescent="0.3">
      <c r="B16" s="11"/>
      <c r="C16" s="596" t="s">
        <v>1356</v>
      </c>
      <c r="D16" s="1061"/>
      <c r="E16" s="1062"/>
      <c r="F16" s="1063"/>
      <c r="G16" s="396"/>
      <c r="H16" s="596" t="s">
        <v>1356</v>
      </c>
      <c r="I16" s="1061"/>
      <c r="J16" s="1062"/>
      <c r="K16" s="1063"/>
      <c r="L16" s="4"/>
      <c r="N16" s="11"/>
      <c r="O16" s="396"/>
      <c r="P16" s="396"/>
      <c r="Q16" s="396"/>
      <c r="R16" s="396"/>
      <c r="S16" s="396"/>
      <c r="T16" s="396"/>
      <c r="U16" s="396"/>
      <c r="V16" s="396"/>
      <c r="W16" s="4"/>
      <c r="X16" s="508"/>
      <c r="Y16" s="508"/>
      <c r="Z16" s="508"/>
      <c r="AA16" s="508"/>
      <c r="AB16" s="508"/>
      <c r="AC16" s="438"/>
      <c r="AD16" s="508"/>
      <c r="AE16" s="508"/>
      <c r="AF16" s="508"/>
      <c r="AG16" s="508"/>
      <c r="AH16" s="508"/>
    </row>
    <row r="17" spans="1:34" s="588" customFormat="1" ht="3.75" customHeight="1" thickBot="1" x14ac:dyDescent="0.3">
      <c r="B17" s="11"/>
      <c r="C17" s="396"/>
      <c r="D17" s="396"/>
      <c r="E17" s="396"/>
      <c r="F17" s="396"/>
      <c r="G17" s="600"/>
      <c r="H17" s="396"/>
      <c r="I17" s="396"/>
      <c r="J17" s="396"/>
      <c r="K17" s="600"/>
      <c r="L17" s="4"/>
      <c r="N17" s="11"/>
      <c r="O17" s="396"/>
      <c r="P17" s="396"/>
      <c r="Q17" s="396"/>
      <c r="R17" s="396"/>
      <c r="S17" s="396"/>
      <c r="T17" s="396"/>
      <c r="U17" s="396"/>
      <c r="V17" s="396"/>
      <c r="W17" s="4"/>
      <c r="X17" s="508"/>
      <c r="Y17" s="508"/>
      <c r="Z17" s="508"/>
      <c r="AA17" s="508"/>
      <c r="AB17" s="508"/>
      <c r="AC17" s="438"/>
      <c r="AD17" s="508"/>
      <c r="AE17" s="508"/>
      <c r="AF17" s="508"/>
      <c r="AG17" s="508"/>
      <c r="AH17" s="508"/>
    </row>
    <row r="18" spans="1:34" s="588" customFormat="1" ht="18.75" customHeight="1" thickBot="1" x14ac:dyDescent="0.3">
      <c r="B18" s="11"/>
      <c r="C18" s="596" t="s">
        <v>1357</v>
      </c>
      <c r="D18" s="322"/>
      <c r="E18" s="596" t="s">
        <v>1358</v>
      </c>
      <c r="F18" s="322"/>
      <c r="G18" s="600"/>
      <c r="H18" s="596" t="s">
        <v>1357</v>
      </c>
      <c r="I18" s="322"/>
      <c r="J18" s="596" t="s">
        <v>1358</v>
      </c>
      <c r="K18" s="322"/>
      <c r="L18" s="4"/>
      <c r="N18" s="962" t="s">
        <v>1314</v>
      </c>
      <c r="O18" s="963"/>
      <c r="P18" s="963"/>
      <c r="Q18" s="963"/>
      <c r="R18" s="963"/>
      <c r="S18" s="963"/>
      <c r="T18" s="963"/>
      <c r="U18" s="963"/>
      <c r="V18" s="963"/>
      <c r="W18" s="964"/>
      <c r="X18" s="438"/>
      <c r="Y18" s="438"/>
      <c r="Z18" s="438"/>
      <c r="AA18" s="438"/>
      <c r="AB18" s="438"/>
      <c r="AC18" s="438"/>
      <c r="AD18" s="438"/>
      <c r="AE18" s="438"/>
      <c r="AF18" s="438"/>
      <c r="AG18" s="438"/>
      <c r="AH18" s="438"/>
    </row>
    <row r="19" spans="1:34" s="588" customFormat="1" ht="3.75" customHeight="1" thickBot="1" x14ac:dyDescent="0.3">
      <c r="B19" s="11"/>
      <c r="C19" s="396"/>
      <c r="D19" s="396"/>
      <c r="E19" s="396"/>
      <c r="F19" s="396"/>
      <c r="G19" s="396"/>
      <c r="H19" s="396"/>
      <c r="I19" s="396"/>
      <c r="J19" s="396"/>
      <c r="K19" s="396"/>
      <c r="L19" s="4"/>
      <c r="N19" s="11"/>
      <c r="O19" s="396"/>
      <c r="P19" s="396"/>
      <c r="Q19" s="396"/>
      <c r="R19" s="396"/>
      <c r="S19" s="396"/>
      <c r="T19" s="396"/>
      <c r="U19" s="396"/>
      <c r="V19" s="396"/>
      <c r="W19" s="4"/>
      <c r="X19" s="438"/>
      <c r="Y19" s="438"/>
      <c r="Z19" s="438"/>
      <c r="AA19" s="438"/>
      <c r="AB19" s="438"/>
      <c r="AC19" s="438"/>
      <c r="AD19" s="438"/>
      <c r="AE19" s="438"/>
      <c r="AF19" s="438"/>
      <c r="AG19" s="438"/>
      <c r="AH19" s="438"/>
    </row>
    <row r="20" spans="1:34" s="588" customFormat="1" ht="18.75" customHeight="1" thickBot="1" x14ac:dyDescent="0.3">
      <c r="B20" s="11"/>
      <c r="C20" s="596"/>
      <c r="D20" s="396"/>
      <c r="E20" s="589"/>
      <c r="F20" s="396"/>
      <c r="G20" s="396"/>
      <c r="H20" s="596"/>
      <c r="I20" s="396"/>
      <c r="J20" s="589"/>
      <c r="K20" s="396"/>
      <c r="L20" s="4"/>
      <c r="N20" s="276" t="s">
        <v>1214</v>
      </c>
      <c r="O20" s="1061"/>
      <c r="P20" s="1062"/>
      <c r="Q20" s="1063"/>
      <c r="R20" s="396"/>
      <c r="S20" s="458" t="s">
        <v>1214</v>
      </c>
      <c r="T20" s="1061"/>
      <c r="U20" s="1062"/>
      <c r="V20" s="1063"/>
      <c r="W20" s="4"/>
      <c r="X20" s="438"/>
      <c r="Y20" s="438"/>
      <c r="Z20" s="438"/>
      <c r="AA20" s="438"/>
      <c r="AB20" s="438"/>
      <c r="AC20" s="438"/>
      <c r="AD20" s="438"/>
      <c r="AE20" s="438"/>
      <c r="AF20" s="438"/>
      <c r="AG20" s="438"/>
      <c r="AH20" s="438"/>
    </row>
    <row r="21" spans="1:34" s="588" customFormat="1" ht="3.75" customHeight="1" thickBot="1" x14ac:dyDescent="0.3">
      <c r="B21" s="11"/>
      <c r="C21" s="396"/>
      <c r="D21" s="396"/>
      <c r="E21" s="396"/>
      <c r="F21" s="396"/>
      <c r="G21" s="396"/>
      <c r="H21" s="396"/>
      <c r="I21" s="396"/>
      <c r="J21" s="396"/>
      <c r="K21" s="396"/>
      <c r="L21" s="4"/>
      <c r="N21" s="11"/>
      <c r="O21" s="396"/>
      <c r="P21" s="396"/>
      <c r="Q21" s="396"/>
      <c r="R21" s="396"/>
      <c r="S21" s="396"/>
      <c r="T21" s="396"/>
      <c r="U21" s="396"/>
      <c r="V21" s="396"/>
      <c r="W21" s="4"/>
      <c r="X21" s="508"/>
      <c r="Y21" s="508"/>
      <c r="Z21" s="508"/>
      <c r="AA21" s="508"/>
      <c r="AB21" s="508"/>
      <c r="AC21" s="438"/>
      <c r="AD21" s="508"/>
      <c r="AE21" s="508"/>
      <c r="AF21" s="508"/>
      <c r="AG21" s="508"/>
      <c r="AH21" s="508"/>
    </row>
    <row r="22" spans="1:34" s="588" customFormat="1" ht="18.75" customHeight="1" thickBot="1" x14ac:dyDescent="0.3">
      <c r="B22" s="11"/>
      <c r="C22" s="1066" t="s">
        <v>1365</v>
      </c>
      <c r="D22" s="1066"/>
      <c r="E22" s="1066"/>
      <c r="F22" s="1066"/>
      <c r="G22" s="396"/>
      <c r="H22" s="1066" t="s">
        <v>1366</v>
      </c>
      <c r="I22" s="1066"/>
      <c r="J22" s="1066"/>
      <c r="K22" s="1066"/>
      <c r="L22" s="4"/>
      <c r="N22" s="276" t="s">
        <v>1504</v>
      </c>
      <c r="O22" s="1061"/>
      <c r="P22" s="1062"/>
      <c r="Q22" s="1063"/>
      <c r="R22" s="396"/>
      <c r="S22" s="458" t="s">
        <v>1504</v>
      </c>
      <c r="T22" s="1061"/>
      <c r="U22" s="1062"/>
      <c r="V22" s="1063"/>
      <c r="W22" s="4"/>
      <c r="X22" s="590"/>
      <c r="Y22" s="438"/>
      <c r="Z22" s="438"/>
      <c r="AA22" s="438"/>
      <c r="AB22" s="438"/>
      <c r="AC22" s="438"/>
      <c r="AD22" s="438"/>
      <c r="AE22" s="438"/>
      <c r="AF22" s="438"/>
      <c r="AG22" s="438"/>
      <c r="AH22" s="438"/>
    </row>
    <row r="23" spans="1:34" s="588" customFormat="1" ht="3.75" customHeight="1" thickBot="1" x14ac:dyDescent="0.3">
      <c r="B23" s="11"/>
      <c r="C23" s="396"/>
      <c r="D23" s="396"/>
      <c r="E23" s="396"/>
      <c r="F23" s="396"/>
      <c r="G23" s="396"/>
      <c r="H23" s="396"/>
      <c r="I23" s="396"/>
      <c r="J23" s="396"/>
      <c r="K23" s="396"/>
      <c r="L23" s="4"/>
      <c r="N23" s="11"/>
      <c r="O23" s="396"/>
      <c r="P23" s="396"/>
      <c r="Q23" s="396"/>
      <c r="R23" s="396"/>
      <c r="S23" s="396"/>
      <c r="T23" s="396"/>
      <c r="U23" s="396"/>
      <c r="V23" s="396"/>
      <c r="W23" s="4"/>
      <c r="X23" s="507"/>
      <c r="Y23" s="438"/>
      <c r="Z23" s="438"/>
      <c r="AA23" s="507"/>
      <c r="AB23" s="438"/>
      <c r="AC23" s="438"/>
      <c r="AD23" s="507"/>
      <c r="AE23" s="438"/>
      <c r="AF23" s="438"/>
      <c r="AG23" s="507"/>
      <c r="AH23" s="438"/>
    </row>
    <row r="24" spans="1:34" ht="18.75" customHeight="1" thickBot="1" x14ac:dyDescent="0.3">
      <c r="B24" s="11"/>
      <c r="C24" s="596" t="s">
        <v>1356</v>
      </c>
      <c r="D24" s="1061"/>
      <c r="E24" s="1062"/>
      <c r="F24" s="1063"/>
      <c r="G24" s="396"/>
      <c r="H24" s="596" t="s">
        <v>1356</v>
      </c>
      <c r="I24" s="1061"/>
      <c r="J24" s="1062"/>
      <c r="K24" s="1063"/>
      <c r="L24" s="4"/>
      <c r="N24" s="276" t="s">
        <v>1196</v>
      </c>
      <c r="O24" s="396"/>
      <c r="P24" s="396"/>
      <c r="Q24" s="396"/>
      <c r="R24" s="396"/>
      <c r="S24" s="458" t="s">
        <v>1196</v>
      </c>
      <c r="T24" s="396"/>
      <c r="U24" s="396"/>
      <c r="V24" s="396"/>
      <c r="W24" s="4"/>
      <c r="X24" s="508"/>
      <c r="Y24" s="508"/>
      <c r="Z24" s="508"/>
      <c r="AA24" s="508"/>
      <c r="AB24" s="508"/>
      <c r="AC24" s="438"/>
      <c r="AD24" s="508"/>
      <c r="AE24" s="508"/>
      <c r="AF24" s="508"/>
      <c r="AG24" s="508"/>
      <c r="AH24" s="508"/>
    </row>
    <row r="25" spans="1:34" ht="3.75" customHeight="1" thickBot="1" x14ac:dyDescent="0.3">
      <c r="B25" s="11"/>
      <c r="C25" s="396"/>
      <c r="D25" s="405"/>
      <c r="E25" s="405"/>
      <c r="F25" s="405"/>
      <c r="G25" s="405"/>
      <c r="H25" s="396"/>
      <c r="I25" s="396"/>
      <c r="J25" s="396"/>
      <c r="K25" s="396"/>
      <c r="L25" s="4"/>
      <c r="N25" s="11"/>
      <c r="O25" s="396"/>
      <c r="P25" s="396"/>
      <c r="Q25" s="396"/>
      <c r="R25" s="396"/>
      <c r="S25" s="458" t="s">
        <v>1213</v>
      </c>
      <c r="T25" s="396"/>
      <c r="U25" s="396"/>
      <c r="V25" s="396"/>
      <c r="W25" s="4"/>
      <c r="X25" s="438"/>
      <c r="Y25" s="438"/>
      <c r="Z25" s="438"/>
      <c r="AA25" s="438"/>
      <c r="AB25" s="438"/>
      <c r="AC25" s="438"/>
      <c r="AD25" s="438"/>
      <c r="AE25" s="438"/>
      <c r="AF25" s="438"/>
      <c r="AG25" s="438"/>
      <c r="AH25" s="438"/>
    </row>
    <row r="26" spans="1:34" ht="18.75" customHeight="1" thickBot="1" x14ac:dyDescent="0.3">
      <c r="B26" s="11"/>
      <c r="C26" s="596" t="s">
        <v>1357</v>
      </c>
      <c r="D26" s="322"/>
      <c r="E26" s="596" t="s">
        <v>1358</v>
      </c>
      <c r="F26" s="639"/>
      <c r="G26" s="396"/>
      <c r="H26" s="596" t="s">
        <v>1357</v>
      </c>
      <c r="I26" s="322"/>
      <c r="J26" s="596" t="s">
        <v>1358</v>
      </c>
      <c r="K26" s="322"/>
      <c r="L26" s="4"/>
      <c r="N26" s="276" t="s">
        <v>1212</v>
      </c>
      <c r="O26" s="757"/>
      <c r="P26" s="396"/>
      <c r="Q26" s="396"/>
      <c r="R26" s="396"/>
      <c r="S26" s="458" t="s">
        <v>1212</v>
      </c>
      <c r="T26" s="757"/>
      <c r="U26" s="396"/>
      <c r="V26" s="396"/>
      <c r="W26" s="4"/>
      <c r="X26" s="507"/>
      <c r="Y26" s="438"/>
      <c r="Z26" s="438"/>
      <c r="AA26" s="507"/>
      <c r="AB26" s="438"/>
      <c r="AC26" s="438"/>
      <c r="AD26" s="507"/>
      <c r="AE26" s="438"/>
      <c r="AF26" s="438"/>
      <c r="AG26" s="507"/>
      <c r="AH26" s="438"/>
    </row>
    <row r="27" spans="1:34" ht="3.75" customHeight="1" x14ac:dyDescent="0.25">
      <c r="B27" s="11"/>
      <c r="C27" s="396"/>
      <c r="D27" s="396"/>
      <c r="E27" s="396"/>
      <c r="F27" s="396"/>
      <c r="G27" s="600"/>
      <c r="H27" s="396"/>
      <c r="I27" s="396"/>
      <c r="J27" s="396"/>
      <c r="K27" s="600"/>
      <c r="L27" s="4"/>
      <c r="N27" s="11"/>
      <c r="O27" s="396"/>
      <c r="P27" s="396"/>
      <c r="Q27" s="396"/>
      <c r="R27" s="396"/>
      <c r="S27" s="396"/>
      <c r="T27" s="396"/>
      <c r="U27" s="396"/>
      <c r="V27" s="396"/>
      <c r="W27" s="4"/>
      <c r="X27" s="438"/>
      <c r="Y27" s="438"/>
      <c r="Z27" s="438"/>
      <c r="AA27" s="438"/>
      <c r="AB27" s="438"/>
      <c r="AC27" s="438"/>
      <c r="AD27" s="438"/>
      <c r="AE27" s="438"/>
      <c r="AF27" s="438"/>
      <c r="AG27" s="438"/>
      <c r="AH27" s="438"/>
    </row>
    <row r="28" spans="1:34" ht="18.75" customHeight="1" x14ac:dyDescent="0.25">
      <c r="A28" s="437"/>
      <c r="B28" s="11"/>
      <c r="C28" s="596"/>
      <c r="D28" s="396"/>
      <c r="E28" s="589"/>
      <c r="F28" s="396"/>
      <c r="G28" s="396"/>
      <c r="H28" s="596"/>
      <c r="I28" s="396"/>
      <c r="J28" s="589"/>
      <c r="K28" s="396"/>
      <c r="L28" s="4"/>
      <c r="N28" s="11"/>
      <c r="O28" s="396"/>
      <c r="P28" s="396"/>
      <c r="Q28" s="396"/>
      <c r="R28" s="396"/>
      <c r="S28" s="396"/>
      <c r="T28" s="396"/>
      <c r="U28" s="396"/>
      <c r="V28" s="396"/>
      <c r="W28" s="4"/>
      <c r="X28" s="438"/>
      <c r="Y28" s="438"/>
      <c r="Z28" s="438"/>
      <c r="AA28" s="438"/>
      <c r="AB28" s="438"/>
      <c r="AC28" s="438"/>
      <c r="AD28" s="438"/>
      <c r="AE28" s="438"/>
      <c r="AF28" s="438"/>
      <c r="AG28" s="438"/>
      <c r="AH28" s="438"/>
    </row>
    <row r="29" spans="1:34" ht="3.75" customHeight="1" thickBot="1" x14ac:dyDescent="0.3">
      <c r="A29" s="437"/>
      <c r="B29" s="11"/>
      <c r="C29" s="396"/>
      <c r="D29" s="396"/>
      <c r="E29" s="396"/>
      <c r="F29" s="396"/>
      <c r="G29" s="396"/>
      <c r="H29" s="396"/>
      <c r="I29" s="396"/>
      <c r="J29" s="396"/>
      <c r="K29" s="396"/>
      <c r="L29" s="4"/>
      <c r="N29" s="11"/>
      <c r="O29" s="396"/>
      <c r="P29" s="396"/>
      <c r="Q29" s="396"/>
      <c r="R29" s="396"/>
      <c r="S29" s="396"/>
      <c r="T29" s="396"/>
      <c r="U29" s="396"/>
      <c r="V29" s="396"/>
      <c r="W29" s="4"/>
    </row>
    <row r="30" spans="1:34" ht="19.5" customHeight="1" thickBot="1" x14ac:dyDescent="0.3">
      <c r="A30" s="437"/>
      <c r="B30" s="11"/>
      <c r="C30" s="1066" t="s">
        <v>1364</v>
      </c>
      <c r="D30" s="1066"/>
      <c r="E30" s="1066"/>
      <c r="F30" s="1066"/>
      <c r="G30" s="438"/>
      <c r="H30" s="1066" t="s">
        <v>1363</v>
      </c>
      <c r="I30" s="1066"/>
      <c r="J30" s="1066"/>
      <c r="K30" s="1066"/>
      <c r="L30" s="4"/>
      <c r="N30" s="276" t="s">
        <v>1214</v>
      </c>
      <c r="O30" s="1061"/>
      <c r="P30" s="1062"/>
      <c r="Q30" s="1063"/>
      <c r="R30" s="396"/>
      <c r="S30" s="458" t="s">
        <v>1214</v>
      </c>
      <c r="T30" s="1061"/>
      <c r="U30" s="1062"/>
      <c r="V30" s="1063"/>
      <c r="W30" s="4"/>
    </row>
    <row r="31" spans="1:34" ht="3.75" customHeight="1" thickBot="1" x14ac:dyDescent="0.3">
      <c r="A31" s="437"/>
      <c r="B31" s="11"/>
      <c r="C31" s="396"/>
      <c r="D31" s="396"/>
      <c r="E31" s="396"/>
      <c r="F31" s="396"/>
      <c r="G31" s="508"/>
      <c r="H31" s="396"/>
      <c r="I31" s="396"/>
      <c r="J31" s="396"/>
      <c r="K31" s="396"/>
      <c r="L31" s="4"/>
      <c r="N31" s="11"/>
      <c r="O31" s="396"/>
      <c r="P31" s="396"/>
      <c r="Q31" s="396"/>
      <c r="R31" s="396"/>
      <c r="S31" s="396"/>
      <c r="T31" s="396"/>
      <c r="U31" s="396"/>
      <c r="V31" s="396"/>
      <c r="W31" s="4"/>
    </row>
    <row r="32" spans="1:34" ht="19.5" customHeight="1" thickBot="1" x14ac:dyDescent="0.3">
      <c r="B32" s="11"/>
      <c r="C32" s="596" t="s">
        <v>1356</v>
      </c>
      <c r="D32" s="1061"/>
      <c r="E32" s="1062"/>
      <c r="F32" s="1063"/>
      <c r="G32" s="438"/>
      <c r="H32" s="596" t="s">
        <v>1356</v>
      </c>
      <c r="I32" s="1061"/>
      <c r="J32" s="1062"/>
      <c r="K32" s="1063"/>
      <c r="L32" s="4"/>
      <c r="N32" s="276" t="s">
        <v>1504</v>
      </c>
      <c r="O32" s="1061"/>
      <c r="P32" s="1062"/>
      <c r="Q32" s="1063"/>
      <c r="R32" s="396"/>
      <c r="S32" s="458" t="s">
        <v>1504</v>
      </c>
      <c r="T32" s="1061"/>
      <c r="U32" s="1062"/>
      <c r="V32" s="1063"/>
      <c r="W32" s="4"/>
    </row>
    <row r="33" spans="2:28" ht="3.75" customHeight="1" thickBot="1" x14ac:dyDescent="0.3">
      <c r="B33" s="11"/>
      <c r="C33" s="396"/>
      <c r="D33" s="396"/>
      <c r="E33" s="438"/>
      <c r="F33" s="507"/>
      <c r="G33" s="507"/>
      <c r="H33" s="396"/>
      <c r="I33" s="396"/>
      <c r="J33" s="396"/>
      <c r="K33" s="396"/>
      <c r="L33" s="4"/>
      <c r="M33" s="396"/>
      <c r="N33" s="11"/>
      <c r="O33" s="396"/>
      <c r="P33" s="396"/>
      <c r="Q33" s="396"/>
      <c r="R33" s="396"/>
      <c r="S33" s="396"/>
      <c r="T33" s="396"/>
      <c r="U33" s="396"/>
      <c r="V33" s="396"/>
      <c r="W33" s="4"/>
      <c r="X33" s="396"/>
      <c r="Y33" s="396"/>
      <c r="Z33" s="396"/>
    </row>
    <row r="34" spans="2:28" ht="18.75" customHeight="1" thickBot="1" x14ac:dyDescent="0.3">
      <c r="B34" s="11"/>
      <c r="C34" s="596" t="s">
        <v>1357</v>
      </c>
      <c r="D34" s="322"/>
      <c r="E34" s="596" t="s">
        <v>1358</v>
      </c>
      <c r="F34" s="322"/>
      <c r="G34" s="396"/>
      <c r="H34" s="596" t="s">
        <v>1357</v>
      </c>
      <c r="I34" s="322"/>
      <c r="J34" s="596" t="s">
        <v>1358</v>
      </c>
      <c r="K34" s="322"/>
      <c r="L34" s="4"/>
      <c r="M34" s="396"/>
      <c r="N34" s="276" t="s">
        <v>1196</v>
      </c>
      <c r="O34" s="396"/>
      <c r="P34" s="396"/>
      <c r="Q34" s="396"/>
      <c r="R34" s="396"/>
      <c r="S34" s="458" t="s">
        <v>1196</v>
      </c>
      <c r="T34" s="396"/>
      <c r="U34" s="396"/>
      <c r="V34" s="396"/>
      <c r="W34" s="4"/>
      <c r="X34" s="396"/>
      <c r="AB34" s="396"/>
    </row>
    <row r="35" spans="2:28" ht="3.75" customHeight="1" thickBot="1" x14ac:dyDescent="0.3">
      <c r="B35" s="11"/>
      <c r="C35" s="396"/>
      <c r="D35" s="396"/>
      <c r="E35" s="396"/>
      <c r="F35" s="396"/>
      <c r="G35" s="396"/>
      <c r="H35" s="396"/>
      <c r="I35" s="396"/>
      <c r="J35" s="396"/>
      <c r="K35" s="396"/>
      <c r="L35" s="4"/>
      <c r="M35" s="396"/>
      <c r="N35" s="11"/>
      <c r="O35" s="396"/>
      <c r="P35" s="396"/>
      <c r="Q35" s="396"/>
      <c r="R35" s="396"/>
      <c r="S35" s="458"/>
      <c r="T35" s="520"/>
      <c r="U35" s="722"/>
      <c r="V35" s="722"/>
      <c r="W35" s="4"/>
      <c r="X35" s="396"/>
      <c r="Y35" s="396"/>
      <c r="Z35" s="396"/>
    </row>
    <row r="36" spans="2:28" ht="18.75" customHeight="1" thickBot="1" x14ac:dyDescent="0.3">
      <c r="B36" s="11"/>
      <c r="C36" s="596"/>
      <c r="D36" s="396"/>
      <c r="E36" s="589"/>
      <c r="F36" s="396"/>
      <c r="G36" s="396"/>
      <c r="H36" s="596"/>
      <c r="I36" s="396"/>
      <c r="J36" s="589"/>
      <c r="K36" s="396"/>
      <c r="L36" s="4"/>
      <c r="M36" s="396"/>
      <c r="N36" s="276" t="s">
        <v>1212</v>
      </c>
      <c r="O36" s="757"/>
      <c r="P36" s="396"/>
      <c r="Q36" s="396"/>
      <c r="R36" s="396"/>
      <c r="S36" s="458" t="s">
        <v>1212</v>
      </c>
      <c r="T36" s="757"/>
      <c r="U36" s="396"/>
      <c r="V36" s="396"/>
      <c r="W36" s="4"/>
      <c r="X36" s="396"/>
      <c r="Y36" s="396"/>
      <c r="Z36" s="396"/>
    </row>
    <row r="37" spans="2:28" ht="3.75" customHeight="1" x14ac:dyDescent="0.25">
      <c r="B37" s="11"/>
      <c r="C37" s="396"/>
      <c r="D37" s="396"/>
      <c r="E37" s="396"/>
      <c r="F37" s="396"/>
      <c r="G37" s="600"/>
      <c r="H37" s="396"/>
      <c r="I37" s="396"/>
      <c r="J37" s="396"/>
      <c r="K37" s="600"/>
      <c r="L37" s="4"/>
      <c r="M37" s="396"/>
      <c r="N37" s="276" t="s">
        <v>1213</v>
      </c>
      <c r="O37" s="1064"/>
      <c r="P37" s="1064"/>
      <c r="Q37" s="1064"/>
      <c r="R37" s="396"/>
      <c r="S37" s="396"/>
      <c r="T37" s="396"/>
      <c r="U37" s="396"/>
      <c r="V37" s="396"/>
      <c r="W37" s="4"/>
      <c r="X37" s="396"/>
      <c r="Y37" s="396"/>
      <c r="Z37" s="396"/>
    </row>
    <row r="38" spans="2:28" ht="18.75" customHeight="1" x14ac:dyDescent="0.25">
      <c r="B38" s="11"/>
      <c r="C38" s="1066" t="s">
        <v>1367</v>
      </c>
      <c r="D38" s="1066"/>
      <c r="E38" s="1066"/>
      <c r="F38" s="1066"/>
      <c r="G38" s="396"/>
      <c r="H38" s="1066" t="s">
        <v>1368</v>
      </c>
      <c r="I38" s="1066"/>
      <c r="J38" s="1066"/>
      <c r="K38" s="1066"/>
      <c r="L38" s="4"/>
      <c r="M38" s="396"/>
      <c r="N38" s="1065" t="s">
        <v>1416</v>
      </c>
      <c r="O38" s="396"/>
      <c r="P38" s="396"/>
      <c r="Q38" s="396"/>
      <c r="R38" s="396"/>
      <c r="S38" s="396"/>
      <c r="T38" s="396"/>
      <c r="U38" s="396"/>
      <c r="V38" s="396"/>
      <c r="W38" s="4"/>
      <c r="X38" s="396"/>
      <c r="Y38" s="396"/>
      <c r="Z38" s="396"/>
    </row>
    <row r="39" spans="2:28" ht="3.75" customHeight="1" thickBot="1" x14ac:dyDescent="0.3">
      <c r="B39" s="11"/>
      <c r="C39" s="396"/>
      <c r="D39" s="396"/>
      <c r="E39" s="396"/>
      <c r="F39" s="396"/>
      <c r="G39" s="396"/>
      <c r="H39" s="396"/>
      <c r="I39" s="396"/>
      <c r="J39" s="396"/>
      <c r="K39" s="396"/>
      <c r="L39" s="4"/>
      <c r="M39" s="396"/>
      <c r="N39" s="1065"/>
      <c r="O39" s="396"/>
      <c r="P39" s="396"/>
      <c r="Q39" s="396"/>
      <c r="R39" s="396"/>
      <c r="S39" s="396"/>
      <c r="T39" s="396"/>
      <c r="U39" s="396"/>
      <c r="V39" s="396"/>
      <c r="W39" s="4"/>
      <c r="X39" s="396"/>
      <c r="Y39" s="396"/>
      <c r="Z39" s="396"/>
    </row>
    <row r="40" spans="2:28" ht="18.75" customHeight="1" thickBot="1" x14ac:dyDescent="0.3">
      <c r="B40" s="11"/>
      <c r="C40" s="596" t="s">
        <v>1356</v>
      </c>
      <c r="D40" s="1061"/>
      <c r="E40" s="1062"/>
      <c r="F40" s="1063"/>
      <c r="G40" s="396"/>
      <c r="H40" s="596" t="s">
        <v>1356</v>
      </c>
      <c r="I40" s="1061"/>
      <c r="J40" s="1062"/>
      <c r="K40" s="1063"/>
      <c r="L40" s="4"/>
      <c r="N40" s="1065"/>
      <c r="O40" s="396"/>
      <c r="P40" s="396"/>
      <c r="Q40" s="396"/>
      <c r="R40" s="396"/>
      <c r="S40" s="396"/>
      <c r="T40" s="396"/>
      <c r="U40" s="396"/>
      <c r="V40" s="396"/>
      <c r="W40" s="4"/>
    </row>
    <row r="41" spans="2:28" ht="3.75" customHeight="1" thickBot="1" x14ac:dyDescent="0.3">
      <c r="B41" s="11"/>
      <c r="C41" s="396"/>
      <c r="D41" s="396"/>
      <c r="E41" s="396"/>
      <c r="F41" s="396"/>
      <c r="G41" s="396"/>
      <c r="H41" s="596"/>
      <c r="I41" s="396"/>
      <c r="J41" s="396"/>
      <c r="K41" s="396"/>
      <c r="L41" s="4"/>
      <c r="N41" s="276" t="s">
        <v>1196</v>
      </c>
      <c r="O41" s="396"/>
      <c r="P41" s="396"/>
      <c r="Q41" s="396"/>
      <c r="R41" s="396"/>
      <c r="S41" s="458" t="s">
        <v>1196</v>
      </c>
      <c r="T41" s="396"/>
      <c r="U41" s="396"/>
      <c r="V41" s="396"/>
      <c r="W41" s="4"/>
    </row>
    <row r="42" spans="2:28" ht="18.75" customHeight="1" thickBot="1" x14ac:dyDescent="0.3">
      <c r="B42" s="11"/>
      <c r="C42" s="596" t="s">
        <v>1357</v>
      </c>
      <c r="D42" s="322"/>
      <c r="E42" s="596" t="s">
        <v>1358</v>
      </c>
      <c r="F42" s="322"/>
      <c r="G42" s="396"/>
      <c r="H42" s="596" t="s">
        <v>1357</v>
      </c>
      <c r="I42" s="322"/>
      <c r="J42" s="596" t="s">
        <v>1358</v>
      </c>
      <c r="K42" s="322"/>
      <c r="L42" s="4"/>
      <c r="N42" s="11"/>
      <c r="O42" s="396"/>
      <c r="P42" s="396"/>
      <c r="Q42" s="396"/>
      <c r="R42" s="396"/>
      <c r="S42" s="396"/>
      <c r="T42" s="396"/>
      <c r="U42" s="396"/>
      <c r="V42" s="396"/>
      <c r="W42" s="4"/>
      <c r="X42" s="396"/>
    </row>
    <row r="43" spans="2:28" ht="3.75" customHeight="1" x14ac:dyDescent="0.25">
      <c r="B43" s="11"/>
      <c r="C43" s="396"/>
      <c r="D43" s="396"/>
      <c r="E43" s="396"/>
      <c r="F43" s="396"/>
      <c r="G43" s="396"/>
      <c r="H43" s="396"/>
      <c r="I43" s="396"/>
      <c r="J43" s="396"/>
      <c r="K43" s="396"/>
      <c r="L43" s="4"/>
      <c r="N43" s="11"/>
      <c r="O43" s="396"/>
      <c r="P43" s="396"/>
      <c r="Q43" s="396"/>
      <c r="R43" s="396"/>
      <c r="S43" s="396"/>
      <c r="T43" s="396"/>
      <c r="U43" s="396"/>
      <c r="V43" s="396"/>
      <c r="W43" s="4"/>
      <c r="X43" s="396"/>
    </row>
    <row r="44" spans="2:28" ht="18.75" customHeight="1" x14ac:dyDescent="0.25">
      <c r="B44" s="11"/>
      <c r="C44" s="596"/>
      <c r="D44" s="396"/>
      <c r="E44" s="589"/>
      <c r="F44" s="396"/>
      <c r="G44" s="396"/>
      <c r="H44" s="596"/>
      <c r="I44" s="396"/>
      <c r="J44" s="589"/>
      <c r="K44" s="396"/>
      <c r="L44" s="4"/>
      <c r="N44" s="276"/>
      <c r="O44" s="1064"/>
      <c r="P44" s="1064"/>
      <c r="Q44" s="1064"/>
      <c r="R44" s="396"/>
      <c r="S44" s="458"/>
      <c r="T44" s="1064"/>
      <c r="U44" s="1064"/>
      <c r="V44" s="1064"/>
      <c r="W44" s="4"/>
      <c r="X44" s="396"/>
    </row>
    <row r="45" spans="2:28" ht="7.5" customHeight="1" thickBot="1" x14ac:dyDescent="0.3">
      <c r="B45" s="12"/>
      <c r="C45" s="5"/>
      <c r="D45" s="5"/>
      <c r="E45" s="5"/>
      <c r="F45" s="5"/>
      <c r="G45" s="5"/>
      <c r="H45" s="5"/>
      <c r="I45" s="5"/>
      <c r="J45" s="5"/>
      <c r="K45" s="5"/>
      <c r="L45" s="6"/>
      <c r="N45" s="12"/>
      <c r="O45" s="5"/>
      <c r="P45" s="5"/>
      <c r="Q45" s="5"/>
      <c r="R45" s="5"/>
      <c r="S45" s="5"/>
      <c r="T45" s="5"/>
      <c r="U45" s="5"/>
      <c r="V45" s="5"/>
      <c r="W45" s="6"/>
      <c r="X45" s="396"/>
    </row>
    <row r="46" spans="2:28" x14ac:dyDescent="0.25">
      <c r="N46" s="396"/>
      <c r="O46" s="396"/>
      <c r="P46" s="396"/>
      <c r="Q46" s="396"/>
      <c r="R46" s="396"/>
      <c r="S46" s="396"/>
      <c r="T46" s="396"/>
      <c r="U46" s="396"/>
      <c r="V46" s="396"/>
      <c r="W46" s="396"/>
      <c r="X46" s="396"/>
    </row>
    <row r="47" spans="2:28" x14ac:dyDescent="0.25">
      <c r="N47" s="396"/>
      <c r="O47" s="396"/>
      <c r="P47" s="396"/>
      <c r="Q47" s="396"/>
      <c r="R47" s="396"/>
      <c r="S47" s="396"/>
      <c r="T47" s="396"/>
      <c r="U47" s="396"/>
      <c r="V47" s="396"/>
      <c r="W47" s="396"/>
      <c r="X47" s="396"/>
    </row>
  </sheetData>
  <sheetProtection sheet="1" selectLockedCells="1"/>
  <mergeCells count="35">
    <mergeCell ref="O44:Q44"/>
    <mergeCell ref="T44:V44"/>
    <mergeCell ref="B4:L4"/>
    <mergeCell ref="N4:W4"/>
    <mergeCell ref="D8:F8"/>
    <mergeCell ref="D16:F16"/>
    <mergeCell ref="C6:F6"/>
    <mergeCell ref="H6:K6"/>
    <mergeCell ref="T22:V22"/>
    <mergeCell ref="I8:K8"/>
    <mergeCell ref="I16:K16"/>
    <mergeCell ref="I24:K24"/>
    <mergeCell ref="C14:F14"/>
    <mergeCell ref="H14:K14"/>
    <mergeCell ref="H22:K22"/>
    <mergeCell ref="C22:F22"/>
    <mergeCell ref="D24:F24"/>
    <mergeCell ref="N38:N40"/>
    <mergeCell ref="T30:V30"/>
    <mergeCell ref="O30:Q30"/>
    <mergeCell ref="C30:F30"/>
    <mergeCell ref="H30:K30"/>
    <mergeCell ref="C38:F38"/>
    <mergeCell ref="H38:K38"/>
    <mergeCell ref="D32:F32"/>
    <mergeCell ref="D40:F40"/>
    <mergeCell ref="I32:K32"/>
    <mergeCell ref="I40:K40"/>
    <mergeCell ref="N18:W18"/>
    <mergeCell ref="T20:V20"/>
    <mergeCell ref="O20:Q20"/>
    <mergeCell ref="O32:Q32"/>
    <mergeCell ref="O37:Q37"/>
    <mergeCell ref="T32:V32"/>
    <mergeCell ref="O22:Q2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6156" r:id="rId3" name="TextBox2">
          <controlPr locked="0" defaultSize="0" autoLine="0" linkedCell="Unformatted!E281" r:id="rId4">
            <anchor moveWithCells="1">
              <from>
                <xdr:col>13</xdr:col>
                <xdr:colOff>85725</xdr:colOff>
                <xdr:row>4</xdr:row>
                <xdr:rowOff>66675</xdr:rowOff>
              </from>
              <to>
                <xdr:col>22</xdr:col>
                <xdr:colOff>57150</xdr:colOff>
                <xdr:row>15</xdr:row>
                <xdr:rowOff>209550</xdr:rowOff>
              </to>
            </anchor>
          </controlPr>
        </control>
      </mc:Choice>
      <mc:Fallback>
        <control shapeId="176156" r:id="rId3" name="TextBox2"/>
      </mc:Fallback>
    </mc:AlternateContent>
    <mc:AlternateContent xmlns:mc="http://schemas.openxmlformats.org/markup-compatibility/2006">
      <mc:Choice Requires="x14">
        <control shapeId="176313" r:id="rId5" name="TextBox1">
          <controlPr locked="0" defaultSize="0" autoLine="0" autoPict="0" linkedCell="Unformatted!E304" r:id="rId6">
            <anchor moveWithCells="1">
              <from>
                <xdr:col>14</xdr:col>
                <xdr:colOff>19050</xdr:colOff>
                <xdr:row>37</xdr:row>
                <xdr:rowOff>19050</xdr:rowOff>
              </from>
              <to>
                <xdr:col>22</xdr:col>
                <xdr:colOff>66675</xdr:colOff>
                <xdr:row>44</xdr:row>
                <xdr:rowOff>28575</xdr:rowOff>
              </to>
            </anchor>
          </controlPr>
        </control>
      </mc:Choice>
      <mc:Fallback>
        <control shapeId="176313" r:id="rId5" name="TextBox1"/>
      </mc:Fallback>
    </mc:AlternateContent>
    <mc:AlternateContent xmlns:mc="http://schemas.openxmlformats.org/markup-compatibility/2006">
      <mc:Choice Requires="x14">
        <control shapeId="176146" r:id="rId7" name="Drop Down 18">
          <controlPr defaultSize="0" autoLine="0" autoPict="0">
            <anchor moveWithCells="1">
              <from>
                <xdr:col>14</xdr:col>
                <xdr:colOff>0</xdr:colOff>
                <xdr:row>23</xdr:row>
                <xdr:rowOff>0</xdr:rowOff>
              </from>
              <to>
                <xdr:col>16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152" r:id="rId8" name="Drop Down 24">
          <controlPr defaultSize="0" autoLine="0" autoPict="0">
            <anchor moveWithCells="1">
              <from>
                <xdr:col>14</xdr:col>
                <xdr:colOff>0</xdr:colOff>
                <xdr:row>33</xdr:row>
                <xdr:rowOff>0</xdr:rowOff>
              </from>
              <to>
                <xdr:col>16</xdr:col>
                <xdr:colOff>0</xdr:colOff>
                <xdr:row>34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153" r:id="rId9" name="Drop Down 25">
          <controlPr defaultSize="0" autoLine="0" autoPict="0">
            <anchor moveWithCells="1">
              <from>
                <xdr:col>19</xdr:col>
                <xdr:colOff>0</xdr:colOff>
                <xdr:row>23</xdr:row>
                <xdr:rowOff>0</xdr:rowOff>
              </from>
              <to>
                <xdr:col>21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154" r:id="rId10" name="Drop Down 26">
          <controlPr defaultSize="0" autoLine="0" autoPict="0">
            <anchor moveWithCells="1">
              <from>
                <xdr:col>19</xdr:col>
                <xdr:colOff>0</xdr:colOff>
                <xdr:row>33</xdr:row>
                <xdr:rowOff>0</xdr:rowOff>
              </from>
              <to>
                <xdr:col>21</xdr:col>
                <xdr:colOff>0</xdr:colOff>
                <xdr:row>34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08" r:id="rId11" name="Group Box 80">
          <controlPr defaultSize="0" autoFill="0" autoPict="0">
            <anchor moveWithCells="1">
              <from>
                <xdr:col>3</xdr:col>
                <xdr:colOff>0</xdr:colOff>
                <xdr:row>11</xdr:row>
                <xdr:rowOff>0</xdr:rowOff>
              </from>
              <to>
                <xdr:col>6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09" r:id="rId12" name="Option Button 81">
          <controlPr locked="0" defaultSize="0" autoFill="0" autoLine="0" autoPict="0">
            <anchor moveWithCells="1">
              <from>
                <xdr:col>3</xdr:col>
                <xdr:colOff>314325</xdr:colOff>
                <xdr:row>11</xdr:row>
                <xdr:rowOff>19050</xdr:rowOff>
              </from>
              <to>
                <xdr:col>4</xdr:col>
                <xdr:colOff>219075</xdr:colOff>
                <xdr:row>11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10" r:id="rId13" name="Option Button 82">
          <controlPr locked="0" defaultSize="0" autoFill="0" autoLine="0" autoPict="0">
            <anchor moveWithCells="1">
              <from>
                <xdr:col>4</xdr:col>
                <xdr:colOff>495300</xdr:colOff>
                <xdr:row>11</xdr:row>
                <xdr:rowOff>19050</xdr:rowOff>
              </from>
              <to>
                <xdr:col>5</xdr:col>
                <xdr:colOff>361950</xdr:colOff>
                <xdr:row>11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74" r:id="rId14" name="Group Box 146">
          <controlPr defaultSize="0" autoFill="0" autoPict="0">
            <anchor moveWithCells="1">
              <from>
                <xdr:col>8</xdr:col>
                <xdr:colOff>0</xdr:colOff>
                <xdr:row>11</xdr:row>
                <xdr:rowOff>0</xdr:rowOff>
              </from>
              <to>
                <xdr:col>11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75" r:id="rId15" name="Option Button 147">
          <controlPr locked="0" defaultSize="0" autoFill="0" autoLine="0" autoPict="0">
            <anchor moveWithCells="1">
              <from>
                <xdr:col>8</xdr:col>
                <xdr:colOff>314325</xdr:colOff>
                <xdr:row>11</xdr:row>
                <xdr:rowOff>19050</xdr:rowOff>
              </from>
              <to>
                <xdr:col>9</xdr:col>
                <xdr:colOff>219075</xdr:colOff>
                <xdr:row>11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76" r:id="rId16" name="Option Button 148">
          <controlPr locked="0" defaultSize="0" autoFill="0" autoLine="0" autoPict="0">
            <anchor moveWithCells="1">
              <from>
                <xdr:col>9</xdr:col>
                <xdr:colOff>495300</xdr:colOff>
                <xdr:row>11</xdr:row>
                <xdr:rowOff>19050</xdr:rowOff>
              </from>
              <to>
                <xdr:col>10</xdr:col>
                <xdr:colOff>361950</xdr:colOff>
                <xdr:row>11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77" r:id="rId17" name="Group Box 149">
          <controlPr defaultSize="0" autoFill="0" autoPict="0">
            <anchor moveWithCells="1">
              <from>
                <xdr:col>3</xdr:col>
                <xdr:colOff>0</xdr:colOff>
                <xdr:row>19</xdr:row>
                <xdr:rowOff>0</xdr:rowOff>
              </from>
              <to>
                <xdr:col>6</xdr:col>
                <xdr:colOff>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78" r:id="rId18" name="Option Button 150">
          <controlPr locked="0" defaultSize="0" autoFill="0" autoLine="0" autoPict="0">
            <anchor moveWithCells="1">
              <from>
                <xdr:col>3</xdr:col>
                <xdr:colOff>314325</xdr:colOff>
                <xdr:row>19</xdr:row>
                <xdr:rowOff>19050</xdr:rowOff>
              </from>
              <to>
                <xdr:col>4</xdr:col>
                <xdr:colOff>219075</xdr:colOff>
                <xdr:row>19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79" r:id="rId19" name="Option Button 151">
          <controlPr locked="0" defaultSize="0" autoFill="0" autoLine="0" autoPict="0">
            <anchor moveWithCells="1">
              <from>
                <xdr:col>4</xdr:col>
                <xdr:colOff>495300</xdr:colOff>
                <xdr:row>19</xdr:row>
                <xdr:rowOff>19050</xdr:rowOff>
              </from>
              <to>
                <xdr:col>5</xdr:col>
                <xdr:colOff>361950</xdr:colOff>
                <xdr:row>19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80" r:id="rId20" name="Group Box 152">
          <controlPr defaultSize="0" autoFill="0" autoPict="0">
            <anchor moveWithCells="1">
              <from>
                <xdr:col>8</xdr:col>
                <xdr:colOff>0</xdr:colOff>
                <xdr:row>19</xdr:row>
                <xdr:rowOff>0</xdr:rowOff>
              </from>
              <to>
                <xdr:col>11</xdr:col>
                <xdr:colOff>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81" r:id="rId21" name="Option Button 153">
          <controlPr locked="0" defaultSize="0" autoFill="0" autoLine="0" autoPict="0">
            <anchor moveWithCells="1">
              <from>
                <xdr:col>8</xdr:col>
                <xdr:colOff>314325</xdr:colOff>
                <xdr:row>19</xdr:row>
                <xdr:rowOff>19050</xdr:rowOff>
              </from>
              <to>
                <xdr:col>9</xdr:col>
                <xdr:colOff>219075</xdr:colOff>
                <xdr:row>19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82" r:id="rId22" name="Option Button 154">
          <controlPr locked="0" defaultSize="0" autoFill="0" autoLine="0" autoPict="0">
            <anchor moveWithCells="1">
              <from>
                <xdr:col>9</xdr:col>
                <xdr:colOff>495300</xdr:colOff>
                <xdr:row>19</xdr:row>
                <xdr:rowOff>19050</xdr:rowOff>
              </from>
              <to>
                <xdr:col>10</xdr:col>
                <xdr:colOff>361950</xdr:colOff>
                <xdr:row>19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83" r:id="rId23" name="Group Box 155">
          <controlPr defaultSize="0" autoFill="0" autoPict="0">
            <anchor moveWithCells="1">
              <from>
                <xdr:col>3</xdr:col>
                <xdr:colOff>0</xdr:colOff>
                <xdr:row>27</xdr:row>
                <xdr:rowOff>0</xdr:rowOff>
              </from>
              <to>
                <xdr:col>6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84" r:id="rId24" name="Option Button 156">
          <controlPr locked="0" defaultSize="0" autoFill="0" autoLine="0" autoPict="0">
            <anchor moveWithCells="1">
              <from>
                <xdr:col>3</xdr:col>
                <xdr:colOff>314325</xdr:colOff>
                <xdr:row>27</xdr:row>
                <xdr:rowOff>19050</xdr:rowOff>
              </from>
              <to>
                <xdr:col>4</xdr:col>
                <xdr:colOff>219075</xdr:colOff>
                <xdr:row>27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85" r:id="rId25" name="Option Button 157">
          <controlPr locked="0" defaultSize="0" autoFill="0" autoLine="0" autoPict="0">
            <anchor moveWithCells="1">
              <from>
                <xdr:col>4</xdr:col>
                <xdr:colOff>495300</xdr:colOff>
                <xdr:row>27</xdr:row>
                <xdr:rowOff>19050</xdr:rowOff>
              </from>
              <to>
                <xdr:col>5</xdr:col>
                <xdr:colOff>361950</xdr:colOff>
                <xdr:row>27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86" r:id="rId26" name="Group Box 158">
          <controlPr defaultSize="0" autoFill="0" autoPict="0">
            <anchor moveWithCells="1">
              <from>
                <xdr:col>8</xdr:col>
                <xdr:colOff>0</xdr:colOff>
                <xdr:row>27</xdr:row>
                <xdr:rowOff>0</xdr:rowOff>
              </from>
              <to>
                <xdr:col>11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87" r:id="rId27" name="Option Button 159">
          <controlPr locked="0" defaultSize="0" autoFill="0" autoLine="0" autoPict="0">
            <anchor moveWithCells="1">
              <from>
                <xdr:col>8</xdr:col>
                <xdr:colOff>314325</xdr:colOff>
                <xdr:row>27</xdr:row>
                <xdr:rowOff>19050</xdr:rowOff>
              </from>
              <to>
                <xdr:col>9</xdr:col>
                <xdr:colOff>219075</xdr:colOff>
                <xdr:row>27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88" r:id="rId28" name="Option Button 160">
          <controlPr locked="0" defaultSize="0" autoFill="0" autoLine="0" autoPict="0">
            <anchor moveWithCells="1">
              <from>
                <xdr:col>9</xdr:col>
                <xdr:colOff>495300</xdr:colOff>
                <xdr:row>27</xdr:row>
                <xdr:rowOff>19050</xdr:rowOff>
              </from>
              <to>
                <xdr:col>10</xdr:col>
                <xdr:colOff>361950</xdr:colOff>
                <xdr:row>27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89" r:id="rId29" name="Group Box 161">
          <controlPr defaultSize="0" autoFill="0" autoPict="0">
            <anchor moveWithCells="1">
              <from>
                <xdr:col>3</xdr:col>
                <xdr:colOff>0</xdr:colOff>
                <xdr:row>35</xdr:row>
                <xdr:rowOff>0</xdr:rowOff>
              </from>
              <to>
                <xdr:col>6</xdr:col>
                <xdr:colOff>0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90" r:id="rId30" name="Option Button 162">
          <controlPr locked="0" defaultSize="0" autoFill="0" autoLine="0" autoPict="0">
            <anchor moveWithCells="1">
              <from>
                <xdr:col>3</xdr:col>
                <xdr:colOff>314325</xdr:colOff>
                <xdr:row>35</xdr:row>
                <xdr:rowOff>19050</xdr:rowOff>
              </from>
              <to>
                <xdr:col>4</xdr:col>
                <xdr:colOff>219075</xdr:colOff>
                <xdr:row>35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91" r:id="rId31" name="Option Button 163">
          <controlPr locked="0" defaultSize="0" autoFill="0" autoLine="0" autoPict="0">
            <anchor moveWithCells="1">
              <from>
                <xdr:col>4</xdr:col>
                <xdr:colOff>495300</xdr:colOff>
                <xdr:row>35</xdr:row>
                <xdr:rowOff>19050</xdr:rowOff>
              </from>
              <to>
                <xdr:col>5</xdr:col>
                <xdr:colOff>361950</xdr:colOff>
                <xdr:row>35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92" r:id="rId32" name="Group Box 164">
          <controlPr defaultSize="0" autoFill="0" autoPict="0">
            <anchor moveWithCells="1">
              <from>
                <xdr:col>8</xdr:col>
                <xdr:colOff>0</xdr:colOff>
                <xdr:row>35</xdr:row>
                <xdr:rowOff>0</xdr:rowOff>
              </from>
              <to>
                <xdr:col>11</xdr:col>
                <xdr:colOff>0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93" r:id="rId33" name="Option Button 165">
          <controlPr locked="0" defaultSize="0" autoFill="0" autoLine="0" autoPict="0">
            <anchor moveWithCells="1">
              <from>
                <xdr:col>8</xdr:col>
                <xdr:colOff>314325</xdr:colOff>
                <xdr:row>35</xdr:row>
                <xdr:rowOff>19050</xdr:rowOff>
              </from>
              <to>
                <xdr:col>9</xdr:col>
                <xdr:colOff>219075</xdr:colOff>
                <xdr:row>35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94" r:id="rId34" name="Option Button 166">
          <controlPr locked="0" defaultSize="0" autoFill="0" autoLine="0" autoPict="0">
            <anchor moveWithCells="1">
              <from>
                <xdr:col>9</xdr:col>
                <xdr:colOff>495300</xdr:colOff>
                <xdr:row>35</xdr:row>
                <xdr:rowOff>19050</xdr:rowOff>
              </from>
              <to>
                <xdr:col>10</xdr:col>
                <xdr:colOff>361950</xdr:colOff>
                <xdr:row>35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95" r:id="rId35" name="Group Box 167">
          <controlPr defaultSize="0" autoFill="0" autoPict="0">
            <anchor moveWithCells="1">
              <from>
                <xdr:col>3</xdr:col>
                <xdr:colOff>0</xdr:colOff>
                <xdr:row>43</xdr:row>
                <xdr:rowOff>0</xdr:rowOff>
              </from>
              <to>
                <xdr:col>6</xdr:col>
                <xdr:colOff>0</xdr:colOff>
                <xdr:row>44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96" r:id="rId36" name="Option Button 168">
          <controlPr locked="0" defaultSize="0" autoFill="0" autoLine="0" autoPict="0">
            <anchor moveWithCells="1">
              <from>
                <xdr:col>3</xdr:col>
                <xdr:colOff>314325</xdr:colOff>
                <xdr:row>43</xdr:row>
                <xdr:rowOff>19050</xdr:rowOff>
              </from>
              <to>
                <xdr:col>4</xdr:col>
                <xdr:colOff>219075</xdr:colOff>
                <xdr:row>43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97" r:id="rId37" name="Option Button 169">
          <controlPr locked="0" defaultSize="0" autoFill="0" autoLine="0" autoPict="0">
            <anchor moveWithCells="1">
              <from>
                <xdr:col>4</xdr:col>
                <xdr:colOff>495300</xdr:colOff>
                <xdr:row>43</xdr:row>
                <xdr:rowOff>19050</xdr:rowOff>
              </from>
              <to>
                <xdr:col>5</xdr:col>
                <xdr:colOff>361950</xdr:colOff>
                <xdr:row>43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98" r:id="rId38" name="Group Box 170">
          <controlPr defaultSize="0" autoFill="0" autoPict="0">
            <anchor moveWithCells="1">
              <from>
                <xdr:col>8</xdr:col>
                <xdr:colOff>0</xdr:colOff>
                <xdr:row>43</xdr:row>
                <xdr:rowOff>0</xdr:rowOff>
              </from>
              <to>
                <xdr:col>11</xdr:col>
                <xdr:colOff>0</xdr:colOff>
                <xdr:row>44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299" r:id="rId39" name="Option Button 171">
          <controlPr locked="0" defaultSize="0" autoFill="0" autoLine="0" autoPict="0">
            <anchor moveWithCells="1">
              <from>
                <xdr:col>8</xdr:col>
                <xdr:colOff>314325</xdr:colOff>
                <xdr:row>43</xdr:row>
                <xdr:rowOff>19050</xdr:rowOff>
              </from>
              <to>
                <xdr:col>9</xdr:col>
                <xdr:colOff>219075</xdr:colOff>
                <xdr:row>43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300" r:id="rId40" name="Option Button 172">
          <controlPr locked="0" defaultSize="0" autoFill="0" autoLine="0" autoPict="0">
            <anchor moveWithCells="1">
              <from>
                <xdr:col>9</xdr:col>
                <xdr:colOff>495300</xdr:colOff>
                <xdr:row>43</xdr:row>
                <xdr:rowOff>19050</xdr:rowOff>
              </from>
              <to>
                <xdr:col>10</xdr:col>
                <xdr:colOff>361950</xdr:colOff>
                <xdr:row>43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301" r:id="rId41" name="Group Box 173">
          <controlPr defaultSize="0" autoFill="0" autoPict="0">
            <anchor moveWithCells="1">
              <from>
                <xdr:col>15</xdr:col>
                <xdr:colOff>114300</xdr:colOff>
                <xdr:row>25</xdr:row>
                <xdr:rowOff>0</xdr:rowOff>
              </from>
              <to>
                <xdr:col>17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302" r:id="rId42" name="Option Button 174">
          <controlPr locked="0" defaultSize="0" autoFill="0" autoLine="0" autoPict="0">
            <anchor moveWithCells="1">
              <from>
                <xdr:col>15</xdr:col>
                <xdr:colOff>171450</xdr:colOff>
                <xdr:row>25</xdr:row>
                <xdr:rowOff>19050</xdr:rowOff>
              </from>
              <to>
                <xdr:col>16</xdr:col>
                <xdr:colOff>142875</xdr:colOff>
                <xdr:row>25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303" r:id="rId43" name="Option Button 175">
          <controlPr locked="0" defaultSize="0" autoFill="0" autoLine="0" autoPict="0">
            <anchor moveWithCells="1">
              <from>
                <xdr:col>16</xdr:col>
                <xdr:colOff>133350</xdr:colOff>
                <xdr:row>25</xdr:row>
                <xdr:rowOff>19050</xdr:rowOff>
              </from>
              <to>
                <xdr:col>16</xdr:col>
                <xdr:colOff>571500</xdr:colOff>
                <xdr:row>25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304" r:id="rId44" name="Group Box 176">
          <controlPr defaultSize="0" autoFill="0" autoPict="0">
            <anchor moveWithCells="1">
              <from>
                <xdr:col>20</xdr:col>
                <xdr:colOff>114300</xdr:colOff>
                <xdr:row>25</xdr:row>
                <xdr:rowOff>0</xdr:rowOff>
              </from>
              <to>
                <xdr:col>22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305" r:id="rId45" name="Option Button 177">
          <controlPr locked="0" defaultSize="0" autoFill="0" autoLine="0" autoPict="0">
            <anchor moveWithCells="1">
              <from>
                <xdr:col>20</xdr:col>
                <xdr:colOff>171450</xdr:colOff>
                <xdr:row>25</xdr:row>
                <xdr:rowOff>19050</xdr:rowOff>
              </from>
              <to>
                <xdr:col>21</xdr:col>
                <xdr:colOff>142875</xdr:colOff>
                <xdr:row>25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306" r:id="rId46" name="Option Button 178">
          <controlPr locked="0" defaultSize="0" autoFill="0" autoLine="0" autoPict="0">
            <anchor moveWithCells="1">
              <from>
                <xdr:col>21</xdr:col>
                <xdr:colOff>133350</xdr:colOff>
                <xdr:row>25</xdr:row>
                <xdr:rowOff>19050</xdr:rowOff>
              </from>
              <to>
                <xdr:col>21</xdr:col>
                <xdr:colOff>571500</xdr:colOff>
                <xdr:row>25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307" r:id="rId47" name="Group Box 179">
          <controlPr defaultSize="0" autoFill="0" autoPict="0">
            <anchor moveWithCells="1">
              <from>
                <xdr:col>15</xdr:col>
                <xdr:colOff>114300</xdr:colOff>
                <xdr:row>35</xdr:row>
                <xdr:rowOff>0</xdr:rowOff>
              </from>
              <to>
                <xdr:col>17</xdr:col>
                <xdr:colOff>0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308" r:id="rId48" name="Option Button 180">
          <controlPr locked="0" defaultSize="0" autoFill="0" autoLine="0" autoPict="0">
            <anchor moveWithCells="1">
              <from>
                <xdr:col>15</xdr:col>
                <xdr:colOff>171450</xdr:colOff>
                <xdr:row>35</xdr:row>
                <xdr:rowOff>19050</xdr:rowOff>
              </from>
              <to>
                <xdr:col>16</xdr:col>
                <xdr:colOff>142875</xdr:colOff>
                <xdr:row>35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309" r:id="rId49" name="Option Button 181">
          <controlPr locked="0" defaultSize="0" autoFill="0" autoLine="0" autoPict="0">
            <anchor moveWithCells="1">
              <from>
                <xdr:col>16</xdr:col>
                <xdr:colOff>133350</xdr:colOff>
                <xdr:row>35</xdr:row>
                <xdr:rowOff>19050</xdr:rowOff>
              </from>
              <to>
                <xdr:col>16</xdr:col>
                <xdr:colOff>571500</xdr:colOff>
                <xdr:row>35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310" r:id="rId50" name="Group Box 182">
          <controlPr defaultSize="0" autoFill="0" autoPict="0">
            <anchor moveWithCells="1">
              <from>
                <xdr:col>20</xdr:col>
                <xdr:colOff>114300</xdr:colOff>
                <xdr:row>35</xdr:row>
                <xdr:rowOff>0</xdr:rowOff>
              </from>
              <to>
                <xdr:col>22</xdr:col>
                <xdr:colOff>0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311" r:id="rId51" name="Option Button 183">
          <controlPr locked="0" defaultSize="0" autoFill="0" autoLine="0" autoPict="0">
            <anchor moveWithCells="1">
              <from>
                <xdr:col>20</xdr:col>
                <xdr:colOff>171450</xdr:colOff>
                <xdr:row>35</xdr:row>
                <xdr:rowOff>19050</xdr:rowOff>
              </from>
              <to>
                <xdr:col>21</xdr:col>
                <xdr:colOff>142875</xdr:colOff>
                <xdr:row>35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6312" r:id="rId52" name="Option Button 184">
          <controlPr locked="0" defaultSize="0" autoFill="0" autoLine="0" autoPict="0">
            <anchor moveWithCells="1">
              <from>
                <xdr:col>21</xdr:col>
                <xdr:colOff>133350</xdr:colOff>
                <xdr:row>35</xdr:row>
                <xdr:rowOff>19050</xdr:rowOff>
              </from>
              <to>
                <xdr:col>21</xdr:col>
                <xdr:colOff>571500</xdr:colOff>
                <xdr:row>35</xdr:row>
                <xdr:rowOff>228600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A37"/>
  <sheetViews>
    <sheetView showGridLines="0" showRowColHeaders="0" zoomScaleNormal="100" workbookViewId="0">
      <selection activeCell="I14" sqref="I14"/>
    </sheetView>
  </sheetViews>
  <sheetFormatPr defaultColWidth="9.140625" defaultRowHeight="15" x14ac:dyDescent="0.25"/>
  <cols>
    <col min="1" max="1" width="1.85546875" customWidth="1"/>
    <col min="2" max="2" width="6.85546875" customWidth="1"/>
    <col min="3" max="3" width="9.42578125" customWidth="1"/>
    <col min="4" max="4" width="6.140625" customWidth="1"/>
    <col min="5" max="5" width="10" customWidth="1"/>
    <col min="6" max="6" width="8.140625" customWidth="1"/>
    <col min="8" max="10" width="10" customWidth="1"/>
    <col min="11" max="11" width="3.5703125" customWidth="1"/>
  </cols>
  <sheetData>
    <row r="1" spans="1:27" s="611" customFormat="1" x14ac:dyDescent="0.25">
      <c r="C1" s="2"/>
      <c r="D1" s="2"/>
      <c r="E1" s="2"/>
      <c r="F1" s="2"/>
      <c r="G1" s="2"/>
      <c r="K1" s="2"/>
      <c r="L1" s="2"/>
      <c r="M1" s="2"/>
    </row>
    <row r="2" spans="1:27" s="611" customFormat="1" ht="23.25" x14ac:dyDescent="0.25">
      <c r="A2" s="107"/>
      <c r="B2" s="107"/>
      <c r="C2" s="107"/>
      <c r="D2" s="107"/>
      <c r="E2" s="107"/>
      <c r="F2" s="107"/>
      <c r="G2" s="107"/>
      <c r="H2" s="107" t="s">
        <v>580</v>
      </c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</row>
    <row r="3" spans="1:27" s="611" customFormat="1" x14ac:dyDescent="0.25">
      <c r="C3" s="429"/>
      <c r="E3" s="409"/>
      <c r="F3" s="409"/>
      <c r="G3" s="419"/>
      <c r="I3" s="430"/>
      <c r="J3" s="430"/>
      <c r="K3" s="419"/>
      <c r="L3" s="396"/>
      <c r="M3" s="410"/>
      <c r="N3" s="419"/>
      <c r="O3" s="396"/>
      <c r="P3" s="396"/>
      <c r="Q3" s="410"/>
      <c r="R3" s="409"/>
      <c r="S3" s="419"/>
    </row>
    <row r="4" spans="1:27" ht="15.75" thickBot="1" x14ac:dyDescent="0.3">
      <c r="B4" s="43" t="str">
        <f>IF(Unformatted!C306&gt;0,"WARNING: Items highlighted in red are required.", "")</f>
        <v>WARNING: Items highlighted in red are required.</v>
      </c>
      <c r="E4" s="43"/>
      <c r="F4" s="43"/>
    </row>
    <row r="5" spans="1:27" ht="24" thickBot="1" x14ac:dyDescent="0.3">
      <c r="B5" s="962" t="s">
        <v>293</v>
      </c>
      <c r="C5" s="963"/>
      <c r="D5" s="963"/>
      <c r="E5" s="963"/>
      <c r="F5" s="963"/>
      <c r="G5" s="963"/>
      <c r="H5" s="963"/>
      <c r="I5" s="963"/>
      <c r="J5" s="963"/>
      <c r="K5" s="963"/>
      <c r="L5" s="963"/>
      <c r="M5" s="963"/>
      <c r="N5" s="963"/>
      <c r="O5" s="963"/>
      <c r="P5" s="963"/>
      <c r="Q5" s="963"/>
      <c r="R5" s="963"/>
      <c r="S5" s="963"/>
      <c r="T5" s="964"/>
    </row>
    <row r="6" spans="1:27" x14ac:dyDescent="0.25">
      <c r="B6" s="60"/>
      <c r="C6" s="59"/>
      <c r="D6" s="59"/>
      <c r="E6" s="59"/>
      <c r="F6" s="59"/>
      <c r="G6" s="59"/>
      <c r="H6" s="59"/>
      <c r="I6" s="59"/>
      <c r="J6" s="59"/>
      <c r="K6" s="59"/>
      <c r="T6" s="4"/>
    </row>
    <row r="7" spans="1:27" x14ac:dyDescent="0.25">
      <c r="B7" s="60"/>
      <c r="C7" s="44" t="b">
        <f>AND(OR(Unformatted!$E$48="COMPLETE",Unformatted!$E$48="STATOR ONLY"),Unformatted!$F$307=1)</f>
        <v>0</v>
      </c>
      <c r="D7" s="58"/>
      <c r="E7" s="58"/>
      <c r="F7" s="58"/>
      <c r="G7" s="58"/>
      <c r="H7" s="58"/>
      <c r="I7" s="58"/>
      <c r="J7" s="512"/>
      <c r="K7" s="59"/>
      <c r="L7" s="384" t="s">
        <v>624</v>
      </c>
      <c r="T7" s="4"/>
    </row>
    <row r="8" spans="1:27" ht="18.75" customHeight="1" x14ac:dyDescent="0.25">
      <c r="B8" s="92"/>
      <c r="C8" s="61"/>
      <c r="D8" s="381"/>
      <c r="E8" s="382"/>
      <c r="F8" s="383" t="s">
        <v>358</v>
      </c>
      <c r="G8" s="59"/>
      <c r="H8" s="59"/>
      <c r="I8" s="59"/>
      <c r="J8" s="62"/>
      <c r="K8" s="59"/>
      <c r="T8" s="4"/>
    </row>
    <row r="9" spans="1:27" x14ac:dyDescent="0.25">
      <c r="B9" s="60"/>
      <c r="C9" s="64"/>
      <c r="D9" s="65"/>
      <c r="E9" s="65"/>
      <c r="F9" s="65"/>
      <c r="G9" s="65"/>
      <c r="H9" s="65"/>
      <c r="I9" s="65"/>
      <c r="J9" s="66"/>
      <c r="K9" s="59"/>
      <c r="T9" s="4"/>
    </row>
    <row r="10" spans="1:27" x14ac:dyDescent="0.25">
      <c r="B10" s="60"/>
      <c r="D10" s="1071" t="s">
        <v>297</v>
      </c>
      <c r="E10" s="1071"/>
      <c r="F10" s="59"/>
      <c r="G10" s="59"/>
      <c r="H10" s="1069" t="s">
        <v>434</v>
      </c>
      <c r="I10" s="1069"/>
      <c r="J10" s="59"/>
      <c r="K10" s="59"/>
      <c r="T10" s="4"/>
    </row>
    <row r="11" spans="1:27" ht="15.75" thickBot="1" x14ac:dyDescent="0.3">
      <c r="B11" s="60"/>
      <c r="C11" s="118"/>
      <c r="D11" s="1072"/>
      <c r="E11" s="1072"/>
      <c r="F11" s="384"/>
      <c r="G11" s="59"/>
      <c r="H11" s="1070"/>
      <c r="I11" s="1070"/>
      <c r="J11" s="59"/>
      <c r="K11" s="59"/>
      <c r="T11" s="4"/>
    </row>
    <row r="12" spans="1:27" ht="18.75" customHeight="1" thickBot="1" x14ac:dyDescent="0.3">
      <c r="B12" s="60"/>
      <c r="D12" s="179" t="s">
        <v>409</v>
      </c>
      <c r="E12" s="332" t="str">
        <f>Unformatted!E310</f>
        <v>N/A</v>
      </c>
      <c r="F12" s="59"/>
      <c r="G12" s="59"/>
      <c r="H12" s="179" t="s">
        <v>409</v>
      </c>
      <c r="I12" s="332" t="str">
        <f>Unformatted!F310</f>
        <v>N/A</v>
      </c>
      <c r="J12" s="59"/>
      <c r="K12" s="59"/>
      <c r="T12" s="4"/>
    </row>
    <row r="13" spans="1:27" ht="15.75" thickBot="1" x14ac:dyDescent="0.3">
      <c r="B13" s="60"/>
      <c r="G13" s="59"/>
      <c r="K13" s="59"/>
      <c r="T13" s="4"/>
    </row>
    <row r="14" spans="1:27" ht="18.75" customHeight="1" thickBot="1" x14ac:dyDescent="0.3">
      <c r="B14" s="60"/>
      <c r="D14" s="36" t="s">
        <v>410</v>
      </c>
      <c r="E14" s="59"/>
      <c r="F14" s="59"/>
      <c r="G14" s="59"/>
      <c r="H14" s="179" t="s">
        <v>411</v>
      </c>
      <c r="I14" s="513"/>
      <c r="J14" s="59" t="s">
        <v>296</v>
      </c>
      <c r="K14" s="59"/>
      <c r="T14" s="4"/>
    </row>
    <row r="15" spans="1:27" x14ac:dyDescent="0.25">
      <c r="B15" s="60"/>
      <c r="D15" s="59"/>
      <c r="E15" s="59"/>
      <c r="F15" s="59"/>
      <c r="G15" s="59"/>
      <c r="K15" s="59"/>
      <c r="T15" s="4"/>
    </row>
    <row r="16" spans="1:27" ht="18.75" customHeight="1" x14ac:dyDescent="0.25">
      <c r="B16" s="60"/>
      <c r="D16" s="59"/>
      <c r="E16" s="59"/>
      <c r="F16" s="59"/>
      <c r="G16" s="59"/>
      <c r="H16" s="179" t="s">
        <v>298</v>
      </c>
      <c r="I16" s="59"/>
      <c r="J16" s="59"/>
      <c r="K16" s="59"/>
      <c r="T16" s="4"/>
    </row>
    <row r="17" spans="2:20" ht="18.75" customHeight="1" x14ac:dyDescent="0.25">
      <c r="B17" s="11"/>
      <c r="C17" s="385" t="s">
        <v>306</v>
      </c>
      <c r="D17" s="59"/>
      <c r="E17" s="59"/>
      <c r="F17" s="59"/>
      <c r="G17" s="59"/>
      <c r="I17" s="59"/>
      <c r="J17" s="59"/>
      <c r="K17" s="59"/>
      <c r="T17" s="4"/>
    </row>
    <row r="18" spans="2:20" ht="18.75" customHeight="1" thickBot="1" x14ac:dyDescent="0.3">
      <c r="B18" s="11"/>
      <c r="D18" s="59"/>
      <c r="E18" s="59"/>
      <c r="F18" s="59"/>
      <c r="G18" s="1073" t="s">
        <v>1157</v>
      </c>
      <c r="H18" s="1073"/>
      <c r="I18" s="1073" t="s">
        <v>1158</v>
      </c>
      <c r="J18" s="1073"/>
      <c r="K18" s="59"/>
      <c r="T18" s="4"/>
    </row>
    <row r="19" spans="2:20" ht="18.75" customHeight="1" thickBot="1" x14ac:dyDescent="0.3">
      <c r="B19" s="11"/>
      <c r="C19" s="118" t="s">
        <v>572</v>
      </c>
      <c r="D19" s="59"/>
      <c r="E19" s="59"/>
      <c r="F19" s="59"/>
      <c r="G19" s="389" t="s">
        <v>1150</v>
      </c>
      <c r="H19" s="638"/>
      <c r="I19" s="386" t="s">
        <v>1147</v>
      </c>
      <c r="J19" s="637"/>
      <c r="K19" s="59"/>
      <c r="T19" s="4"/>
    </row>
    <row r="20" spans="2:20" ht="7.5" customHeight="1" thickBot="1" x14ac:dyDescent="0.3">
      <c r="B20" s="11"/>
      <c r="F20" s="37"/>
      <c r="J20" s="59"/>
      <c r="K20" s="59"/>
      <c r="T20" s="4"/>
    </row>
    <row r="21" spans="2:20" ht="18.75" customHeight="1" thickBot="1" x14ac:dyDescent="0.3">
      <c r="B21" s="11"/>
      <c r="F21" s="37"/>
      <c r="G21" s="389" t="s">
        <v>1151</v>
      </c>
      <c r="H21" s="638"/>
      <c r="I21" s="386" t="s">
        <v>1148</v>
      </c>
      <c r="J21" s="637"/>
      <c r="K21" s="59"/>
      <c r="T21" s="4"/>
    </row>
    <row r="22" spans="2:20" ht="7.5" customHeight="1" thickBot="1" x14ac:dyDescent="0.3">
      <c r="B22" s="11"/>
      <c r="C22" s="118"/>
      <c r="D22" s="59"/>
      <c r="E22" s="59"/>
      <c r="F22" s="59"/>
      <c r="H22" s="59"/>
      <c r="J22" s="59"/>
      <c r="K22" s="59"/>
      <c r="T22" s="4"/>
    </row>
    <row r="23" spans="2:20" ht="18.75" customHeight="1" thickBot="1" x14ac:dyDescent="0.3">
      <c r="B23" s="60"/>
      <c r="C23" s="438"/>
      <c r="E23" s="59"/>
      <c r="F23" s="59"/>
      <c r="G23" s="388" t="s">
        <v>1152</v>
      </c>
      <c r="H23" s="637"/>
      <c r="I23" s="386" t="s">
        <v>1149</v>
      </c>
      <c r="J23" s="637"/>
      <c r="K23" s="59"/>
      <c r="N23" s="2"/>
      <c r="O23" s="2"/>
      <c r="T23" s="4"/>
    </row>
    <row r="24" spans="2:20" x14ac:dyDescent="0.25">
      <c r="B24" s="60"/>
      <c r="C24" s="59"/>
      <c r="D24" s="59"/>
      <c r="E24" s="59"/>
      <c r="F24" s="59"/>
      <c r="G24" s="59"/>
      <c r="H24" s="59"/>
      <c r="I24" s="59"/>
      <c r="J24" s="59"/>
      <c r="K24" s="59"/>
      <c r="M24" s="2"/>
      <c r="N24" s="2"/>
      <c r="O24" s="2"/>
      <c r="T24" s="4"/>
    </row>
    <row r="25" spans="2:20" ht="18.75" customHeight="1" x14ac:dyDescent="0.25">
      <c r="B25" s="11"/>
      <c r="C25" s="396"/>
      <c r="D25" s="509"/>
      <c r="E25" s="509"/>
      <c r="F25" s="509"/>
      <c r="G25" s="511" t="s">
        <v>1215</v>
      </c>
      <c r="H25" s="509"/>
      <c r="I25" s="511" t="s">
        <v>1215</v>
      </c>
      <c r="J25" s="509"/>
      <c r="K25" s="509"/>
      <c r="L25" s="396"/>
      <c r="M25" s="396"/>
      <c r="N25" s="396"/>
      <c r="O25" s="396"/>
      <c r="P25" s="396"/>
      <c r="Q25" s="396"/>
      <c r="R25" s="396"/>
      <c r="S25" s="396"/>
      <c r="T25" s="4"/>
    </row>
    <row r="26" spans="2:20" ht="15.75" thickBot="1" x14ac:dyDescent="0.3">
      <c r="B26" s="510"/>
      <c r="C26" s="387"/>
      <c r="D26" s="387"/>
      <c r="E26" s="387"/>
      <c r="F26" s="387"/>
      <c r="G26" s="387"/>
      <c r="H26" s="387"/>
      <c r="I26" s="387"/>
      <c r="J26" s="387"/>
      <c r="K26" s="387"/>
      <c r="L26" s="5"/>
      <c r="M26" s="5"/>
      <c r="N26" s="5"/>
      <c r="O26" s="5"/>
      <c r="P26" s="5"/>
      <c r="Q26" s="5"/>
      <c r="R26" s="5"/>
      <c r="S26" s="5"/>
      <c r="T26" s="6"/>
    </row>
    <row r="27" spans="2:20" x14ac:dyDescent="0.25">
      <c r="C27" s="59"/>
      <c r="D27" s="59"/>
      <c r="E27" s="59"/>
      <c r="F27" s="59"/>
      <c r="G27" s="59"/>
      <c r="H27" s="59"/>
      <c r="I27" s="59"/>
      <c r="J27" s="59"/>
      <c r="K27" s="59"/>
    </row>
    <row r="28" spans="2:20" x14ac:dyDescent="0.25">
      <c r="B28" s="59"/>
      <c r="C28" s="59"/>
      <c r="D28" s="59"/>
      <c r="E28" s="59"/>
      <c r="F28" s="59"/>
      <c r="G28" s="59"/>
      <c r="H28" s="59"/>
      <c r="I28" s="59"/>
      <c r="J28" s="59"/>
      <c r="K28" s="59"/>
    </row>
    <row r="29" spans="2:20" x14ac:dyDescent="0.25">
      <c r="B29" s="59"/>
      <c r="C29" s="59"/>
      <c r="D29" s="59"/>
      <c r="E29" s="59"/>
      <c r="F29" s="59"/>
      <c r="G29" s="59"/>
      <c r="H29" s="59"/>
      <c r="I29" s="59"/>
      <c r="J29" s="59"/>
      <c r="K29" s="59"/>
    </row>
    <row r="31" spans="2:20" ht="12" customHeight="1" x14ac:dyDescent="0.25"/>
    <row r="37" spans="18:18" x14ac:dyDescent="0.25">
      <c r="R37" t="s">
        <v>1176</v>
      </c>
    </row>
  </sheetData>
  <sheetProtection sheet="1" selectLockedCells="1"/>
  <mergeCells count="5">
    <mergeCell ref="H10:I11"/>
    <mergeCell ref="D10:E11"/>
    <mergeCell ref="B5:T5"/>
    <mergeCell ref="G18:H18"/>
    <mergeCell ref="I18:J1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4040" r:id="rId4" name="TextBox1">
          <controlPr locked="0" defaultSize="0" autoLine="0" autoPict="0" linkedCell="Unformatted!E324" r:id="rId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19</xdr:col>
                <xdr:colOff>523875</xdr:colOff>
                <xdr:row>25</xdr:row>
                <xdr:rowOff>104775</xdr:rowOff>
              </to>
            </anchor>
          </controlPr>
        </control>
      </mc:Choice>
      <mc:Fallback>
        <control shapeId="44040" r:id="rId4" name="TextBox1"/>
      </mc:Fallback>
    </mc:AlternateContent>
    <mc:AlternateContent xmlns:mc="http://schemas.openxmlformats.org/markup-compatibility/2006">
      <mc:Choice Requires="x14">
        <control shapeId="44033" r:id="rId6" name="Drop Down 1">
          <controlPr defaultSize="0" autoLine="0" autoPict="0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034" r:id="rId7" name="Drop Down 2">
          <controlPr defaultSize="0" autoLine="0" autoPict="0">
            <anchor moveWithCells="1">
              <from>
                <xdr:col>8</xdr:col>
                <xdr:colOff>0</xdr:colOff>
                <xdr:row>14</xdr:row>
                <xdr:rowOff>190500</xdr:rowOff>
              </from>
              <to>
                <xdr:col>8</xdr:col>
                <xdr:colOff>657225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035" r:id="rId8" name="Drop Down 3">
          <controlPr defaultSize="0" autoLine="0" autoPict="0">
            <anchor moveWithCells="1">
              <from>
                <xdr:col>6</xdr:col>
                <xdr:colOff>76200</xdr:colOff>
                <xdr:row>7</xdr:row>
                <xdr:rowOff>9525</xdr:rowOff>
              </from>
              <to>
                <xdr:col>8</xdr:col>
                <xdr:colOff>571500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036" r:id="rId9" name="Drop Down 4">
          <controlPr defaultSize="0" autoLine="0" autoPict="0">
            <anchor moveWithCells="1">
              <from>
                <xdr:col>3</xdr:col>
                <xdr:colOff>0</xdr:colOff>
                <xdr:row>16</xdr:row>
                <xdr:rowOff>0</xdr:rowOff>
              </from>
              <to>
                <xdr:col>5</xdr:col>
                <xdr:colOff>390525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038" r:id="rId10" name="Group Box 6">
          <controlPr defaultSize="0" autoFill="0" autoPict="0" macro="[0]!no_move">
            <anchor moveWithCells="1">
              <from>
                <xdr:col>1</xdr:col>
                <xdr:colOff>457200</xdr:colOff>
                <xdr:row>9</xdr:row>
                <xdr:rowOff>76200</xdr:rowOff>
              </from>
              <to>
                <xdr:col>5</xdr:col>
                <xdr:colOff>400050</xdr:colOff>
                <xdr:row>14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039" r:id="rId11" name="Group Box 7">
          <controlPr defaultSize="0" autoFill="0" autoPict="0" macro="[0]!no_move">
            <anchor moveWithCells="1">
              <from>
                <xdr:col>6</xdr:col>
                <xdr:colOff>219075</xdr:colOff>
                <xdr:row>9</xdr:row>
                <xdr:rowOff>66675</xdr:rowOff>
              </from>
              <to>
                <xdr:col>9</xdr:col>
                <xdr:colOff>495300</xdr:colOff>
                <xdr:row>16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041" r:id="rId12" name="Group Box 9">
          <controlPr defaultSize="0" autoFill="0" autoPict="0">
            <anchor moveWithCells="1">
              <from>
                <xdr:col>1</xdr:col>
                <xdr:colOff>390525</xdr:colOff>
                <xdr:row>17</xdr:row>
                <xdr:rowOff>171450</xdr:rowOff>
              </from>
              <to>
                <xdr:col>4</xdr:col>
                <xdr:colOff>514350</xdr:colOff>
                <xdr:row>19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042" r:id="rId13" name="Check Box 10">
          <controlPr defaultSize="0" autoFill="0" autoLine="0" autoPict="0">
            <anchor moveWithCells="1">
              <from>
                <xdr:col>4</xdr:col>
                <xdr:colOff>228600</xdr:colOff>
                <xdr:row>17</xdr:row>
                <xdr:rowOff>219075</xdr:rowOff>
              </from>
              <to>
                <xdr:col>4</xdr:col>
                <xdr:colOff>495300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043" r:id="rId14" name="Drop Down 11">
          <controlPr defaultSize="0" autoLine="0" autoPict="0">
            <anchor moveWithCells="1">
              <from>
                <xdr:col>7</xdr:col>
                <xdr:colOff>0</xdr:colOff>
                <xdr:row>24</xdr:row>
                <xdr:rowOff>0</xdr:rowOff>
              </from>
              <to>
                <xdr:col>7</xdr:col>
                <xdr:colOff>657225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044" r:id="rId15" name="Drop Down 12">
          <controlPr defaultSize="0" autoLine="0" autoPict="0">
            <anchor moveWithCells="1">
              <from>
                <xdr:col>9</xdr:col>
                <xdr:colOff>0</xdr:colOff>
                <xdr:row>24</xdr:row>
                <xdr:rowOff>0</xdr:rowOff>
              </from>
              <to>
                <xdr:col>9</xdr:col>
                <xdr:colOff>657225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045" r:id="rId16" name="Check Box 13">
          <controlPr defaultSize="0" autoFill="0" autoLine="0" autoPict="0">
            <anchor moveWithCells="1">
              <from>
                <xdr:col>1</xdr:col>
                <xdr:colOff>295275</xdr:colOff>
                <xdr:row>20</xdr:row>
                <xdr:rowOff>219075</xdr:rowOff>
              </from>
              <to>
                <xdr:col>6</xdr:col>
                <xdr:colOff>28575</xdr:colOff>
                <xdr:row>22</xdr:row>
                <xdr:rowOff>161925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00000000-000E-0000-0500-000008000000}">
            <xm:f>Unformatted!$C$311=1</xm:f>
            <x14:dxf>
              <font>
                <b/>
                <i val="0"/>
                <color rgb="FFFF0000"/>
              </font>
            </x14:dxf>
          </x14:cfRule>
          <xm:sqref>H14</xm:sqref>
        </x14:conditionalFormatting>
        <x14:conditionalFormatting xmlns:xm="http://schemas.microsoft.com/office/excel/2006/main">
          <x14:cfRule type="expression" priority="8" id="{00000000-000E-0000-0500-000006000000}">
            <xm:f>Unformatted!$C$310=1</xm:f>
            <x14:dxf>
              <font>
                <b/>
                <i val="0"/>
                <color rgb="FFFF0000"/>
              </font>
            </x14:dxf>
          </x14:cfRule>
          <xm:sqref>H12</xm:sqref>
        </x14:conditionalFormatting>
        <x14:conditionalFormatting xmlns:xm="http://schemas.microsoft.com/office/excel/2006/main">
          <x14:cfRule type="expression" priority="3" id="{00000000-000E-0000-0500-000001000000}">
            <xm:f>Unformatted!$C$310=1</xm:f>
            <x14:dxf>
              <font>
                <b/>
                <i val="0"/>
                <color rgb="FFFF0000"/>
              </font>
            </x14:dxf>
          </x14:cfRule>
          <xm:sqref>D12</xm:sqref>
        </x14:conditionalFormatting>
        <x14:conditionalFormatting xmlns:xm="http://schemas.microsoft.com/office/excel/2006/main">
          <x14:cfRule type="expression" priority="6" id="{81A74D23-78B7-4280-A993-AD053DBE37FE}">
            <xm:f>Unformatted!$C$308=1</xm:f>
            <x14:dxf>
              <font>
                <b/>
                <i val="0"/>
                <color rgb="FFFF0000"/>
              </font>
            </x14:dxf>
          </x14:cfRule>
          <xm:sqref>C17</xm:sqref>
        </x14:conditionalFormatting>
        <x14:conditionalFormatting xmlns:xm="http://schemas.microsoft.com/office/excel/2006/main">
          <x14:cfRule type="expression" priority="5" id="{2B29B599-68F7-43B3-8634-BEDA3B3DB917}">
            <xm:f>Unformatted!$C$313=1</xm:f>
            <x14:dxf>
              <font>
                <b/>
                <i val="0"/>
                <color rgb="FFFF0000"/>
              </font>
            </x14:dxf>
          </x14:cfRule>
          <xm:sqref>H16</xm:sqref>
        </x14:conditionalFormatting>
        <x14:conditionalFormatting xmlns:xm="http://schemas.microsoft.com/office/excel/2006/main">
          <x14:cfRule type="expression" priority="1898" id="{B7C32530-9DB6-470A-BD6D-8C5DD6D9BDB0}">
            <xm:f>Unformatted!$C$312=1</xm:f>
            <x14:dxf>
              <font>
                <b/>
                <i val="0"/>
                <color rgb="FFFF0000"/>
              </font>
            </x14:dxf>
          </x14:cfRule>
          <xm:sqref>D14</xm:sqref>
        </x14:conditionalFormatting>
        <x14:conditionalFormatting xmlns:xm="http://schemas.microsoft.com/office/excel/2006/main">
          <x14:cfRule type="expression" priority="1963" id="{AEC58C0D-5C5C-4319-8EA1-21E27FA7E69A}">
            <xm:f>Unformatted!$C$307=1</xm:f>
            <x14:dxf>
              <font>
                <b/>
                <i val="0"/>
                <color rgb="FFFF0000"/>
              </font>
            </x14:dxf>
          </x14:cfRule>
          <xm:sqref>E8:F8</xm:sqref>
        </x14:conditionalFormatting>
        <x14:conditionalFormatting xmlns:xm="http://schemas.microsoft.com/office/excel/2006/main">
          <x14:cfRule type="expression" priority="4" id="{AD59B068-00BF-4CC1-9F32-B8686379D700}">
            <xm:f>Unformatted!$C$314</xm:f>
            <x14:dxf>
              <font>
                <b/>
                <i val="0"/>
                <color rgb="FFFF0000"/>
              </font>
            </x14:dxf>
          </x14:cfRule>
          <xm:sqref>C19</xm:sqref>
        </x14:conditionalFormatting>
        <x14:conditionalFormatting xmlns:xm="http://schemas.microsoft.com/office/excel/2006/main">
          <x14:cfRule type="expression" priority="2" id="{1D4EFA1C-C830-457D-8FF6-8F49E3D83765}">
            <xm:f>Unformatted!$C$315</xm:f>
            <x14:dxf>
              <font>
                <b/>
                <i val="0"/>
                <color rgb="FFFF0000"/>
              </font>
            </x14:dxf>
          </x14:cfRule>
          <xm:sqref>G18:H18</xm:sqref>
        </x14:conditionalFormatting>
        <x14:conditionalFormatting xmlns:xm="http://schemas.microsoft.com/office/excel/2006/main">
          <x14:cfRule type="expression" priority="1" id="{7D11A877-A157-46FA-A058-DEDAA18E3EBD}">
            <xm:f>Unformatted!$C$318</xm:f>
            <x14:dxf>
              <font>
                <b/>
                <i val="0"/>
                <color rgb="FFFF0000"/>
              </font>
            </x14:dxf>
          </x14:cfRule>
          <xm:sqref>G25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AA37"/>
  <sheetViews>
    <sheetView showGridLines="0" showRowColHeaders="0" zoomScaleNormal="100" workbookViewId="0">
      <selection activeCell="J34" sqref="J34"/>
    </sheetView>
  </sheetViews>
  <sheetFormatPr defaultColWidth="9.140625" defaultRowHeight="15" x14ac:dyDescent="0.25"/>
  <cols>
    <col min="1" max="1" width="2.7109375" style="157" customWidth="1"/>
    <col min="2" max="2" width="9.140625" style="157"/>
    <col min="3" max="3" width="19.140625" style="157" customWidth="1"/>
    <col min="4" max="4" width="16" style="157" customWidth="1"/>
    <col min="5" max="5" width="38.42578125" style="157" customWidth="1"/>
    <col min="6" max="6" width="2.85546875" style="157" customWidth="1"/>
    <col min="7" max="7" width="7.85546875" style="157" customWidth="1"/>
    <col min="8" max="8" width="31.42578125" style="157" customWidth="1"/>
    <col min="9" max="9" width="2.85546875" style="604" customWidth="1"/>
    <col min="10" max="10" width="7.85546875" style="604" customWidth="1"/>
    <col min="11" max="11" width="18.5703125" style="157" customWidth="1"/>
    <col min="12" max="12" width="42.140625" style="157" customWidth="1"/>
    <col min="13" max="14" width="9.140625" style="157"/>
    <col min="15" max="15" width="18.140625" style="157" customWidth="1"/>
    <col min="16" max="16384" width="9.140625" style="157"/>
  </cols>
  <sheetData>
    <row r="1" spans="1:27" s="611" customFormat="1" x14ac:dyDescent="0.25">
      <c r="C1" s="2"/>
      <c r="D1" s="2"/>
      <c r="E1" s="2"/>
      <c r="F1" s="2"/>
      <c r="G1" s="2"/>
      <c r="K1" s="2"/>
      <c r="L1" s="2"/>
      <c r="M1" s="2"/>
    </row>
    <row r="2" spans="1:27" s="611" customFormat="1" ht="23.25" x14ac:dyDescent="0.25">
      <c r="A2" s="107"/>
      <c r="B2" s="107"/>
      <c r="C2" s="107"/>
      <c r="D2" s="107"/>
      <c r="E2" s="107" t="s">
        <v>1458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</row>
    <row r="3" spans="1:27" s="611" customFormat="1" ht="15.75" thickBot="1" x14ac:dyDescent="0.3">
      <c r="C3" s="429"/>
      <c r="E3" s="409"/>
      <c r="F3" s="409"/>
      <c r="G3" s="419"/>
      <c r="I3" s="430"/>
      <c r="J3" s="430"/>
      <c r="K3" s="419"/>
      <c r="L3" s="396"/>
      <c r="M3" s="410"/>
      <c r="N3" s="419"/>
      <c r="O3" s="396"/>
      <c r="P3" s="396"/>
      <c r="Q3" s="410"/>
      <c r="R3" s="409"/>
      <c r="S3" s="419"/>
    </row>
    <row r="4" spans="1:27" ht="24" thickBot="1" x14ac:dyDescent="0.3">
      <c r="B4" s="1074" t="s">
        <v>463</v>
      </c>
      <c r="C4" s="1075"/>
      <c r="D4" s="1075"/>
      <c r="E4" s="1076"/>
      <c r="G4" s="1098" t="s">
        <v>465</v>
      </c>
      <c r="H4" s="1099"/>
      <c r="I4" s="1099"/>
      <c r="J4" s="1099"/>
      <c r="K4" s="1099"/>
      <c r="L4" s="1100"/>
      <c r="Q4" s="392"/>
    </row>
    <row r="5" spans="1:27" x14ac:dyDescent="0.25">
      <c r="B5" s="603"/>
      <c r="C5" s="620"/>
      <c r="D5" s="620"/>
      <c r="E5" s="605"/>
      <c r="G5" s="197" t="s">
        <v>456</v>
      </c>
      <c r="H5" s="161" t="s">
        <v>459</v>
      </c>
      <c r="I5" s="1080" t="s">
        <v>161</v>
      </c>
      <c r="J5" s="1081"/>
      <c r="K5" s="1082"/>
      <c r="L5" s="162" t="s">
        <v>457</v>
      </c>
      <c r="N5" s="392"/>
    </row>
    <row r="6" spans="1:27" x14ac:dyDescent="0.25">
      <c r="B6" s="603"/>
      <c r="C6" s="620"/>
      <c r="D6" s="620"/>
      <c r="E6" s="605"/>
      <c r="G6" s="623"/>
      <c r="H6" s="636"/>
      <c r="I6" s="1083" t="s">
        <v>382</v>
      </c>
      <c r="J6" s="1084"/>
      <c r="K6" s="1085"/>
      <c r="L6" s="72"/>
      <c r="N6" s="392"/>
    </row>
    <row r="7" spans="1:27" x14ac:dyDescent="0.25">
      <c r="B7" s="603"/>
      <c r="C7" s="620"/>
      <c r="D7" s="620"/>
      <c r="E7" s="605"/>
      <c r="G7" s="623"/>
      <c r="H7" s="636"/>
      <c r="I7" s="1086" t="s">
        <v>382</v>
      </c>
      <c r="J7" s="1087"/>
      <c r="K7" s="1088"/>
      <c r="L7" s="72"/>
      <c r="N7" s="392"/>
    </row>
    <row r="8" spans="1:27" x14ac:dyDescent="0.25">
      <c r="B8" s="603"/>
      <c r="C8" s="620"/>
      <c r="D8" s="620"/>
      <c r="E8" s="605"/>
      <c r="G8" s="623"/>
      <c r="H8" s="636"/>
      <c r="I8" s="1086" t="s">
        <v>382</v>
      </c>
      <c r="J8" s="1087"/>
      <c r="K8" s="1088"/>
      <c r="L8" s="72"/>
      <c r="N8" s="392"/>
    </row>
    <row r="9" spans="1:27" x14ac:dyDescent="0.25">
      <c r="B9" s="603"/>
      <c r="C9" s="620"/>
      <c r="D9" s="620"/>
      <c r="E9" s="605"/>
      <c r="G9" s="623"/>
      <c r="H9" s="636"/>
      <c r="I9" s="1086" t="s">
        <v>382</v>
      </c>
      <c r="J9" s="1087"/>
      <c r="K9" s="1088"/>
      <c r="L9" s="72"/>
      <c r="N9" s="392"/>
    </row>
    <row r="10" spans="1:27" x14ac:dyDescent="0.25">
      <c r="B10" s="603"/>
      <c r="C10" s="620"/>
      <c r="D10" s="620"/>
      <c r="E10" s="605"/>
      <c r="G10" s="623"/>
      <c r="H10" s="636"/>
      <c r="I10" s="1086" t="s">
        <v>458</v>
      </c>
      <c r="J10" s="1087"/>
      <c r="K10" s="1088"/>
      <c r="L10" s="72"/>
      <c r="N10" s="392"/>
    </row>
    <row r="11" spans="1:27" x14ac:dyDescent="0.25">
      <c r="B11" s="603"/>
      <c r="C11" s="620"/>
      <c r="D11" s="620"/>
      <c r="E11" s="605"/>
      <c r="G11" s="623"/>
      <c r="H11" s="636"/>
      <c r="I11" s="1086" t="s">
        <v>1113</v>
      </c>
      <c r="J11" s="1087"/>
      <c r="K11" s="1088"/>
      <c r="L11" s="72"/>
    </row>
    <row r="12" spans="1:27" x14ac:dyDescent="0.25">
      <c r="B12" s="603" t="s">
        <v>464</v>
      </c>
      <c r="C12" s="620"/>
      <c r="D12" s="620"/>
      <c r="E12" s="605"/>
      <c r="G12" s="623"/>
      <c r="H12" s="636"/>
      <c r="I12" s="1089" t="s">
        <v>1113</v>
      </c>
      <c r="J12" s="1087"/>
      <c r="K12" s="1088"/>
      <c r="L12" s="72"/>
    </row>
    <row r="13" spans="1:27" x14ac:dyDescent="0.25">
      <c r="B13" s="603"/>
      <c r="C13" s="620"/>
      <c r="D13" s="620"/>
      <c r="E13" s="605"/>
      <c r="G13" s="623"/>
      <c r="H13" s="636"/>
      <c r="I13" s="1091" t="s">
        <v>1114</v>
      </c>
      <c r="J13" s="1092"/>
      <c r="K13" s="1093"/>
      <c r="L13" s="72"/>
    </row>
    <row r="14" spans="1:27" x14ac:dyDescent="0.25">
      <c r="B14" s="603"/>
      <c r="C14" s="620"/>
      <c r="D14" s="620"/>
      <c r="E14" s="605"/>
      <c r="G14" s="623"/>
      <c r="H14" s="636"/>
      <c r="I14" s="1086" t="s">
        <v>1115</v>
      </c>
      <c r="J14" s="1087"/>
      <c r="K14" s="1088"/>
      <c r="L14" s="72"/>
    </row>
    <row r="15" spans="1:27" x14ac:dyDescent="0.25">
      <c r="B15" s="603"/>
      <c r="C15" s="620"/>
      <c r="D15" s="620"/>
      <c r="E15" s="605"/>
      <c r="G15" s="623"/>
      <c r="H15" s="636"/>
      <c r="I15" s="1086" t="s">
        <v>1116</v>
      </c>
      <c r="J15" s="1087"/>
      <c r="K15" s="1088"/>
      <c r="L15" s="72"/>
    </row>
    <row r="16" spans="1:27" x14ac:dyDescent="0.25">
      <c r="B16" s="1077"/>
      <c r="C16" s="1078"/>
      <c r="D16" s="1078"/>
      <c r="E16" s="1079"/>
      <c r="G16" s="623"/>
      <c r="H16" s="636"/>
      <c r="I16" s="1086" t="s">
        <v>1117</v>
      </c>
      <c r="J16" s="1087"/>
      <c r="K16" s="1088"/>
      <c r="L16" s="72"/>
    </row>
    <row r="17" spans="2:23" s="604" customFormat="1" x14ac:dyDescent="0.25">
      <c r="B17" s="603"/>
      <c r="C17" s="620"/>
      <c r="D17" s="620"/>
      <c r="E17" s="605"/>
      <c r="G17" s="628"/>
      <c r="H17" s="629"/>
      <c r="I17" s="1094" t="s">
        <v>1118</v>
      </c>
      <c r="J17" s="1095"/>
      <c r="K17" s="1096"/>
      <c r="L17" s="206"/>
    </row>
    <row r="18" spans="2:23" s="604" customFormat="1" x14ac:dyDescent="0.25">
      <c r="B18" s="603"/>
      <c r="C18" s="620"/>
      <c r="D18" s="620"/>
      <c r="E18" s="605"/>
      <c r="G18" s="630"/>
      <c r="H18" s="636"/>
      <c r="I18" s="1097" t="s">
        <v>1118</v>
      </c>
      <c r="J18" s="1097"/>
      <c r="K18" s="1097"/>
      <c r="L18" s="72"/>
    </row>
    <row r="19" spans="2:23" s="604" customFormat="1" ht="15.75" thickBot="1" x14ac:dyDescent="0.3">
      <c r="B19" s="158"/>
      <c r="C19" s="159"/>
      <c r="D19" s="159"/>
      <c r="E19" s="160"/>
      <c r="G19" s="631"/>
      <c r="H19" s="635"/>
      <c r="I19" s="1090" t="s">
        <v>1118</v>
      </c>
      <c r="J19" s="1090"/>
      <c r="K19" s="1090"/>
      <c r="L19" s="73"/>
      <c r="U19" s="157"/>
      <c r="V19" s="157"/>
      <c r="W19" s="157"/>
    </row>
    <row r="20" spans="2:23" ht="15.75" thickBot="1" x14ac:dyDescent="0.3"/>
    <row r="21" spans="2:23" ht="24" thickBot="1" x14ac:dyDescent="0.3">
      <c r="B21" s="1074" t="s">
        <v>455</v>
      </c>
      <c r="C21" s="1075"/>
      <c r="D21" s="1075"/>
      <c r="E21" s="1076"/>
      <c r="G21" s="962" t="s">
        <v>1452</v>
      </c>
      <c r="H21" s="1076"/>
      <c r="I21" s="624"/>
      <c r="J21" s="625" t="s">
        <v>466</v>
      </c>
      <c r="K21" s="626"/>
      <c r="L21" s="627"/>
    </row>
    <row r="22" spans="2:23" x14ac:dyDescent="0.25">
      <c r="B22" s="603"/>
      <c r="C22" s="620"/>
      <c r="D22" s="620"/>
      <c r="E22" s="605"/>
      <c r="G22" s="603"/>
      <c r="H22" s="605"/>
      <c r="I22" s="620"/>
      <c r="J22" s="198" t="s">
        <v>456</v>
      </c>
      <c r="K22" s="199" t="s">
        <v>161</v>
      </c>
      <c r="L22" s="200" t="s">
        <v>457</v>
      </c>
    </row>
    <row r="23" spans="2:23" x14ac:dyDescent="0.25">
      <c r="B23" s="603"/>
      <c r="C23" s="620"/>
      <c r="D23" s="620"/>
      <c r="E23" s="605"/>
      <c r="G23" s="603"/>
      <c r="H23" s="605"/>
      <c r="I23" s="620"/>
      <c r="J23" s="177"/>
      <c r="K23" s="375" t="s">
        <v>1119</v>
      </c>
      <c r="L23" s="72"/>
    </row>
    <row r="24" spans="2:23" x14ac:dyDescent="0.25">
      <c r="B24" s="603"/>
      <c r="C24" s="620"/>
      <c r="D24" s="620"/>
      <c r="E24" s="605"/>
      <c r="G24" s="603"/>
      <c r="H24" s="605"/>
      <c r="I24" s="620"/>
      <c r="J24" s="177"/>
      <c r="K24" s="375" t="s">
        <v>1120</v>
      </c>
      <c r="L24" s="72"/>
    </row>
    <row r="25" spans="2:23" x14ac:dyDescent="0.25">
      <c r="B25" s="603"/>
      <c r="C25" s="620"/>
      <c r="D25" s="620"/>
      <c r="E25" s="605"/>
      <c r="G25" s="603"/>
      <c r="H25" s="605"/>
      <c r="I25" s="620"/>
      <c r="J25" s="177"/>
      <c r="K25" s="375" t="s">
        <v>1121</v>
      </c>
      <c r="L25" s="72"/>
    </row>
    <row r="26" spans="2:23" x14ac:dyDescent="0.25">
      <c r="B26" s="603"/>
      <c r="C26" s="620"/>
      <c r="D26" s="620"/>
      <c r="E26" s="605"/>
      <c r="G26" s="622" t="s">
        <v>462</v>
      </c>
      <c r="H26" s="605"/>
      <c r="I26" s="620"/>
      <c r="J26" s="177"/>
      <c r="K26" s="375" t="s">
        <v>1112</v>
      </c>
      <c r="L26" s="72"/>
    </row>
    <row r="27" spans="2:23" x14ac:dyDescent="0.25">
      <c r="B27" s="603" t="s">
        <v>467</v>
      </c>
      <c r="C27" s="620"/>
      <c r="D27" s="620"/>
      <c r="E27" s="605"/>
      <c r="G27" s="603"/>
      <c r="H27" s="605"/>
      <c r="I27" s="620"/>
      <c r="J27" s="177"/>
      <c r="K27" s="375" t="s">
        <v>1122</v>
      </c>
      <c r="L27" s="72"/>
    </row>
    <row r="28" spans="2:23" x14ac:dyDescent="0.25">
      <c r="B28" s="603"/>
      <c r="C28" s="620"/>
      <c r="D28" s="620"/>
      <c r="E28" s="605"/>
      <c r="G28" s="603"/>
      <c r="H28" s="605"/>
      <c r="I28" s="620"/>
      <c r="J28" s="177"/>
      <c r="K28" s="375" t="s">
        <v>1123</v>
      </c>
      <c r="L28" s="72"/>
    </row>
    <row r="29" spans="2:23" x14ac:dyDescent="0.25">
      <c r="B29" s="603"/>
      <c r="C29" s="620"/>
      <c r="D29" s="620"/>
      <c r="E29" s="605"/>
      <c r="G29" s="603"/>
      <c r="H29" s="605"/>
      <c r="I29" s="620"/>
      <c r="J29" s="177"/>
      <c r="K29" s="375" t="s">
        <v>1124</v>
      </c>
      <c r="L29" s="72"/>
    </row>
    <row r="30" spans="2:23" x14ac:dyDescent="0.25">
      <c r="B30" s="603"/>
      <c r="C30" s="620"/>
      <c r="D30" s="620"/>
      <c r="E30" s="605"/>
      <c r="G30" s="603"/>
      <c r="H30" s="605"/>
      <c r="I30" s="620"/>
      <c r="J30" s="177"/>
      <c r="K30" s="375" t="s">
        <v>460</v>
      </c>
      <c r="L30" s="72"/>
    </row>
    <row r="31" spans="2:23" x14ac:dyDescent="0.25">
      <c r="B31" s="603"/>
      <c r="C31" s="620"/>
      <c r="D31" s="620"/>
      <c r="E31" s="605"/>
      <c r="G31" s="603"/>
      <c r="H31" s="605"/>
      <c r="I31" s="620"/>
      <c r="J31" s="205"/>
      <c r="K31" s="374" t="s">
        <v>1125</v>
      </c>
      <c r="L31" s="206"/>
    </row>
    <row r="32" spans="2:23" x14ac:dyDescent="0.25">
      <c r="B32" s="603"/>
      <c r="C32" s="620"/>
      <c r="D32" s="620"/>
      <c r="E32" s="605"/>
      <c r="G32" s="603"/>
      <c r="H32" s="605"/>
      <c r="I32" s="620"/>
      <c r="J32" s="205"/>
      <c r="K32" s="375" t="s">
        <v>1118</v>
      </c>
      <c r="L32" s="206"/>
    </row>
    <row r="33" spans="2:12" x14ac:dyDescent="0.25">
      <c r="B33" s="603"/>
      <c r="C33" s="620"/>
      <c r="D33" s="620"/>
      <c r="E33" s="605"/>
      <c r="G33" s="603"/>
      <c r="H33" s="605"/>
      <c r="I33" s="620"/>
      <c r="J33" s="175"/>
      <c r="K33" s="375" t="s">
        <v>1118</v>
      </c>
      <c r="L33" s="542"/>
    </row>
    <row r="34" spans="2:12" ht="15.75" thickBot="1" x14ac:dyDescent="0.3">
      <c r="B34" s="158"/>
      <c r="C34" s="159"/>
      <c r="D34" s="159"/>
      <c r="E34" s="160"/>
      <c r="G34" s="158"/>
      <c r="H34" s="160"/>
      <c r="I34" s="620"/>
      <c r="J34" s="176"/>
      <c r="K34" s="376" t="s">
        <v>1118</v>
      </c>
      <c r="L34" s="368"/>
    </row>
    <row r="35" spans="2:12" x14ac:dyDescent="0.25">
      <c r="G35" s="620"/>
      <c r="H35" s="604"/>
      <c r="K35" s="621"/>
    </row>
    <row r="36" spans="2:12" x14ac:dyDescent="0.25">
      <c r="G36" s="620"/>
      <c r="H36" s="604"/>
      <c r="K36" s="621"/>
    </row>
    <row r="37" spans="2:12" x14ac:dyDescent="0.25">
      <c r="G37" s="620"/>
    </row>
  </sheetData>
  <sheetProtection sheet="1" selectLockedCells="1"/>
  <mergeCells count="20">
    <mergeCell ref="I16:K16"/>
    <mergeCell ref="I17:K17"/>
    <mergeCell ref="I18:K18"/>
    <mergeCell ref="G4:L4"/>
    <mergeCell ref="B4:E4"/>
    <mergeCell ref="B16:E16"/>
    <mergeCell ref="I5:K5"/>
    <mergeCell ref="B21:E21"/>
    <mergeCell ref="G21:H21"/>
    <mergeCell ref="I6:K6"/>
    <mergeCell ref="I7:K7"/>
    <mergeCell ref="I8:K8"/>
    <mergeCell ref="I9:K9"/>
    <mergeCell ref="I10:K10"/>
    <mergeCell ref="I11:K11"/>
    <mergeCell ref="I12:K12"/>
    <mergeCell ref="I14:K14"/>
    <mergeCell ref="I19:K19"/>
    <mergeCell ref="I13:K13"/>
    <mergeCell ref="I15:K15"/>
  </mergeCells>
  <conditionalFormatting sqref="I17:J17">
    <cfRule type="containsText" dxfId="273" priority="7" operator="containsText" text="OTHER">
      <formula>NOT(ISERROR(SEARCH("OTHER",I17)))</formula>
    </cfRule>
  </conditionalFormatting>
  <conditionalFormatting sqref="K31:K32">
    <cfRule type="containsText" dxfId="272" priority="6" operator="containsText" text="OTHER">
      <formula>NOT(ISERROR(SEARCH("OTHER",K31)))</formula>
    </cfRule>
  </conditionalFormatting>
  <conditionalFormatting sqref="K33:K34">
    <cfRule type="containsText" dxfId="271" priority="5" operator="containsText" text="OTHER">
      <formula>NOT(ISERROR(SEARCH("OTHER",K33)))</formula>
    </cfRule>
  </conditionalFormatting>
  <conditionalFormatting sqref="I18:J18">
    <cfRule type="containsText" dxfId="270" priority="2" operator="containsText" text="OTHER">
      <formula>NOT(ISERROR(SEARCH("OTHER",I18)))</formula>
    </cfRule>
  </conditionalFormatting>
  <conditionalFormatting sqref="I19:J19">
    <cfRule type="containsText" dxfId="269" priority="1" operator="containsText" text="OTHER">
      <formula>NOT(ISERROR(SEARCH("OTHER",I19)))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68" r:id="rId4" name="TextBox3">
          <controlPr defaultSize="0" autoLine="0" linkedCell="Unformatted!$E$358" r:id="rId5">
            <anchor moveWithCells="1">
              <from>
                <xdr:col>6</xdr:col>
                <xdr:colOff>76200</xdr:colOff>
                <xdr:row>26</xdr:row>
                <xdr:rowOff>28575</xdr:rowOff>
              </from>
              <to>
                <xdr:col>7</xdr:col>
                <xdr:colOff>2028825</xdr:colOff>
                <xdr:row>33</xdr:row>
                <xdr:rowOff>142875</xdr:rowOff>
              </to>
            </anchor>
          </controlPr>
        </control>
      </mc:Choice>
      <mc:Fallback>
        <control shapeId="35868" r:id="rId4" name="TextBox3"/>
      </mc:Fallback>
    </mc:AlternateContent>
    <mc:AlternateContent xmlns:mc="http://schemas.openxmlformats.org/markup-compatibility/2006">
      <mc:Choice Requires="x14">
        <control shapeId="35867" r:id="rId6" name="TextBox2">
          <controlPr defaultSize="0" autoLine="0" linkedCell="Unformatted!$E$355" r:id="rId7">
            <anchor moveWithCells="1">
              <from>
                <xdr:col>1</xdr:col>
                <xdr:colOff>66675</xdr:colOff>
                <xdr:row>27</xdr:row>
                <xdr:rowOff>28575</xdr:rowOff>
              </from>
              <to>
                <xdr:col>4</xdr:col>
                <xdr:colOff>2495550</xdr:colOff>
                <xdr:row>33</xdr:row>
                <xdr:rowOff>133350</xdr:rowOff>
              </to>
            </anchor>
          </controlPr>
        </control>
      </mc:Choice>
      <mc:Fallback>
        <control shapeId="35867" r:id="rId6" name="TextBox2"/>
      </mc:Fallback>
    </mc:AlternateContent>
    <mc:AlternateContent xmlns:mc="http://schemas.openxmlformats.org/markup-compatibility/2006">
      <mc:Choice Requires="x14">
        <control shapeId="35865" r:id="rId8" name="TextBox1">
          <controlPr defaultSize="0" autoLine="0" linkedCell="Unformatted!$E$341" r:id="rId9">
            <anchor moveWithCells="1">
              <from>
                <xdr:col>1</xdr:col>
                <xdr:colOff>66675</xdr:colOff>
                <xdr:row>12</xdr:row>
                <xdr:rowOff>19050</xdr:rowOff>
              </from>
              <to>
                <xdr:col>4</xdr:col>
                <xdr:colOff>2505075</xdr:colOff>
                <xdr:row>18</xdr:row>
                <xdr:rowOff>152400</xdr:rowOff>
              </to>
            </anchor>
          </controlPr>
        </control>
      </mc:Choice>
      <mc:Fallback>
        <control shapeId="35865" r:id="rId8" name="TextBox1"/>
      </mc:Fallback>
    </mc:AlternateContent>
    <mc:AlternateContent xmlns:mc="http://schemas.openxmlformats.org/markup-compatibility/2006">
      <mc:Choice Requires="x14">
        <control shapeId="35841" r:id="rId10" name="Check Box 1">
          <controlPr defaultSize="0" autoFill="0" autoLine="0" autoPict="0">
            <anchor moveWithCells="1">
              <from>
                <xdr:col>1</xdr:col>
                <xdr:colOff>142875</xdr:colOff>
                <xdr:row>4</xdr:row>
                <xdr:rowOff>47625</xdr:rowOff>
              </from>
              <to>
                <xdr:col>3</xdr:col>
                <xdr:colOff>114300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42" r:id="rId11" name="Check Box 2">
          <controlPr defaultSize="0" autoFill="0" autoLine="0" autoPict="0">
            <anchor moveWithCells="1">
              <from>
                <xdr:col>1</xdr:col>
                <xdr:colOff>133350</xdr:colOff>
                <xdr:row>5</xdr:row>
                <xdr:rowOff>57150</xdr:rowOff>
              </from>
              <to>
                <xdr:col>3</xdr:col>
                <xdr:colOff>171450</xdr:colOff>
                <xdr:row>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43" r:id="rId12" name="Check Box 3">
          <controlPr defaultSize="0" autoFill="0" autoLine="0" autoPict="0">
            <anchor moveWithCells="1">
              <from>
                <xdr:col>3</xdr:col>
                <xdr:colOff>390525</xdr:colOff>
                <xdr:row>4</xdr:row>
                <xdr:rowOff>38100</xdr:rowOff>
              </from>
              <to>
                <xdr:col>4</xdr:col>
                <xdr:colOff>733425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44" r:id="rId13" name="Check Box 4">
          <controlPr defaultSize="0" autoFill="0" autoLine="0" autoPict="0">
            <anchor moveWithCells="1">
              <from>
                <xdr:col>1</xdr:col>
                <xdr:colOff>133350</xdr:colOff>
                <xdr:row>7</xdr:row>
                <xdr:rowOff>95250</xdr:rowOff>
              </from>
              <to>
                <xdr:col>3</xdr:col>
                <xdr:colOff>219075</xdr:colOff>
                <xdr:row>8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45" r:id="rId14" name="Check Box 5">
          <controlPr defaultSize="0" autoFill="0" autoLine="0" autoPict="0">
            <anchor moveWithCells="1">
              <from>
                <xdr:col>1</xdr:col>
                <xdr:colOff>133350</xdr:colOff>
                <xdr:row>8</xdr:row>
                <xdr:rowOff>114300</xdr:rowOff>
              </from>
              <to>
                <xdr:col>3</xdr:col>
                <xdr:colOff>219075</xdr:colOff>
                <xdr:row>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46" r:id="rId15" name="Check Box 6">
          <controlPr defaultSize="0" autoFill="0" autoLine="0" autoPict="0">
            <anchor moveWithCells="1">
              <from>
                <xdr:col>1</xdr:col>
                <xdr:colOff>133350</xdr:colOff>
                <xdr:row>9</xdr:row>
                <xdr:rowOff>133350</xdr:rowOff>
              </from>
              <to>
                <xdr:col>2</xdr:col>
                <xdr:colOff>847725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47" r:id="rId16" name="Check Box 7">
          <controlPr defaultSize="0" autoFill="0" autoLine="0" autoPict="0">
            <anchor moveWithCells="1">
              <from>
                <xdr:col>1</xdr:col>
                <xdr:colOff>133350</xdr:colOff>
                <xdr:row>6</xdr:row>
                <xdr:rowOff>76200</xdr:rowOff>
              </from>
              <to>
                <xdr:col>3</xdr:col>
                <xdr:colOff>161925</xdr:colOff>
                <xdr:row>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48" r:id="rId17" name="Check Box 8">
          <controlPr defaultSize="0" autoFill="0" autoLine="0" autoPict="0">
            <anchor moveWithCells="1">
              <from>
                <xdr:col>3</xdr:col>
                <xdr:colOff>390525</xdr:colOff>
                <xdr:row>5</xdr:row>
                <xdr:rowOff>57150</xdr:rowOff>
              </from>
              <to>
                <xdr:col>4</xdr:col>
                <xdr:colOff>600075</xdr:colOff>
                <xdr:row>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49" r:id="rId18" name="Check Box 9">
          <controlPr defaultSize="0" autoFill="0" autoLine="0" autoPict="0">
            <anchor moveWithCells="1">
              <from>
                <xdr:col>3</xdr:col>
                <xdr:colOff>390525</xdr:colOff>
                <xdr:row>7</xdr:row>
                <xdr:rowOff>95250</xdr:rowOff>
              </from>
              <to>
                <xdr:col>4</xdr:col>
                <xdr:colOff>723900</xdr:colOff>
                <xdr:row>8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50" r:id="rId19" name="Check Box 10">
          <controlPr defaultSize="0" autoFill="0" autoLine="0" autoPict="0">
            <anchor moveWithCells="1">
              <from>
                <xdr:col>3</xdr:col>
                <xdr:colOff>390525</xdr:colOff>
                <xdr:row>8</xdr:row>
                <xdr:rowOff>114300</xdr:rowOff>
              </from>
              <to>
                <xdr:col>4</xdr:col>
                <xdr:colOff>762000</xdr:colOff>
                <xdr:row>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51" r:id="rId20" name="Check Box 11">
          <controlPr defaultSize="0" autoFill="0" autoLine="0" autoPict="0">
            <anchor moveWithCells="1">
              <from>
                <xdr:col>4</xdr:col>
                <xdr:colOff>971550</xdr:colOff>
                <xdr:row>8</xdr:row>
                <xdr:rowOff>114300</xdr:rowOff>
              </from>
              <to>
                <xdr:col>4</xdr:col>
                <xdr:colOff>2162175</xdr:colOff>
                <xdr:row>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52" r:id="rId21" name="Check Box 12">
          <controlPr defaultSize="0" autoFill="0" autoLine="0" autoPict="0">
            <anchor moveWithCells="1">
              <from>
                <xdr:col>4</xdr:col>
                <xdr:colOff>971550</xdr:colOff>
                <xdr:row>7</xdr:row>
                <xdr:rowOff>95250</xdr:rowOff>
              </from>
              <to>
                <xdr:col>4</xdr:col>
                <xdr:colOff>2514600</xdr:colOff>
                <xdr:row>8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53" r:id="rId22" name="Check Box 13">
          <controlPr defaultSize="0" autoFill="0" autoLine="0" autoPict="0">
            <anchor moveWithCells="1">
              <from>
                <xdr:col>7</xdr:col>
                <xdr:colOff>257175</xdr:colOff>
                <xdr:row>23</xdr:row>
                <xdr:rowOff>114300</xdr:rowOff>
              </from>
              <to>
                <xdr:col>7</xdr:col>
                <xdr:colOff>1562100</xdr:colOff>
                <xdr:row>24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54" r:id="rId23" name="Check Box 14">
          <controlPr defaultSize="0" autoFill="0" autoLine="0" autoPict="0">
            <anchor moveWithCells="1">
              <from>
                <xdr:col>1</xdr:col>
                <xdr:colOff>371475</xdr:colOff>
                <xdr:row>21</xdr:row>
                <xdr:rowOff>57150</xdr:rowOff>
              </from>
              <to>
                <xdr:col>2</xdr:col>
                <xdr:colOff>847725</xdr:colOff>
                <xdr:row>22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55" r:id="rId24" name="Check Box 15">
          <controlPr defaultSize="0" autoFill="0" autoLine="0" autoPict="0">
            <anchor moveWithCells="1">
              <from>
                <xdr:col>1</xdr:col>
                <xdr:colOff>371475</xdr:colOff>
                <xdr:row>22</xdr:row>
                <xdr:rowOff>85725</xdr:rowOff>
              </from>
              <to>
                <xdr:col>2</xdr:col>
                <xdr:colOff>847725</xdr:colOff>
                <xdr:row>23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56" r:id="rId25" name="Check Box 16">
          <controlPr defaultSize="0" autoFill="0" autoLine="0" autoPict="0">
            <anchor moveWithCells="1">
              <from>
                <xdr:col>1</xdr:col>
                <xdr:colOff>371475</xdr:colOff>
                <xdr:row>23</xdr:row>
                <xdr:rowOff>114300</xdr:rowOff>
              </from>
              <to>
                <xdr:col>2</xdr:col>
                <xdr:colOff>847725</xdr:colOff>
                <xdr:row>24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57" r:id="rId26" name="Check Box 17">
          <controlPr defaultSize="0" autoFill="0" autoLine="0" autoPict="0">
            <anchor moveWithCells="1">
              <from>
                <xdr:col>1</xdr:col>
                <xdr:colOff>371475</xdr:colOff>
                <xdr:row>24</xdr:row>
                <xdr:rowOff>152400</xdr:rowOff>
              </from>
              <to>
                <xdr:col>2</xdr:col>
                <xdr:colOff>847725</xdr:colOff>
                <xdr:row>26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58" r:id="rId27" name="Check Box 18">
          <controlPr defaultSize="0" autoFill="0" autoLine="0" autoPict="0">
            <anchor moveWithCells="1">
              <from>
                <xdr:col>4</xdr:col>
                <xdr:colOff>895350</xdr:colOff>
                <xdr:row>21</xdr:row>
                <xdr:rowOff>57150</xdr:rowOff>
              </from>
              <to>
                <xdr:col>4</xdr:col>
                <xdr:colOff>1981200</xdr:colOff>
                <xdr:row>22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59" r:id="rId28" name="Check Box 19">
          <controlPr defaultSize="0" autoFill="0" autoLine="0" autoPict="0">
            <anchor moveWithCells="1">
              <from>
                <xdr:col>3</xdr:col>
                <xdr:colOff>219075</xdr:colOff>
                <xdr:row>21</xdr:row>
                <xdr:rowOff>57150</xdr:rowOff>
              </from>
              <to>
                <xdr:col>4</xdr:col>
                <xdr:colOff>590550</xdr:colOff>
                <xdr:row>22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60" r:id="rId29" name="Check Box 20">
          <controlPr defaultSize="0" autoFill="0" autoLine="0" autoPict="0">
            <anchor moveWithCells="1">
              <from>
                <xdr:col>3</xdr:col>
                <xdr:colOff>219075</xdr:colOff>
                <xdr:row>22</xdr:row>
                <xdr:rowOff>85725</xdr:rowOff>
              </from>
              <to>
                <xdr:col>4</xdr:col>
                <xdr:colOff>238125</xdr:colOff>
                <xdr:row>23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61" r:id="rId30" name="Check Box 21">
          <controlPr defaultSize="0" autoFill="0" autoLine="0" autoPict="0">
            <anchor moveWithCells="1">
              <from>
                <xdr:col>3</xdr:col>
                <xdr:colOff>219075</xdr:colOff>
                <xdr:row>23</xdr:row>
                <xdr:rowOff>114300</xdr:rowOff>
              </from>
              <to>
                <xdr:col>4</xdr:col>
                <xdr:colOff>238125</xdr:colOff>
                <xdr:row>24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62" r:id="rId31" name="Check Box 22">
          <controlPr defaultSize="0" autoFill="0" autoLine="0" autoPict="0">
            <anchor moveWithCells="1">
              <from>
                <xdr:col>7</xdr:col>
                <xdr:colOff>257175</xdr:colOff>
                <xdr:row>21</xdr:row>
                <xdr:rowOff>85725</xdr:rowOff>
              </from>
              <to>
                <xdr:col>7</xdr:col>
                <xdr:colOff>1219200</xdr:colOff>
                <xdr:row>22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63" r:id="rId32" name="Check Box 23">
          <controlPr defaultSize="0" autoFill="0" autoLine="0" autoPict="0">
            <anchor moveWithCells="1">
              <from>
                <xdr:col>7</xdr:col>
                <xdr:colOff>257175</xdr:colOff>
                <xdr:row>22</xdr:row>
                <xdr:rowOff>95250</xdr:rowOff>
              </from>
              <to>
                <xdr:col>7</xdr:col>
                <xdr:colOff>1219200</xdr:colOff>
                <xdr:row>23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64" r:id="rId33" name="Check Box 24">
          <controlPr defaultSize="0" autoFill="0" autoLine="0" autoPict="0">
            <anchor moveWithCells="1">
              <from>
                <xdr:col>3</xdr:col>
                <xdr:colOff>219075</xdr:colOff>
                <xdr:row>24</xdr:row>
                <xdr:rowOff>152400</xdr:rowOff>
              </from>
              <to>
                <xdr:col>4</xdr:col>
                <xdr:colOff>238125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71" r:id="rId34" name="Check Box 31">
          <controlPr defaultSize="0" autoFill="0" autoLine="0" autoPict="0">
            <anchor moveWithCells="1">
              <from>
                <xdr:col>4</xdr:col>
                <xdr:colOff>895350</xdr:colOff>
                <xdr:row>23</xdr:row>
                <xdr:rowOff>104775</xdr:rowOff>
              </from>
              <to>
                <xdr:col>4</xdr:col>
                <xdr:colOff>2438400</xdr:colOff>
                <xdr:row>24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72" r:id="rId35" name="Check Box 32">
          <controlPr defaultSize="0" autoFill="0" autoLine="0" autoPict="0">
            <anchor moveWithCells="1">
              <from>
                <xdr:col>4</xdr:col>
                <xdr:colOff>971550</xdr:colOff>
                <xdr:row>6</xdr:row>
                <xdr:rowOff>95250</xdr:rowOff>
              </from>
              <to>
                <xdr:col>4</xdr:col>
                <xdr:colOff>2476500</xdr:colOff>
                <xdr:row>7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73" r:id="rId36" name="Check Box 33">
          <controlPr defaultSize="0" autoFill="0" autoLine="0" autoPict="0">
            <anchor moveWithCells="1">
              <from>
                <xdr:col>4</xdr:col>
                <xdr:colOff>895350</xdr:colOff>
                <xdr:row>24</xdr:row>
                <xdr:rowOff>171450</xdr:rowOff>
              </from>
              <to>
                <xdr:col>4</xdr:col>
                <xdr:colOff>2095500</xdr:colOff>
                <xdr:row>25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74" r:id="rId37" name="Check Box 34">
          <controlPr defaultSize="0" autoFill="0" autoLine="0" autoPict="0">
            <anchor moveWithCells="1">
              <from>
                <xdr:col>4</xdr:col>
                <xdr:colOff>895350</xdr:colOff>
                <xdr:row>22</xdr:row>
                <xdr:rowOff>104775</xdr:rowOff>
              </from>
              <to>
                <xdr:col>4</xdr:col>
                <xdr:colOff>2143125</xdr:colOff>
                <xdr:row>23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76" r:id="rId38" name="Check Box 36">
          <controlPr defaultSize="0" autoFill="0" autoLine="0" autoPict="0">
            <anchor moveWithCells="1">
              <from>
                <xdr:col>3</xdr:col>
                <xdr:colOff>390525</xdr:colOff>
                <xdr:row>6</xdr:row>
                <xdr:rowOff>85725</xdr:rowOff>
              </from>
              <to>
                <xdr:col>4</xdr:col>
                <xdr:colOff>361950</xdr:colOff>
                <xdr:row>7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77" r:id="rId39" name="Check Box 37">
          <controlPr defaultSize="0" autoFill="0" autoLine="0" autoPict="0">
            <anchor moveWithCells="1">
              <from>
                <xdr:col>3</xdr:col>
                <xdr:colOff>390525</xdr:colOff>
                <xdr:row>9</xdr:row>
                <xdr:rowOff>142875</xdr:rowOff>
              </from>
              <to>
                <xdr:col>4</xdr:col>
                <xdr:colOff>733425</xdr:colOff>
                <xdr:row>10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78" r:id="rId40" name="Check Box 38">
          <controlPr defaultSize="0" autoFill="0" autoLine="0" autoPict="0">
            <anchor moveWithCells="1">
              <from>
                <xdr:col>4</xdr:col>
                <xdr:colOff>971550</xdr:colOff>
                <xdr:row>4</xdr:row>
                <xdr:rowOff>47625</xdr:rowOff>
              </from>
              <to>
                <xdr:col>4</xdr:col>
                <xdr:colOff>1771650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5879" r:id="rId41" name="Check Box 39">
          <controlPr defaultSize="0" autoFill="0" autoLine="0" autoPict="0">
            <anchor moveWithCells="1">
              <from>
                <xdr:col>4</xdr:col>
                <xdr:colOff>971550</xdr:colOff>
                <xdr:row>5</xdr:row>
                <xdr:rowOff>66675</xdr:rowOff>
              </from>
              <to>
                <xdr:col>4</xdr:col>
                <xdr:colOff>1800225</xdr:colOff>
                <xdr:row>6</xdr:row>
                <xdr:rowOff>95250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F0927-DB93-443A-838D-812E07CD9C31}">
  <sheetPr codeName="Sheet11"/>
  <dimension ref="A1:S355"/>
  <sheetViews>
    <sheetView showGridLines="0" showRowColHeaders="0" showRuler="0" showWhiteSpace="0" view="pageLayout" zoomScale="85" zoomScaleNormal="100" zoomScalePageLayoutView="85" workbookViewId="0">
      <selection activeCell="G317" sqref="G317"/>
    </sheetView>
  </sheetViews>
  <sheetFormatPr defaultColWidth="9.140625" defaultRowHeight="15" x14ac:dyDescent="0.25"/>
  <cols>
    <col min="1" max="1" width="14" customWidth="1"/>
    <col min="2" max="5" width="13.42578125" customWidth="1"/>
    <col min="6" max="7" width="9.5703125" customWidth="1"/>
    <col min="8" max="8" width="8.7109375" customWidth="1"/>
    <col min="9" max="9" width="5.7109375" customWidth="1"/>
  </cols>
  <sheetData>
    <row r="1" spans="1:9" ht="15.75" customHeight="1" x14ac:dyDescent="0.25"/>
    <row r="2" spans="1:9" ht="18.75" customHeight="1" x14ac:dyDescent="0.35">
      <c r="A2" s="1214" t="s">
        <v>1080</v>
      </c>
      <c r="B2" s="1214"/>
      <c r="C2" s="1214"/>
      <c r="D2" s="1214"/>
      <c r="E2" s="1214"/>
      <c r="F2" s="1214"/>
      <c r="G2" s="1214"/>
      <c r="H2" s="1214"/>
      <c r="I2" s="1214"/>
    </row>
    <row r="3" spans="1:9" ht="11.25" customHeight="1" x14ac:dyDescent="0.35">
      <c r="B3" s="242"/>
      <c r="C3" s="242"/>
      <c r="D3" s="242"/>
      <c r="E3" s="242"/>
      <c r="F3" s="242"/>
      <c r="G3" s="281"/>
      <c r="H3" s="281"/>
      <c r="I3" s="281"/>
    </row>
    <row r="4" spans="1:9" ht="14.25" customHeight="1" x14ac:dyDescent="0.25">
      <c r="A4" t="s">
        <v>394</v>
      </c>
    </row>
    <row r="5" spans="1:9" ht="15.75" x14ac:dyDescent="0.25">
      <c r="A5" s="1169" t="s">
        <v>315</v>
      </c>
      <c r="B5" s="1169"/>
      <c r="C5" s="1169"/>
      <c r="D5" s="1169"/>
      <c r="E5" s="1169"/>
      <c r="F5" s="1169"/>
      <c r="G5" s="1169"/>
      <c r="H5" s="1169"/>
      <c r="I5" s="1169"/>
    </row>
    <row r="6" spans="1:9" ht="15" customHeight="1" x14ac:dyDescent="0.25">
      <c r="A6" s="552" t="s">
        <v>1384</v>
      </c>
      <c r="B6" s="1203" t="str">
        <f>PROPER(IF(Unformatted!E5=0,"",Unformatted!E5))</f>
        <v>Vallejo Floodwater</v>
      </c>
      <c r="C6" s="1203"/>
      <c r="D6" s="1203"/>
      <c r="E6" s="552" t="s">
        <v>1388</v>
      </c>
      <c r="F6" s="595" t="str">
        <f>IF(Unformatted!E11=0,"",Unformatted!E11)</f>
        <v>2669</v>
      </c>
      <c r="G6" s="552" t="s">
        <v>1392</v>
      </c>
      <c r="H6" s="1215">
        <f>Unformatted!E14</f>
        <v>43823</v>
      </c>
      <c r="I6" s="1215"/>
    </row>
    <row r="7" spans="1:9" x14ac:dyDescent="0.25">
      <c r="A7" s="36" t="s">
        <v>1385</v>
      </c>
      <c r="B7" s="1210" t="str">
        <f>UPPER(IF(Unformatted!E6=0,"",Unformatted!E6))</f>
        <v/>
      </c>
      <c r="C7" s="1210"/>
      <c r="D7" s="1210"/>
      <c r="E7" s="36" t="s">
        <v>1389</v>
      </c>
      <c r="F7" s="597" t="str">
        <f>Unformatted!E12</f>
        <v>VEM0689</v>
      </c>
      <c r="G7" s="36" t="s">
        <v>1393</v>
      </c>
      <c r="H7" s="1216" t="str">
        <f>Unformatted!E15</f>
        <v/>
      </c>
      <c r="I7" s="1216"/>
    </row>
    <row r="8" spans="1:9" x14ac:dyDescent="0.25">
      <c r="A8" s="36" t="s">
        <v>1386</v>
      </c>
      <c r="B8" s="1210" t="str">
        <f>UPPER(IF(Unformatted!E7 =0, "N/A",Unformatted!E7))</f>
        <v/>
      </c>
      <c r="C8" s="1210"/>
      <c r="D8" s="1210"/>
      <c r="E8" s="36" t="s">
        <v>1390</v>
      </c>
      <c r="F8" s="597" t="str">
        <f>UPPER(IF(Unformatted!E13=0,"",Unformatted!E13))</f>
        <v/>
      </c>
    </row>
    <row r="9" spans="1:9" x14ac:dyDescent="0.25">
      <c r="A9" s="36" t="s">
        <v>1387</v>
      </c>
      <c r="B9" s="1107" t="str">
        <f>UPPER(IF(Unformatted!E8 = 0,"",Unformatted!E8))</f>
        <v/>
      </c>
      <c r="C9" s="1107"/>
      <c r="D9" s="1107"/>
      <c r="E9" s="36" t="s">
        <v>1391</v>
      </c>
      <c r="F9" s="1107" t="str">
        <f>IF(Unformatted!E4=0,"",Unformatted!E4)</f>
        <v>A. Lucas</v>
      </c>
      <c r="G9" s="1107"/>
      <c r="H9" s="1107"/>
      <c r="I9" s="1107"/>
    </row>
    <row r="10" spans="1:9" ht="15.75" x14ac:dyDescent="0.25">
      <c r="A10" s="1169" t="s">
        <v>316</v>
      </c>
      <c r="B10" s="1169"/>
      <c r="C10" s="1169"/>
      <c r="D10" s="1169"/>
      <c r="E10" s="1169"/>
      <c r="F10" s="1169"/>
      <c r="G10" s="1169"/>
      <c r="H10" s="1169"/>
      <c r="I10" s="1169"/>
    </row>
    <row r="11" spans="1:9" x14ac:dyDescent="0.25">
      <c r="A11" s="552" t="s">
        <v>1036</v>
      </c>
      <c r="B11" s="1203" t="str">
        <f>IF(Unformatted!E20=0,"",Unformatted!E20)</f>
        <v>Reliance</v>
      </c>
      <c r="C11" s="1203"/>
      <c r="D11" s="552" t="str">
        <f>Unformatted!I23&amp;":"</f>
        <v>HP:</v>
      </c>
      <c r="E11" s="574" t="str">
        <f>IF(Unformatted!E23=0,"",Unformatted!E23)</f>
        <v>25</v>
      </c>
      <c r="F11" s="552" t="s">
        <v>1397</v>
      </c>
      <c r="G11" s="574" t="str">
        <f>IF(Unformatted!E33=0,"",Unformatted!E33)</f>
        <v>3</v>
      </c>
      <c r="H11" s="552" t="s">
        <v>1402</v>
      </c>
      <c r="I11" s="574" t="str">
        <f>UPPER(IF(Unformatted!E38=0,"",Unformatted!E38))</f>
        <v>B</v>
      </c>
    </row>
    <row r="12" spans="1:9" x14ac:dyDescent="0.25">
      <c r="A12" s="552" t="str">
        <f>Unformatted!D29&amp;" "</f>
        <v xml:space="preserve">ID # </v>
      </c>
      <c r="B12" s="1204" t="str">
        <f>UPPER(IF(Unformatted!E29=0,"",Unformatted!E29))</f>
        <v/>
      </c>
      <c r="C12" s="1204"/>
      <c r="D12" s="552" t="s">
        <v>48</v>
      </c>
      <c r="E12" s="574" t="str">
        <f>UPPER(IF(Unformatted!E24=0,"",Unformatted!E24))</f>
        <v>X250TY</v>
      </c>
      <c r="F12" s="552" t="s">
        <v>1398</v>
      </c>
      <c r="G12" s="574" t="str">
        <f>IF(Unformatted!E34=0,"",Unformatted!E34)</f>
        <v>60</v>
      </c>
      <c r="H12" s="552" t="s">
        <v>1403</v>
      </c>
      <c r="I12" s="575" t="str">
        <f>UPPER(IF(Unformatted!E39=0,"",Unformatted!E39))</f>
        <v/>
      </c>
    </row>
    <row r="13" spans="1:9" x14ac:dyDescent="0.25">
      <c r="A13" s="552" t="str">
        <f>Unformatted!D30&amp;" "</f>
        <v xml:space="preserve">Spec # </v>
      </c>
      <c r="B13" s="1204" t="str">
        <f>UPPER(IF(Unformatted!E30=0,"",Unformatted!E30))</f>
        <v/>
      </c>
      <c r="C13" s="1204"/>
      <c r="D13" s="552" t="s">
        <v>1395</v>
      </c>
      <c r="E13" s="576" t="str">
        <f>IF(Unformatted!E28=0,"",Unformatted!E28)</f>
        <v>1760</v>
      </c>
      <c r="F13" s="552" t="s">
        <v>148</v>
      </c>
      <c r="G13" s="574" t="str">
        <f>UPPER(IF(Unformatted!E42=0,"",Unformatted!E42))</f>
        <v>F</v>
      </c>
      <c r="H13" s="552" t="s">
        <v>1406</v>
      </c>
      <c r="I13" s="574" t="str">
        <f>Unformatted!E35</f>
        <v>1.15</v>
      </c>
    </row>
    <row r="14" spans="1:9" x14ac:dyDescent="0.25">
      <c r="A14" s="552" t="str">
        <f>Unformatted!D31&amp;" "</f>
        <v xml:space="preserve">Style # </v>
      </c>
      <c r="B14" s="1204" t="str">
        <f>UPPER(IF(Unformatted!E31=0,"",Unformatted!E31))</f>
        <v/>
      </c>
      <c r="C14" s="1204"/>
      <c r="D14" s="552" t="s">
        <v>1190</v>
      </c>
      <c r="E14" s="574">
        <f>IF(Unformatted!E26=0,"",Unformatted!E26)</f>
        <v>460</v>
      </c>
      <c r="F14" s="552" t="s">
        <v>1399</v>
      </c>
      <c r="G14" s="574">
        <f>IF(Unformatted!E36=0,"",Unformatted!E36)</f>
        <v>40</v>
      </c>
      <c r="H14" s="552" t="s">
        <v>1405</v>
      </c>
      <c r="I14" s="574" t="str">
        <f>IF(Unformatted!E40=0,"",Unformatted!E40)</f>
        <v/>
      </c>
    </row>
    <row r="15" spans="1:9" x14ac:dyDescent="0.25">
      <c r="A15" s="552" t="s">
        <v>1326</v>
      </c>
      <c r="B15" s="1217" t="str">
        <f>UPPER(IF(Unformatted!E25=0,"",Unformatted!E25))</f>
        <v>P</v>
      </c>
      <c r="C15" s="1217"/>
      <c r="D15" s="552" t="s">
        <v>1192</v>
      </c>
      <c r="E15" s="574" t="str">
        <f>IF(Unformatted!E27=0,"",Unformatted!E27)</f>
        <v>64.2/32.1</v>
      </c>
      <c r="F15" s="552" t="s">
        <v>1400</v>
      </c>
      <c r="G15" s="574" t="str">
        <f>IF(Unformatted!E37=0,"",Unformatted!E37)</f>
        <v/>
      </c>
      <c r="H15" s="552" t="s">
        <v>1404</v>
      </c>
      <c r="I15" s="574" t="str">
        <f>Unformatted!E41</f>
        <v/>
      </c>
    </row>
    <row r="16" spans="1:9" x14ac:dyDescent="0.25">
      <c r="A16" s="552" t="s">
        <v>1394</v>
      </c>
      <c r="B16" s="1218" t="str">
        <f>IF(Unformatted!E19=0,"",Unformatted!E19)</f>
        <v>Vertical</v>
      </c>
      <c r="C16" s="1218"/>
      <c r="D16" s="552" t="s">
        <v>1396</v>
      </c>
      <c r="E16" s="574" t="str">
        <f>IF(Unformatted!E21=0,"",Unformatted!E21)</f>
        <v>TENV</v>
      </c>
      <c r="F16" s="552" t="s">
        <v>1401</v>
      </c>
      <c r="G16" s="574" t="str">
        <f>IF(Unformatted!E22=0,"",Unformatted!E22)</f>
        <v>Continuous</v>
      </c>
      <c r="H16" s="2"/>
      <c r="I16" s="2"/>
    </row>
    <row r="17" spans="1:19" ht="15.75" x14ac:dyDescent="0.25">
      <c r="A17" s="1169" t="s">
        <v>318</v>
      </c>
      <c r="B17" s="1169"/>
      <c r="C17" s="1169"/>
      <c r="D17" s="1169"/>
      <c r="E17" s="1169"/>
      <c r="F17" s="1169"/>
      <c r="G17" s="1169"/>
      <c r="H17" s="1169"/>
      <c r="I17" s="1169"/>
    </row>
    <row r="18" spans="1:19" ht="22.5" customHeight="1" x14ac:dyDescent="0.25">
      <c r="A18" s="110" t="s">
        <v>76</v>
      </c>
      <c r="B18" s="565" t="str">
        <f>Unformatted!E48</f>
        <v>N/A</v>
      </c>
      <c r="C18" s="2"/>
      <c r="D18" s="2"/>
      <c r="E18" s="2"/>
      <c r="G18" s="45"/>
      <c r="H18" s="45"/>
      <c r="I18" s="45"/>
      <c r="N18" s="2"/>
      <c r="O18" s="409"/>
      <c r="P18" s="396"/>
      <c r="Q18" s="396"/>
      <c r="R18" s="396"/>
      <c r="S18" s="396"/>
    </row>
    <row r="19" spans="1:19" s="550" customFormat="1" ht="15" customHeight="1" x14ac:dyDescent="0.25">
      <c r="B19" s="552" t="s">
        <v>1383</v>
      </c>
      <c r="C19" s="1208" t="str">
        <f>Unformatted!E54</f>
        <v>N/A</v>
      </c>
      <c r="D19" s="1208"/>
      <c r="E19" s="1208"/>
      <c r="L19" s="9"/>
      <c r="M19"/>
      <c r="N19"/>
      <c r="O19" s="415"/>
      <c r="P19" s="396"/>
    </row>
    <row r="20" spans="1:19" ht="15" customHeight="1" x14ac:dyDescent="0.25">
      <c r="E20" s="662" t="s">
        <v>1327</v>
      </c>
      <c r="F20" s="2" t="str">
        <f>IF(Unformatted!F56=1,IF(Unformatted!F57=3,Unformatted!E57,Unformatted!E57&amp;Unformatted!E58&amp;" "),"N/A")</f>
        <v>N/A</v>
      </c>
      <c r="H20" s="2"/>
      <c r="I20" s="2"/>
      <c r="Q20" s="572"/>
      <c r="R20" s="572"/>
      <c r="S20" s="572"/>
    </row>
    <row r="21" spans="1:19" ht="15" customHeight="1" x14ac:dyDescent="0.25">
      <c r="A21" s="551" t="s">
        <v>1378</v>
      </c>
      <c r="B21" s="574" t="str">
        <f>IF(F61=0,IF(Unformatted!F61=3,"None",Unformatted!E61 &amp;", Facing: " &amp; Unformatted!E62),"N/A")</f>
        <v>None</v>
      </c>
      <c r="E21" s="455" t="s">
        <v>1382</v>
      </c>
      <c r="F21" s="1210" t="str">
        <f>Unformatted!E59</f>
        <v>N/A</v>
      </c>
      <c r="G21" s="1210"/>
      <c r="H21" s="1210"/>
      <c r="I21" s="1210"/>
      <c r="Q21" s="13"/>
      <c r="R21" s="13"/>
      <c r="S21" s="13"/>
    </row>
    <row r="22" spans="1:19" ht="15" customHeight="1" x14ac:dyDescent="0.25">
      <c r="A22" s="709" t="s">
        <v>1379</v>
      </c>
      <c r="B22" s="562" t="str">
        <f>Unformatted!E63&amp;IF(Unformatted!E63="N/A","","; "&amp;Unformatted!E64)</f>
        <v>N/A</v>
      </c>
      <c r="E22" s="118"/>
      <c r="F22" s="568"/>
      <c r="G22" s="568"/>
      <c r="H22" s="568"/>
      <c r="I22" s="568"/>
    </row>
    <row r="23" spans="1:19" ht="15.75" x14ac:dyDescent="0.25">
      <c r="A23" s="551" t="s">
        <v>1380</v>
      </c>
      <c r="B23" s="562" t="str">
        <f>Unformatted!E65</f>
        <v>None</v>
      </c>
      <c r="D23" s="1212" t="s">
        <v>1342</v>
      </c>
      <c r="E23" s="1212"/>
      <c r="F23" s="1212"/>
      <c r="G23" s="1212"/>
      <c r="H23" s="1212"/>
      <c r="I23" s="1212"/>
      <c r="K23" s="552"/>
      <c r="L23" s="2"/>
      <c r="M23" s="2"/>
    </row>
    <row r="24" spans="1:19" x14ac:dyDescent="0.25">
      <c r="A24" s="551" t="s">
        <v>1381</v>
      </c>
      <c r="B24" s="573" t="str">
        <f>Unformatted!E66</f>
        <v>N/A</v>
      </c>
      <c r="D24" s="560" t="s">
        <v>1375</v>
      </c>
      <c r="E24" s="562" t="str">
        <f>Unformatted!E77</f>
        <v>N/A</v>
      </c>
      <c r="F24" s="1055" t="s">
        <v>1340</v>
      </c>
      <c r="G24" s="1055"/>
      <c r="H24" s="1055"/>
      <c r="I24" s="1055"/>
      <c r="K24" s="551"/>
    </row>
    <row r="25" spans="1:19" x14ac:dyDescent="0.25">
      <c r="A25" s="551" t="s">
        <v>1323</v>
      </c>
      <c r="B25" s="580" t="str">
        <f>Unformatted!E67</f>
        <v>N/A</v>
      </c>
      <c r="D25" s="560" t="s">
        <v>1376</v>
      </c>
      <c r="E25" s="562" t="str">
        <f>Unformatted!E76</f>
        <v>No</v>
      </c>
      <c r="F25" s="550"/>
      <c r="G25" s="550"/>
      <c r="H25" s="550"/>
      <c r="I25" s="550"/>
      <c r="K25" s="551"/>
    </row>
    <row r="26" spans="1:19" x14ac:dyDescent="0.25">
      <c r="D26" s="560" t="s">
        <v>1377</v>
      </c>
      <c r="E26" s="562" t="str">
        <f>Unformatted!E80</f>
        <v>N/A</v>
      </c>
      <c r="F26" s="550"/>
      <c r="G26" s="550"/>
      <c r="H26" s="550"/>
      <c r="I26" s="550"/>
      <c r="K26" s="551"/>
    </row>
    <row r="27" spans="1:19" ht="15" customHeight="1" x14ac:dyDescent="0.25">
      <c r="D27" s="560" t="s">
        <v>1206</v>
      </c>
      <c r="E27" s="562" t="str">
        <f>Unformatted!E79</f>
        <v>N/A</v>
      </c>
      <c r="K27" s="551"/>
      <c r="L27" s="9"/>
      <c r="M27" s="550"/>
      <c r="S27" s="550"/>
    </row>
    <row r="28" spans="1:19" s="563" customFormat="1" ht="15.75" x14ac:dyDescent="0.25">
      <c r="A28" s="1169" t="s">
        <v>1341</v>
      </c>
      <c r="B28" s="1169"/>
      <c r="C28" s="1169"/>
      <c r="D28" s="1169"/>
      <c r="E28" s="1169"/>
      <c r="F28" s="1169"/>
      <c r="G28" s="1169"/>
      <c r="H28" s="1169"/>
      <c r="I28" s="1169"/>
    </row>
    <row r="29" spans="1:19" s="550" customFormat="1" ht="15.75" x14ac:dyDescent="0.25">
      <c r="A29" s="36" t="s">
        <v>1370</v>
      </c>
      <c r="B29" s="1143" t="str">
        <f>IF(Unformatted!E129="","N/A",Unformatted!E129)</f>
        <v>N/A</v>
      </c>
      <c r="C29" s="1211" t="s">
        <v>319</v>
      </c>
      <c r="D29" s="1211"/>
      <c r="E29" s="1211"/>
      <c r="G29" s="560" t="s">
        <v>1372</v>
      </c>
      <c r="H29" s="367" t="str">
        <f>IF(Unformatted!E138="","N/A",Unformatted!E138)</f>
        <v>N/A</v>
      </c>
    </row>
    <row r="30" spans="1:19" s="550" customFormat="1" x14ac:dyDescent="0.25">
      <c r="B30" s="1219"/>
      <c r="C30" s="553" t="s">
        <v>1344</v>
      </c>
      <c r="D30" s="553" t="s">
        <v>1345</v>
      </c>
      <c r="E30" s="553" t="s">
        <v>1346</v>
      </c>
      <c r="G30" s="560" t="s">
        <v>1373</v>
      </c>
      <c r="H30" s="563" t="str">
        <f>Unformatted!E130</f>
        <v>N/A</v>
      </c>
    </row>
    <row r="31" spans="1:19" s="550" customFormat="1" x14ac:dyDescent="0.25">
      <c r="A31" s="551" t="s">
        <v>1371</v>
      </c>
      <c r="B31" s="9" t="str">
        <f>Unformatted!E127</f>
        <v>N/A</v>
      </c>
      <c r="C31" s="245" t="str">
        <f>Unformatted!E137</f>
        <v>N/A</v>
      </c>
      <c r="D31" s="245" t="str">
        <f>Unformatted!F137</f>
        <v>N/A</v>
      </c>
      <c r="E31" s="245" t="str">
        <f>Unformatted!G137</f>
        <v>N/A</v>
      </c>
      <c r="G31" s="560" t="s">
        <v>1374</v>
      </c>
      <c r="H31" s="550" t="str">
        <f>Unformatted!E128</f>
        <v>N/A</v>
      </c>
    </row>
    <row r="32" spans="1:19" s="550" customFormat="1" x14ac:dyDescent="0.25">
      <c r="A32" s="560" t="s">
        <v>1153</v>
      </c>
      <c r="B32" s="173" t="str">
        <f>Unformatted!E139</f>
        <v>N/A</v>
      </c>
    </row>
    <row r="33" spans="1:16" s="550" customFormat="1" ht="15.75" x14ac:dyDescent="0.25">
      <c r="A33" s="560" t="s">
        <v>1154</v>
      </c>
      <c r="B33" s="173" t="str">
        <f>Unformatted!E140</f>
        <v>N/A</v>
      </c>
      <c r="C33" s="1212" t="s">
        <v>1343</v>
      </c>
      <c r="D33" s="1212"/>
      <c r="E33" s="1212"/>
      <c r="F33" s="1212"/>
      <c r="M33" s="36"/>
      <c r="N33" s="9"/>
      <c r="O33"/>
      <c r="P33"/>
    </row>
    <row r="34" spans="1:16" s="550" customFormat="1" x14ac:dyDescent="0.25">
      <c r="A34" s="560" t="s">
        <v>1156</v>
      </c>
      <c r="B34" s="173" t="str">
        <f>Unformatted!E141</f>
        <v>N/A</v>
      </c>
      <c r="C34" s="1213" t="str">
        <f>Unformatted!I137</f>
        <v>N/A</v>
      </c>
      <c r="D34" s="1213" t="str">
        <f>Unformatted!J137</f>
        <v>N/A</v>
      </c>
      <c r="E34" s="1213" t="str">
        <f>Unformatted!K137</f>
        <v>N/A</v>
      </c>
      <c r="F34" s="1213" t="str">
        <f>Unformatted!L137</f>
        <v>N/A</v>
      </c>
      <c r="G34" s="1213"/>
      <c r="M34" s="36"/>
      <c r="N34" s="9"/>
      <c r="O34"/>
      <c r="P34"/>
    </row>
    <row r="35" spans="1:16" s="563" customFormat="1" x14ac:dyDescent="0.25">
      <c r="A35" s="560" t="s">
        <v>1155</v>
      </c>
      <c r="B35" s="676" t="str">
        <f>Unformatted!E142</f>
        <v>N/A</v>
      </c>
      <c r="C35" s="1213"/>
      <c r="D35" s="1213"/>
      <c r="E35" s="1213"/>
      <c r="F35" s="1213"/>
      <c r="G35" s="1213"/>
      <c r="M35" s="560"/>
      <c r="N35" s="574"/>
    </row>
    <row r="36" spans="1:16" s="563" customFormat="1" x14ac:dyDescent="0.25">
      <c r="M36" s="560"/>
      <c r="N36" s="574"/>
    </row>
    <row r="37" spans="1:16" s="563" customFormat="1" ht="15.75" x14ac:dyDescent="0.25">
      <c r="B37" s="583" t="s">
        <v>1347</v>
      </c>
      <c r="M37" s="560"/>
      <c r="N37" s="574"/>
    </row>
    <row r="38" spans="1:16" s="563" customFormat="1" x14ac:dyDescent="0.25">
      <c r="A38" s="36"/>
      <c r="B38" s="367"/>
      <c r="M38" s="560"/>
      <c r="N38" s="574"/>
    </row>
    <row r="39" spans="1:16" s="563" customFormat="1" ht="15.75" x14ac:dyDescent="0.25">
      <c r="A39" s="1169" t="s">
        <v>1348</v>
      </c>
      <c r="B39" s="1169"/>
      <c r="C39" s="1169"/>
      <c r="D39" s="1169"/>
      <c r="E39" s="1169"/>
      <c r="F39" s="1169"/>
      <c r="G39" s="1169"/>
      <c r="H39" s="1169"/>
      <c r="I39" s="1169"/>
    </row>
    <row r="40" spans="1:16" s="550" customFormat="1" ht="15.75" x14ac:dyDescent="0.25">
      <c r="A40" s="1211" t="s">
        <v>728</v>
      </c>
      <c r="B40" s="1211"/>
      <c r="D40" s="1211" t="s">
        <v>1349</v>
      </c>
      <c r="E40" s="1211"/>
      <c r="F40" s="1211"/>
      <c r="G40" s="1211"/>
      <c r="H40" s="1211"/>
      <c r="I40" s="1211"/>
      <c r="O40" s="19"/>
      <c r="P40"/>
    </row>
    <row r="41" spans="1:16" s="550" customFormat="1" x14ac:dyDescent="0.25">
      <c r="A41" s="560" t="s">
        <v>1190</v>
      </c>
      <c r="B41" s="562" t="str">
        <f>Unformatted!E87</f>
        <v>N/A</v>
      </c>
      <c r="D41" s="1209" t="s">
        <v>1350</v>
      </c>
      <c r="E41" s="1209"/>
      <c r="F41" s="396"/>
      <c r="G41" s="1209" t="s">
        <v>1351</v>
      </c>
      <c r="H41" s="1209"/>
      <c r="I41" s="1209"/>
      <c r="L41"/>
      <c r="M41"/>
      <c r="N41"/>
      <c r="O41"/>
      <c r="P41"/>
    </row>
    <row r="42" spans="1:16" s="563" customFormat="1" x14ac:dyDescent="0.25">
      <c r="A42" s="560" t="s">
        <v>1191</v>
      </c>
      <c r="B42" s="562" t="str">
        <f>Unformatted!E89</f>
        <v>N/A</v>
      </c>
      <c r="D42" s="416" t="s">
        <v>1195</v>
      </c>
      <c r="E42" s="573" t="str">
        <f>Unformatted!E101</f>
        <v>N/A</v>
      </c>
      <c r="F42" s="396"/>
      <c r="G42" s="416" t="s">
        <v>1195</v>
      </c>
      <c r="H42" s="1208" t="str">
        <f>Unformatted!E108</f>
        <v>N/A</v>
      </c>
      <c r="I42" s="1208"/>
    </row>
    <row r="43" spans="1:16" s="563" customFormat="1" x14ac:dyDescent="0.25">
      <c r="A43" s="560" t="s">
        <v>1369</v>
      </c>
      <c r="B43" s="562" t="str">
        <f>Unformatted!E91</f>
        <v>N/A</v>
      </c>
      <c r="D43" s="560" t="s">
        <v>1200</v>
      </c>
      <c r="E43" s="562" t="str">
        <f>Unformatted!E103</f>
        <v>N/A</v>
      </c>
      <c r="G43" s="560" t="s">
        <v>1200</v>
      </c>
      <c r="H43" s="1208" t="str">
        <f>Unformatted!E109</f>
        <v>N/A</v>
      </c>
      <c r="I43" s="1208"/>
    </row>
    <row r="44" spans="1:16" s="563" customFormat="1" x14ac:dyDescent="0.25">
      <c r="A44" s="560" t="s">
        <v>1200</v>
      </c>
      <c r="B44" s="562" t="str">
        <f>Unformatted!E93</f>
        <v>N/A</v>
      </c>
      <c r="D44" s="560" t="s">
        <v>1153</v>
      </c>
      <c r="E44" s="562" t="str">
        <f>Unformatted!E102</f>
        <v>N/A</v>
      </c>
      <c r="G44" s="560" t="s">
        <v>1153</v>
      </c>
      <c r="H44" s="1208" t="str">
        <f>Unformatted!E110</f>
        <v>N/A</v>
      </c>
      <c r="I44" s="1208"/>
    </row>
    <row r="45" spans="1:16" s="563" customFormat="1" x14ac:dyDescent="0.25">
      <c r="A45" s="560" t="s">
        <v>1195</v>
      </c>
      <c r="B45" s="562" t="str">
        <f>Unformatted!E95</f>
        <v>N/A</v>
      </c>
      <c r="D45" s="560" t="s">
        <v>1194</v>
      </c>
      <c r="E45" s="562" t="str">
        <f>Unformatted!E104</f>
        <v>N/A</v>
      </c>
      <c r="G45" s="560" t="s">
        <v>1194</v>
      </c>
      <c r="H45" s="1208" t="str">
        <f>Unformatted!E111</f>
        <v>N/A</v>
      </c>
      <c r="I45" s="1208"/>
    </row>
    <row r="46" spans="1:16" s="563" customFormat="1" x14ac:dyDescent="0.25">
      <c r="A46" s="560" t="s">
        <v>1153</v>
      </c>
      <c r="B46" s="562" t="str">
        <f>Unformatted!E88</f>
        <v>N/A</v>
      </c>
      <c r="D46" s="1209" t="s">
        <v>136</v>
      </c>
      <c r="E46" s="1209"/>
      <c r="G46" s="1209" t="s">
        <v>1204</v>
      </c>
      <c r="H46" s="1209"/>
      <c r="I46" s="1209"/>
    </row>
    <row r="47" spans="1:16" s="563" customFormat="1" x14ac:dyDescent="0.25">
      <c r="A47" s="560" t="s">
        <v>1194</v>
      </c>
      <c r="B47" s="562" t="str">
        <f>Unformatted!E90</f>
        <v>N/A</v>
      </c>
      <c r="D47" s="1064" t="str">
        <f>Unformatted!E100</f>
        <v>N/A</v>
      </c>
      <c r="E47" s="1064"/>
      <c r="F47" s="396"/>
      <c r="G47" s="1064" t="str">
        <f>Unformatted!E107</f>
        <v>N/A</v>
      </c>
      <c r="H47" s="1064"/>
      <c r="I47" s="1064"/>
    </row>
    <row r="48" spans="1:16" s="563" customFormat="1" x14ac:dyDescent="0.25">
      <c r="A48" s="560" t="s">
        <v>1216</v>
      </c>
      <c r="B48" s="562" t="str">
        <f>Unformatted!E92</f>
        <v>N/A</v>
      </c>
      <c r="D48" s="560" t="s">
        <v>134</v>
      </c>
      <c r="E48" s="562" t="str">
        <f>Unformatted!E105</f>
        <v>N/A</v>
      </c>
      <c r="G48" s="560" t="s">
        <v>134</v>
      </c>
      <c r="H48" s="1208" t="str">
        <f>Unformatted!E112</f>
        <v>N/A</v>
      </c>
      <c r="I48" s="1208"/>
    </row>
    <row r="49" spans="1:15" s="563" customFormat="1" ht="15.75" x14ac:dyDescent="0.25">
      <c r="A49" s="560" t="s">
        <v>1193</v>
      </c>
      <c r="B49" s="562" t="str">
        <f>Unformatted!E94</f>
        <v>N/A</v>
      </c>
      <c r="D49" s="1196" t="s">
        <v>1197</v>
      </c>
      <c r="E49" s="1196"/>
      <c r="F49" s="1196"/>
      <c r="G49" s="1196"/>
      <c r="H49" s="1196"/>
      <c r="I49" s="1196"/>
    </row>
    <row r="50" spans="1:15" s="563" customFormat="1" x14ac:dyDescent="0.25">
      <c r="A50" s="560" t="s">
        <v>136</v>
      </c>
      <c r="B50" s="562" t="str">
        <f>Unformatted!E86</f>
        <v>N/A</v>
      </c>
      <c r="D50" s="560" t="s">
        <v>1201</v>
      </c>
      <c r="E50" s="562" t="str">
        <f>Unformatted!E121</f>
        <v>N/A</v>
      </c>
      <c r="G50" s="560" t="s">
        <v>1153</v>
      </c>
      <c r="H50" s="1210" t="str">
        <f>Unformatted!E118</f>
        <v>N/A</v>
      </c>
      <c r="I50" s="1210"/>
    </row>
    <row r="51" spans="1:15" s="563" customFormat="1" x14ac:dyDescent="0.25">
      <c r="A51" s="560" t="s">
        <v>1196</v>
      </c>
      <c r="B51" s="562" t="str">
        <f>Unformatted!E96</f>
        <v>N/A</v>
      </c>
      <c r="D51" s="560" t="s">
        <v>1195</v>
      </c>
      <c r="E51" s="562" t="str">
        <f>Unformatted!E117</f>
        <v>N/A</v>
      </c>
      <c r="G51" s="560" t="s">
        <v>1194</v>
      </c>
      <c r="H51" s="1210" t="str">
        <f>Unformatted!E120</f>
        <v>N/A</v>
      </c>
      <c r="I51" s="1210"/>
    </row>
    <row r="52" spans="1:15" s="550" customFormat="1" x14ac:dyDescent="0.25">
      <c r="D52" s="560" t="s">
        <v>1200</v>
      </c>
      <c r="E52" s="562" t="str">
        <f>Unformatted!E119</f>
        <v>N/A</v>
      </c>
      <c r="G52" s="709" t="s">
        <v>1196</v>
      </c>
      <c r="H52" s="1210" t="str">
        <f>Unformatted!E122</f>
        <v>N/A</v>
      </c>
      <c r="I52" s="1210"/>
    </row>
    <row r="53" spans="1:15" s="563" customFormat="1" ht="15.75" customHeight="1" x14ac:dyDescent="0.25">
      <c r="A53" s="1125" t="s">
        <v>1486</v>
      </c>
      <c r="B53" s="1126"/>
      <c r="C53" s="1126"/>
      <c r="D53" s="1126"/>
      <c r="E53" s="1126"/>
      <c r="F53" s="1126"/>
      <c r="G53" s="1126"/>
      <c r="H53" s="1126"/>
      <c r="I53" s="1127"/>
      <c r="O53" s="146"/>
    </row>
    <row r="54" spans="1:15" ht="15" customHeight="1" x14ac:dyDescent="0.25">
      <c r="A54" s="1176" t="str">
        <f>Unformatted!E9</f>
        <v>Issues with water sensor. Cable damaged at entry point into pump.</v>
      </c>
      <c r="B54" s="1177"/>
      <c r="C54" s="1177"/>
      <c r="D54" s="1177"/>
      <c r="E54" s="1177"/>
      <c r="F54" s="1177"/>
      <c r="G54" s="1177"/>
      <c r="H54" s="1177"/>
      <c r="I54" s="1178"/>
    </row>
    <row r="55" spans="1:15" ht="15" customHeight="1" x14ac:dyDescent="0.25">
      <c r="A55" s="1179"/>
      <c r="B55" s="1180"/>
      <c r="C55" s="1180"/>
      <c r="D55" s="1180"/>
      <c r="E55" s="1180"/>
      <c r="F55" s="1180"/>
      <c r="G55" s="1180"/>
      <c r="H55" s="1180"/>
      <c r="I55" s="1181"/>
    </row>
    <row r="56" spans="1:15" ht="15" customHeight="1" x14ac:dyDescent="0.25">
      <c r="A56" s="1182"/>
      <c r="B56" s="1183"/>
      <c r="C56" s="1183"/>
      <c r="D56" s="1183"/>
      <c r="E56" s="1183"/>
      <c r="F56" s="1183"/>
      <c r="G56" s="1183"/>
      <c r="H56" s="1183"/>
      <c r="I56" s="1184"/>
    </row>
    <row r="57" spans="1:15" ht="15" customHeight="1" x14ac:dyDescent="0.25">
      <c r="A57" s="1125" t="s">
        <v>1487</v>
      </c>
      <c r="B57" s="1126"/>
      <c r="C57" s="1126"/>
      <c r="D57" s="1126"/>
      <c r="E57" s="1126"/>
      <c r="F57" s="1126"/>
      <c r="G57" s="1126"/>
      <c r="H57" s="1126"/>
      <c r="I57" s="1127"/>
    </row>
    <row r="58" spans="1:15" ht="15" customHeight="1" x14ac:dyDescent="0.25">
      <c r="A58" s="1142" t="str">
        <f>Unformatted!E10</f>
        <v>Dropped off by Drew.</v>
      </c>
      <c r="B58" s="1143"/>
      <c r="C58" s="1143"/>
      <c r="D58" s="1143"/>
      <c r="E58" s="1143"/>
      <c r="F58" s="1143"/>
      <c r="G58" s="1143"/>
      <c r="H58" s="1143"/>
      <c r="I58" s="1144"/>
    </row>
    <row r="59" spans="1:15" ht="15" customHeight="1" x14ac:dyDescent="0.25">
      <c r="A59" s="1145"/>
      <c r="B59" s="1146"/>
      <c r="C59" s="1146"/>
      <c r="D59" s="1146"/>
      <c r="E59" s="1146"/>
      <c r="F59" s="1146"/>
      <c r="G59" s="1146"/>
      <c r="H59" s="1146"/>
      <c r="I59" s="1147"/>
    </row>
    <row r="60" spans="1:15" ht="15" customHeight="1" x14ac:dyDescent="0.25">
      <c r="A60" s="1145"/>
      <c r="B60" s="1146"/>
      <c r="C60" s="1146"/>
      <c r="D60" s="1146"/>
      <c r="E60" s="1146"/>
      <c r="F60" s="1146"/>
      <c r="G60" s="1146"/>
      <c r="H60" s="1146"/>
      <c r="I60" s="1147"/>
    </row>
    <row r="61" spans="1:15" ht="15" customHeight="1" x14ac:dyDescent="0.25">
      <c r="A61" s="1145"/>
      <c r="B61" s="1146"/>
      <c r="C61" s="1146"/>
      <c r="D61" s="1146"/>
      <c r="E61" s="1146"/>
      <c r="F61" s="1146"/>
      <c r="G61" s="1146"/>
      <c r="H61" s="1146"/>
      <c r="I61" s="1147"/>
      <c r="O61" s="146"/>
    </row>
    <row r="62" spans="1:15" s="563" customFormat="1" ht="15" customHeight="1" x14ac:dyDescent="0.25">
      <c r="A62" s="1145"/>
      <c r="B62" s="1146"/>
      <c r="C62" s="1146"/>
      <c r="D62" s="1146"/>
      <c r="E62" s="1146"/>
      <c r="F62" s="1146"/>
      <c r="G62" s="1146"/>
      <c r="H62" s="1146"/>
      <c r="I62" s="1147"/>
      <c r="M62"/>
      <c r="O62" s="146"/>
    </row>
    <row r="63" spans="1:15" ht="15" customHeight="1" x14ac:dyDescent="0.25">
      <c r="A63" s="1148"/>
      <c r="B63" s="1149"/>
      <c r="C63" s="1149"/>
      <c r="D63" s="1149"/>
      <c r="E63" s="1149"/>
      <c r="F63" s="1149"/>
      <c r="G63" s="1149"/>
      <c r="H63" s="1149"/>
      <c r="I63" s="1150"/>
      <c r="O63" s="146"/>
    </row>
    <row r="64" spans="1:15" s="563" customFormat="1" ht="15" customHeight="1" x14ac:dyDescent="0.25">
      <c r="A64" s="1125" t="s">
        <v>1443</v>
      </c>
      <c r="B64" s="1126"/>
      <c r="C64" s="1126"/>
      <c r="D64" s="1126"/>
      <c r="E64" s="1126"/>
      <c r="F64" s="1126"/>
      <c r="G64" s="1126"/>
      <c r="H64" s="1126"/>
      <c r="I64" s="1127"/>
      <c r="M64"/>
      <c r="O64" s="146"/>
    </row>
    <row r="65" spans="1:15" ht="15" customHeight="1" x14ac:dyDescent="0.25">
      <c r="A65" s="1142" t="str">
        <f>Unformatted!E81</f>
        <v xml:space="preserve">Large power cable damaged at entry point in top of pump. Pump covered in product. Lifting device on top of pump.Has chinese handcuffs on both cables.End of large cable markings- Black (T1), White (T2), Red (T3),Green(G). End of small cable markings- Green (G), Black (P1), White (P2), Red (W1), Orange (W2). </v>
      </c>
      <c r="B65" s="1143"/>
      <c r="C65" s="1143"/>
      <c r="D65" s="1143"/>
      <c r="E65" s="1143"/>
      <c r="F65" s="1143"/>
      <c r="G65" s="1143"/>
      <c r="H65" s="1143"/>
      <c r="I65" s="1144"/>
      <c r="O65" s="146"/>
    </row>
    <row r="66" spans="1:15" s="563" customFormat="1" ht="15" customHeight="1" x14ac:dyDescent="0.25">
      <c r="A66" s="1145"/>
      <c r="B66" s="1146"/>
      <c r="C66" s="1146"/>
      <c r="D66" s="1146"/>
      <c r="E66" s="1146"/>
      <c r="F66" s="1146"/>
      <c r="G66" s="1146"/>
      <c r="H66" s="1146"/>
      <c r="I66" s="1147"/>
      <c r="M66"/>
      <c r="O66" s="146"/>
    </row>
    <row r="67" spans="1:15" ht="15" customHeight="1" x14ac:dyDescent="0.25">
      <c r="A67" s="1145"/>
      <c r="B67" s="1146"/>
      <c r="C67" s="1146"/>
      <c r="D67" s="1146"/>
      <c r="E67" s="1146"/>
      <c r="F67" s="1146"/>
      <c r="G67" s="1146"/>
      <c r="H67" s="1146"/>
      <c r="I67" s="1147"/>
    </row>
    <row r="68" spans="1:15" ht="15" customHeight="1" x14ac:dyDescent="0.25">
      <c r="A68" s="1145"/>
      <c r="B68" s="1146"/>
      <c r="C68" s="1146"/>
      <c r="D68" s="1146"/>
      <c r="E68" s="1146"/>
      <c r="F68" s="1146"/>
      <c r="G68" s="1146"/>
      <c r="H68" s="1146"/>
      <c r="I68" s="1147"/>
    </row>
    <row r="69" spans="1:15" ht="15" customHeight="1" x14ac:dyDescent="0.25">
      <c r="A69" s="1145"/>
      <c r="B69" s="1146"/>
      <c r="C69" s="1146"/>
      <c r="D69" s="1146"/>
      <c r="E69" s="1146"/>
      <c r="F69" s="1146"/>
      <c r="G69" s="1146"/>
      <c r="H69" s="1146"/>
      <c r="I69" s="1147"/>
    </row>
    <row r="70" spans="1:15" ht="14.25" customHeight="1" x14ac:dyDescent="0.25">
      <c r="A70" s="1145"/>
      <c r="B70" s="1146"/>
      <c r="C70" s="1146"/>
      <c r="D70" s="1146"/>
      <c r="E70" s="1146"/>
      <c r="F70" s="1146"/>
      <c r="G70" s="1146"/>
      <c r="H70" s="1146"/>
      <c r="I70" s="1147"/>
    </row>
    <row r="71" spans="1:15" x14ac:dyDescent="0.25">
      <c r="A71" s="1145"/>
      <c r="B71" s="1146"/>
      <c r="C71" s="1146"/>
      <c r="D71" s="1146"/>
      <c r="E71" s="1146"/>
      <c r="F71" s="1146"/>
      <c r="G71" s="1146"/>
      <c r="H71" s="1146"/>
      <c r="I71" s="1147"/>
    </row>
    <row r="72" spans="1:15" x14ac:dyDescent="0.25">
      <c r="A72" s="1145"/>
      <c r="B72" s="1146"/>
      <c r="C72" s="1146"/>
      <c r="D72" s="1146"/>
      <c r="E72" s="1146"/>
      <c r="F72" s="1146"/>
      <c r="G72" s="1146"/>
      <c r="H72" s="1146"/>
      <c r="I72" s="1147"/>
    </row>
    <row r="73" spans="1:15" x14ac:dyDescent="0.25">
      <c r="A73" s="1145"/>
      <c r="B73" s="1146"/>
      <c r="C73" s="1146"/>
      <c r="D73" s="1146"/>
      <c r="E73" s="1146"/>
      <c r="F73" s="1146"/>
      <c r="G73" s="1146"/>
      <c r="H73" s="1146"/>
      <c r="I73" s="1147"/>
    </row>
    <row r="74" spans="1:15" ht="14.45" customHeight="1" x14ac:dyDescent="0.25">
      <c r="A74" s="1148"/>
      <c r="B74" s="1149"/>
      <c r="C74" s="1149"/>
      <c r="D74" s="1149"/>
      <c r="E74" s="1149"/>
      <c r="F74" s="1149"/>
      <c r="G74" s="1149"/>
      <c r="H74" s="1149"/>
      <c r="I74" s="1150"/>
    </row>
    <row r="75" spans="1:15" ht="15" customHeight="1" x14ac:dyDescent="0.25">
      <c r="A75" s="1125" t="s">
        <v>1444</v>
      </c>
      <c r="B75" s="1126"/>
      <c r="C75" s="1126"/>
      <c r="D75" s="1126"/>
      <c r="E75" s="1126"/>
      <c r="F75" s="1126"/>
      <c r="G75" s="1126"/>
      <c r="H75" s="1126"/>
      <c r="I75" s="1127"/>
    </row>
    <row r="76" spans="1:15" x14ac:dyDescent="0.25">
      <c r="A76" s="1142" t="str">
        <f>Unformatted!E153</f>
        <v/>
      </c>
      <c r="B76" s="1143"/>
      <c r="C76" s="1143"/>
      <c r="D76" s="1143"/>
      <c r="E76" s="1143"/>
      <c r="F76" s="1143"/>
      <c r="G76" s="1143"/>
      <c r="H76" s="1143"/>
      <c r="I76" s="1144"/>
    </row>
    <row r="77" spans="1:15" x14ac:dyDescent="0.25">
      <c r="A77" s="1145"/>
      <c r="B77" s="1146"/>
      <c r="C77" s="1146"/>
      <c r="D77" s="1146"/>
      <c r="E77" s="1146"/>
      <c r="F77" s="1146"/>
      <c r="G77" s="1146"/>
      <c r="H77" s="1146"/>
      <c r="I77" s="1147"/>
    </row>
    <row r="78" spans="1:15" x14ac:dyDescent="0.25">
      <c r="A78" s="1145"/>
      <c r="B78" s="1146"/>
      <c r="C78" s="1146"/>
      <c r="D78" s="1146"/>
      <c r="E78" s="1146"/>
      <c r="F78" s="1146"/>
      <c r="G78" s="1146"/>
      <c r="H78" s="1146"/>
      <c r="I78" s="1147"/>
    </row>
    <row r="79" spans="1:15" s="563" customFormat="1" ht="15.75" customHeight="1" x14ac:dyDescent="0.25">
      <c r="A79" s="1145"/>
      <c r="B79" s="1146"/>
      <c r="C79" s="1146"/>
      <c r="D79" s="1146"/>
      <c r="E79" s="1146"/>
      <c r="F79" s="1146"/>
      <c r="G79" s="1146"/>
      <c r="H79" s="1146"/>
      <c r="I79" s="1147"/>
    </row>
    <row r="80" spans="1:15" s="563" customFormat="1" x14ac:dyDescent="0.25">
      <c r="A80" s="1145"/>
      <c r="B80" s="1146"/>
      <c r="C80" s="1146"/>
      <c r="D80" s="1146"/>
      <c r="E80" s="1146"/>
      <c r="F80" s="1146"/>
      <c r="G80" s="1146"/>
      <c r="H80" s="1146"/>
      <c r="I80" s="1147"/>
    </row>
    <row r="81" spans="1:9" s="563" customFormat="1" ht="15.75" customHeight="1" x14ac:dyDescent="0.25">
      <c r="A81" s="1145"/>
      <c r="B81" s="1146"/>
      <c r="C81" s="1146"/>
      <c r="D81" s="1146"/>
      <c r="E81" s="1146"/>
      <c r="F81" s="1146"/>
      <c r="G81" s="1146"/>
      <c r="H81" s="1146"/>
      <c r="I81" s="1147"/>
    </row>
    <row r="82" spans="1:9" s="563" customFormat="1" ht="15.75" customHeight="1" x14ac:dyDescent="0.25">
      <c r="A82" s="1145"/>
      <c r="B82" s="1146"/>
      <c r="C82" s="1146"/>
      <c r="D82" s="1146"/>
      <c r="E82" s="1146"/>
      <c r="F82" s="1146"/>
      <c r="G82" s="1146"/>
      <c r="H82" s="1146"/>
      <c r="I82" s="1147"/>
    </row>
    <row r="83" spans="1:9" s="563" customFormat="1" ht="15.75" customHeight="1" x14ac:dyDescent="0.25">
      <c r="A83" s="1145"/>
      <c r="B83" s="1146"/>
      <c r="C83" s="1146"/>
      <c r="D83" s="1146"/>
      <c r="E83" s="1146"/>
      <c r="F83" s="1146"/>
      <c r="G83" s="1146"/>
      <c r="H83" s="1146"/>
      <c r="I83" s="1147"/>
    </row>
    <row r="84" spans="1:9" s="563" customFormat="1" ht="15.75" customHeight="1" x14ac:dyDescent="0.25">
      <c r="A84" s="1145"/>
      <c r="B84" s="1146"/>
      <c r="C84" s="1146"/>
      <c r="D84" s="1146"/>
      <c r="E84" s="1146"/>
      <c r="F84" s="1146"/>
      <c r="G84" s="1146"/>
      <c r="H84" s="1146"/>
      <c r="I84" s="1147"/>
    </row>
    <row r="85" spans="1:9" s="563" customFormat="1" ht="15.75" customHeight="1" x14ac:dyDescent="0.25">
      <c r="A85" s="1148"/>
      <c r="B85" s="1149"/>
      <c r="C85" s="1149"/>
      <c r="D85" s="1149"/>
      <c r="E85" s="1149"/>
      <c r="F85" s="1149"/>
      <c r="G85" s="1149"/>
      <c r="H85" s="1149"/>
      <c r="I85" s="1150"/>
    </row>
    <row r="86" spans="1:9" s="563" customFormat="1" ht="15.75" x14ac:dyDescent="0.25">
      <c r="A86" s="1125" t="s">
        <v>1445</v>
      </c>
      <c r="B86" s="1126"/>
      <c r="C86" s="1126"/>
      <c r="D86" s="1126"/>
      <c r="E86" s="1126"/>
      <c r="F86" s="1126"/>
      <c r="G86" s="1126"/>
      <c r="H86" s="1126"/>
      <c r="I86" s="1127"/>
    </row>
    <row r="87" spans="1:9" s="563" customFormat="1" ht="15.75" customHeight="1" x14ac:dyDescent="0.25">
      <c r="A87" s="1142" t="str">
        <f>Unformatted!E97</f>
        <v/>
      </c>
      <c r="B87" s="1143"/>
      <c r="C87" s="1143"/>
      <c r="D87" s="1143"/>
      <c r="E87" s="1143"/>
      <c r="F87" s="1143"/>
      <c r="G87" s="1143"/>
      <c r="H87" s="1143"/>
      <c r="I87" s="1144"/>
    </row>
    <row r="88" spans="1:9" s="563" customFormat="1" ht="15.75" customHeight="1" x14ac:dyDescent="0.25">
      <c r="A88" s="1145"/>
      <c r="B88" s="1146"/>
      <c r="C88" s="1146"/>
      <c r="D88" s="1146"/>
      <c r="E88" s="1146"/>
      <c r="F88" s="1146"/>
      <c r="G88" s="1146"/>
      <c r="H88" s="1146"/>
      <c r="I88" s="1147"/>
    </row>
    <row r="89" spans="1:9" s="563" customFormat="1" ht="15.75" customHeight="1" x14ac:dyDescent="0.25">
      <c r="A89" s="1145"/>
      <c r="B89" s="1146"/>
      <c r="C89" s="1146"/>
      <c r="D89" s="1146"/>
      <c r="E89" s="1146"/>
      <c r="F89" s="1146"/>
      <c r="G89" s="1146"/>
      <c r="H89" s="1146"/>
      <c r="I89" s="1147"/>
    </row>
    <row r="90" spans="1:9" s="563" customFormat="1" ht="15.75" customHeight="1" x14ac:dyDescent="0.25">
      <c r="A90" s="1148"/>
      <c r="B90" s="1149"/>
      <c r="C90" s="1149"/>
      <c r="D90" s="1149"/>
      <c r="E90" s="1149"/>
      <c r="F90" s="1149"/>
      <c r="G90" s="1149"/>
      <c r="H90" s="1149"/>
      <c r="I90" s="1150"/>
    </row>
    <row r="91" spans="1:9" s="563" customFormat="1" ht="15.75" x14ac:dyDescent="0.25">
      <c r="A91" s="1125" t="s">
        <v>1442</v>
      </c>
      <c r="B91" s="1126"/>
      <c r="C91" s="1126"/>
      <c r="D91" s="1126"/>
      <c r="E91" s="1126"/>
      <c r="F91" s="1126"/>
      <c r="G91" s="1126"/>
      <c r="H91" s="1126"/>
      <c r="I91" s="1127"/>
    </row>
    <row r="92" spans="1:9" s="563" customFormat="1" ht="15.75" customHeight="1" x14ac:dyDescent="0.25">
      <c r="A92" s="1142" t="str">
        <f>Unformatted!E113</f>
        <v/>
      </c>
      <c r="B92" s="1143"/>
      <c r="C92" s="1143"/>
      <c r="D92" s="1143"/>
      <c r="E92" s="1143"/>
      <c r="F92" s="1143"/>
      <c r="G92" s="1143"/>
      <c r="H92" s="1143"/>
      <c r="I92" s="1144"/>
    </row>
    <row r="93" spans="1:9" s="563" customFormat="1" ht="15.75" customHeight="1" x14ac:dyDescent="0.25">
      <c r="A93" s="1145"/>
      <c r="B93" s="1146"/>
      <c r="C93" s="1146"/>
      <c r="D93" s="1146"/>
      <c r="E93" s="1146"/>
      <c r="F93" s="1146"/>
      <c r="G93" s="1146"/>
      <c r="H93" s="1146"/>
      <c r="I93" s="1147"/>
    </row>
    <row r="94" spans="1:9" s="563" customFormat="1" ht="15.75" customHeight="1" x14ac:dyDescent="0.25">
      <c r="A94" s="1145"/>
      <c r="B94" s="1146"/>
      <c r="C94" s="1146"/>
      <c r="D94" s="1146"/>
      <c r="E94" s="1146"/>
      <c r="F94" s="1146"/>
      <c r="G94" s="1146"/>
      <c r="H94" s="1146"/>
      <c r="I94" s="1147"/>
    </row>
    <row r="95" spans="1:9" s="563" customFormat="1" ht="15.75" customHeight="1" x14ac:dyDescent="0.25">
      <c r="A95" s="1145"/>
      <c r="B95" s="1146"/>
      <c r="C95" s="1146"/>
      <c r="D95" s="1146"/>
      <c r="E95" s="1146"/>
      <c r="F95" s="1146"/>
      <c r="G95" s="1146"/>
      <c r="H95" s="1146"/>
      <c r="I95" s="1147"/>
    </row>
    <row r="96" spans="1:9" s="563" customFormat="1" ht="15.75" customHeight="1" x14ac:dyDescent="0.25">
      <c r="A96" s="1145"/>
      <c r="B96" s="1146"/>
      <c r="C96" s="1146"/>
      <c r="D96" s="1146"/>
      <c r="E96" s="1146"/>
      <c r="F96" s="1146"/>
      <c r="G96" s="1146"/>
      <c r="H96" s="1146"/>
      <c r="I96" s="1147"/>
    </row>
    <row r="97" spans="1:9" s="563" customFormat="1" ht="15.75" customHeight="1" x14ac:dyDescent="0.25">
      <c r="A97" s="1145"/>
      <c r="B97" s="1146"/>
      <c r="C97" s="1146"/>
      <c r="D97" s="1146"/>
      <c r="E97" s="1146"/>
      <c r="F97" s="1146"/>
      <c r="G97" s="1146"/>
      <c r="H97" s="1146"/>
      <c r="I97" s="1147"/>
    </row>
    <row r="98" spans="1:9" s="563" customFormat="1" ht="15.75" customHeight="1" x14ac:dyDescent="0.25">
      <c r="A98" s="1148"/>
      <c r="B98" s="1149"/>
      <c r="C98" s="1149"/>
      <c r="D98" s="1149"/>
      <c r="E98" s="1149"/>
      <c r="F98" s="1149"/>
      <c r="G98" s="1149"/>
      <c r="H98" s="1149"/>
      <c r="I98" s="1150"/>
    </row>
    <row r="99" spans="1:9" s="563" customFormat="1" ht="15.75" x14ac:dyDescent="0.25">
      <c r="A99" s="1125" t="s">
        <v>1441</v>
      </c>
      <c r="B99" s="1126"/>
      <c r="C99" s="1126"/>
      <c r="D99" s="1126"/>
      <c r="E99" s="1126"/>
      <c r="F99" s="1126"/>
      <c r="G99" s="1126"/>
      <c r="H99" s="1126"/>
      <c r="I99" s="1127"/>
    </row>
    <row r="100" spans="1:9" s="563" customFormat="1" ht="15.75" customHeight="1" x14ac:dyDescent="0.25">
      <c r="A100" s="1185" t="str">
        <f>Unformatted!E123</f>
        <v/>
      </c>
      <c r="B100" s="1186"/>
      <c r="C100" s="1186"/>
      <c r="D100" s="1186"/>
      <c r="E100" s="1186"/>
      <c r="F100" s="1186"/>
      <c r="G100" s="1186"/>
      <c r="H100" s="1186"/>
      <c r="I100" s="1187"/>
    </row>
    <row r="101" spans="1:9" s="563" customFormat="1" ht="15.75" customHeight="1" x14ac:dyDescent="0.25">
      <c r="A101" s="1188"/>
      <c r="B101" s="1189"/>
      <c r="C101" s="1189"/>
      <c r="D101" s="1189"/>
      <c r="E101" s="1189"/>
      <c r="F101" s="1189"/>
      <c r="G101" s="1189"/>
      <c r="H101" s="1189"/>
      <c r="I101" s="1190"/>
    </row>
    <row r="102" spans="1:9" s="563" customFormat="1" ht="15.75" customHeight="1" x14ac:dyDescent="0.25">
      <c r="A102" s="1188"/>
      <c r="B102" s="1189"/>
      <c r="C102" s="1189"/>
      <c r="D102" s="1189"/>
      <c r="E102" s="1189"/>
      <c r="F102" s="1189"/>
      <c r="G102" s="1189"/>
      <c r="H102" s="1189"/>
      <c r="I102" s="1190"/>
    </row>
    <row r="103" spans="1:9" s="563" customFormat="1" ht="15.75" customHeight="1" x14ac:dyDescent="0.25">
      <c r="A103" s="1191"/>
      <c r="B103" s="1192"/>
      <c r="C103" s="1192"/>
      <c r="D103" s="1192"/>
      <c r="E103" s="1192"/>
      <c r="F103" s="1192"/>
      <c r="G103" s="1192"/>
      <c r="H103" s="1192"/>
      <c r="I103" s="1193"/>
    </row>
    <row r="104" spans="1:9" s="563" customFormat="1" ht="15.75" x14ac:dyDescent="0.25">
      <c r="A104" s="1169" t="s">
        <v>364</v>
      </c>
      <c r="B104" s="1169"/>
      <c r="C104" s="1169"/>
      <c r="D104" s="1169"/>
      <c r="E104" s="1169"/>
      <c r="F104" s="1169"/>
      <c r="G104" s="1169"/>
      <c r="H104" s="1169"/>
      <c r="I104" s="1169"/>
    </row>
    <row r="105" spans="1:9" s="563" customFormat="1" ht="15.75" x14ac:dyDescent="0.25">
      <c r="A105" s="559" t="s">
        <v>366</v>
      </c>
      <c r="B105" s="559"/>
      <c r="C105" s="559"/>
      <c r="D105" s="559"/>
      <c r="E105" s="559"/>
      <c r="F105" s="559"/>
      <c r="G105" s="559"/>
      <c r="H105" s="559"/>
      <c r="I105" s="559"/>
    </row>
    <row r="106" spans="1:9" s="563" customFormat="1" ht="7.5" customHeight="1" x14ac:dyDescent="0.25">
      <c r="A106" s="570"/>
      <c r="B106" s="570"/>
      <c r="C106" s="570"/>
      <c r="D106" s="569"/>
      <c r="E106" s="570"/>
      <c r="F106" s="570"/>
      <c r="G106" s="570"/>
      <c r="H106" s="570"/>
      <c r="I106" s="570"/>
    </row>
    <row r="107" spans="1:9" s="563" customFormat="1" ht="15.75" x14ac:dyDescent="0.25">
      <c r="A107" s="584" t="s">
        <v>367</v>
      </c>
      <c r="E107" s="554" t="s">
        <v>375</v>
      </c>
      <c r="F107" s="554"/>
      <c r="G107" s="554"/>
      <c r="H107" s="37"/>
      <c r="I107" s="37"/>
    </row>
    <row r="108" spans="1:9" s="563" customFormat="1" x14ac:dyDescent="0.25">
      <c r="B108" s="554" t="s">
        <v>1352</v>
      </c>
      <c r="C108" s="554"/>
      <c r="D108" s="554"/>
      <c r="E108" s="709" t="str">
        <f>"A-B: "</f>
        <v xml:space="preserve">A-B: </v>
      </c>
      <c r="F108" s="562" t="str">
        <f>IF(Unformatted!F160="","N/A", Unformatted!F160 &amp; " " &amp; Unformatted!G160 &amp; IF(Unformatted!H160&gt;=Tolerances!W3," (Open circuit)",""))</f>
        <v>N/A</v>
      </c>
    </row>
    <row r="109" spans="1:9" s="563" customFormat="1" x14ac:dyDescent="0.25">
      <c r="B109" s="709" t="s">
        <v>1478</v>
      </c>
      <c r="C109" s="562" t="str">
        <f>IF(Unformatted!F157="","N/A",Unformatted!F157 &amp; " " &amp; Unformatted!G157 &amp;" @ " &amp;Unformatted!E158&amp;"v")</f>
        <v>N/A</v>
      </c>
      <c r="E109" s="709" t="str">
        <f>"A-C: "</f>
        <v xml:space="preserve">A-C: </v>
      </c>
      <c r="F109" s="562" t="str">
        <f>IF(Unformatted!F161="","N/A", Unformatted!F161 &amp; " " &amp; Unformatted!G161 &amp; IF(Unformatted!H161&gt;=Tolerances!W3," (Open circuit)",""))</f>
        <v>N/A</v>
      </c>
    </row>
    <row r="110" spans="1:9" s="563" customFormat="1" x14ac:dyDescent="0.25">
      <c r="E110" s="709" t="str">
        <f>"B-C: "</f>
        <v xml:space="preserve">B-C: </v>
      </c>
      <c r="F110" s="563" t="str">
        <f>IF(Unformatted!F162="","N/A", Unformatted!F162 &amp; " " &amp; Unformatted!G162 &amp; IF(Unformatted!H162&gt;=Tolerances!W3," (Open circuit)",""))</f>
        <v>N/A</v>
      </c>
    </row>
    <row r="111" spans="1:9" s="563" customFormat="1" ht="15.75" x14ac:dyDescent="0.25">
      <c r="A111" s="1196" t="s">
        <v>379</v>
      </c>
      <c r="B111" s="1196"/>
      <c r="C111" s="1196"/>
      <c r="D111" s="1196"/>
      <c r="E111" s="1196"/>
    </row>
    <row r="112" spans="1:9" s="563" customFormat="1" x14ac:dyDescent="0.25">
      <c r="A112" s="566" t="s">
        <v>1081</v>
      </c>
      <c r="B112" s="412" t="str">
        <f>Unformatted!E164</f>
        <v>N/A</v>
      </c>
      <c r="D112" s="566" t="s">
        <v>908</v>
      </c>
      <c r="E112" s="245" t="str">
        <f>Unformatted!E165</f>
        <v>N/A</v>
      </c>
    </row>
    <row r="113" spans="1:9" s="563" customFormat="1" ht="3.75" customHeight="1" x14ac:dyDescent="0.25">
      <c r="A113" s="566"/>
      <c r="B113" s="412"/>
      <c r="D113" s="566"/>
      <c r="E113" s="412"/>
    </row>
    <row r="114" spans="1:9" s="563" customFormat="1" x14ac:dyDescent="0.25">
      <c r="A114" s="566" t="s">
        <v>407</v>
      </c>
      <c r="B114" s="298" t="str">
        <f>Unformatted!E166</f>
        <v>N/A</v>
      </c>
      <c r="D114" s="566" t="s">
        <v>1407</v>
      </c>
      <c r="E114" s="298" t="str">
        <f>IF(Unformatted!F56,Unformatted!F169,"N/A")</f>
        <v>N/A</v>
      </c>
    </row>
    <row r="115" spans="1:9" s="563" customFormat="1" ht="3.75" customHeight="1" x14ac:dyDescent="0.25">
      <c r="A115" s="566"/>
      <c r="B115" s="412"/>
      <c r="D115" s="566"/>
      <c r="E115" s="412"/>
    </row>
    <row r="116" spans="1:9" s="563" customFormat="1" x14ac:dyDescent="0.25">
      <c r="A116" s="566" t="str">
        <f>Unformatted!F168&amp;"Face Run Out: "</f>
        <v xml:space="preserve">Face Run Out: </v>
      </c>
      <c r="B116" s="298" t="str">
        <f>Unformatted!E167</f>
        <v>N/A</v>
      </c>
      <c r="D116" s="566" t="s">
        <v>1408</v>
      </c>
      <c r="E116" s="298" t="str">
        <f>IF(Unformatted!F56,Unformatted!F170,"N/A")</f>
        <v>N/A</v>
      </c>
    </row>
    <row r="117" spans="1:9" s="563" customFormat="1" ht="3.75" customHeight="1" x14ac:dyDescent="0.25">
      <c r="A117" s="566"/>
      <c r="B117" s="412"/>
      <c r="D117" s="566"/>
      <c r="E117" s="412"/>
    </row>
    <row r="118" spans="1:9" s="563" customFormat="1" x14ac:dyDescent="0.25">
      <c r="A118" s="566" t="s">
        <v>654</v>
      </c>
      <c r="B118" s="298" t="str">
        <f>Unformatted!E168</f>
        <v>N/A</v>
      </c>
      <c r="D118" s="566" t="s">
        <v>1409</v>
      </c>
      <c r="E118" s="298" t="str">
        <f>Unformatted!E171</f>
        <v>N/A</v>
      </c>
    </row>
    <row r="119" spans="1:9" s="563" customFormat="1" ht="7.5" customHeight="1" x14ac:dyDescent="0.25">
      <c r="C119" s="8"/>
    </row>
    <row r="120" spans="1:9" s="563" customFormat="1" ht="15.75" x14ac:dyDescent="0.25">
      <c r="A120" s="559" t="s">
        <v>368</v>
      </c>
      <c r="B120" s="559"/>
      <c r="C120" s="559"/>
      <c r="D120" s="559"/>
      <c r="E120" s="559"/>
      <c r="F120" s="559"/>
      <c r="G120" s="559"/>
      <c r="H120" s="559"/>
      <c r="I120" s="559"/>
    </row>
    <row r="121" spans="1:9" s="563" customFormat="1" ht="7.5" customHeight="1" x14ac:dyDescent="0.25">
      <c r="A121" s="482"/>
      <c r="B121" s="482"/>
      <c r="C121" s="482"/>
      <c r="D121" s="482"/>
      <c r="E121" s="569"/>
      <c r="F121" s="569"/>
      <c r="G121" s="569"/>
      <c r="H121" s="569"/>
      <c r="I121" s="569"/>
    </row>
    <row r="122" spans="1:9" s="563" customFormat="1" x14ac:dyDescent="0.25">
      <c r="B122" s="560" t="s">
        <v>409</v>
      </c>
      <c r="C122" s="574" t="str">
        <f>IF(Unformatted!E176="N/A","N/A",Unformatted!E176 &amp; "V")</f>
        <v>ERRORV</v>
      </c>
      <c r="E122" s="1197" t="s">
        <v>371</v>
      </c>
      <c r="F122" s="1197"/>
      <c r="G122" s="1197"/>
      <c r="H122" s="1197"/>
      <c r="I122" s="1197"/>
    </row>
    <row r="123" spans="1:9" s="563" customFormat="1" x14ac:dyDescent="0.25">
      <c r="B123" s="560" t="str">
        <f>"Nameplate Curr: "</f>
        <v xml:space="preserve">Nameplate Curr: </v>
      </c>
      <c r="C123" s="574" t="str">
        <f>IF(Unformatted!E177="N/A","N/A",Unformatted!E177 &amp; "A")</f>
        <v>ERRORA</v>
      </c>
      <c r="F123" s="578" t="s">
        <v>69</v>
      </c>
      <c r="G123" s="578" t="s">
        <v>370</v>
      </c>
      <c r="H123" s="578" t="s">
        <v>70</v>
      </c>
      <c r="I123" s="247"/>
    </row>
    <row r="124" spans="1:9" s="563" customFormat="1" x14ac:dyDescent="0.25">
      <c r="B124" s="560" t="s">
        <v>1410</v>
      </c>
      <c r="C124" s="563" t="str">
        <f>IF(Unformatted!E182 = "", "N/A","A = " &amp; Unformatted!E182 &amp; "A, B =  " &amp; Unformatted!F182 &amp; "A, C =  " &amp; Unformatted!G182 &amp;"A")</f>
        <v>N/A</v>
      </c>
      <c r="E124" s="560" t="s">
        <v>1413</v>
      </c>
      <c r="F124" s="708" t="str">
        <f>Unformatted!E184</f>
        <v>N/A</v>
      </c>
      <c r="G124" s="708" t="str">
        <f>Unformatted!F184</f>
        <v>N/A</v>
      </c>
      <c r="H124" s="1111" t="str">
        <f>Unformatted!E186</f>
        <v>N/A</v>
      </c>
      <c r="I124" s="247"/>
    </row>
    <row r="125" spans="1:9" s="563" customFormat="1" x14ac:dyDescent="0.25">
      <c r="B125" s="125" t="str">
        <f>IFERROR(IF(AND(Unformatted!E178,Unformatted!K182&lt;=1),"",IF(AND(Unformatted!E182&lt;&gt;0,Unformatted!F182&lt;&gt;0,Unformatted!G182&lt;&gt;0,Unformatted!K182&gt;Tolerances!AC3),"ALERT: Current = "&amp;ROUND(100*Unformatted!K182,1)&amp;"% of nameplate.","")),"")</f>
        <v/>
      </c>
      <c r="E125" s="560" t="s">
        <v>1414</v>
      </c>
      <c r="F125" s="708" t="str">
        <f>Unformatted!E185</f>
        <v>N/A</v>
      </c>
      <c r="G125" s="708" t="str">
        <f>Unformatted!F185</f>
        <v>N/A</v>
      </c>
      <c r="H125" s="1112"/>
      <c r="I125" s="247"/>
    </row>
    <row r="126" spans="1:9" s="563" customFormat="1" x14ac:dyDescent="0.25">
      <c r="B126" s="125" t="str">
        <f>IFERROR(IF(Unformatted!J182&gt;Tolerances!AC2,"Current differential = "&amp;ROUND(100*Unformatted!J182,1)&amp;"%.",""),"")</f>
        <v/>
      </c>
      <c r="F126" s="1194" t="str">
        <f>IF(OR(F124="N/A",H124="N/A",G124="N/A",F125="N/A",G125="N/A"),"",IF(OR(F124&gt;Tolerances!AE2,G124&gt;Tolerances!AE2,F125&gt;Tolerances!AE2,G125&gt;Tolerances!AE2,H124&gt;Tolerances!AE2),"Excessive vibration recorded!",""))</f>
        <v/>
      </c>
      <c r="G126" s="1194"/>
      <c r="H126" s="1194"/>
      <c r="I126" s="247"/>
    </row>
    <row r="127" spans="1:9" s="563" customFormat="1" x14ac:dyDescent="0.25">
      <c r="F127" s="1195"/>
      <c r="G127" s="1195"/>
      <c r="H127" s="1195"/>
      <c r="I127" s="247"/>
    </row>
    <row r="128" spans="1:9" s="563" customFormat="1" x14ac:dyDescent="0.25">
      <c r="B128" s="560" t="s">
        <v>1411</v>
      </c>
      <c r="F128" s="564"/>
      <c r="G128" s="564"/>
      <c r="H128" s="564"/>
      <c r="I128" s="247"/>
    </row>
    <row r="129" spans="1:9" s="563" customFormat="1" x14ac:dyDescent="0.25">
      <c r="B129" s="560" t="s">
        <v>1412</v>
      </c>
      <c r="C129" s="562" t="str">
        <f>IF(Unformatted!E179=TRUE," YES",IF(Unformatted!E176=0,"N/A"," NO"))</f>
        <v xml:space="preserve"> NO</v>
      </c>
      <c r="H129" s="247"/>
      <c r="I129" s="247"/>
    </row>
    <row r="130" spans="1:9" s="563" customFormat="1" ht="7.5" customHeight="1" x14ac:dyDescent="0.25">
      <c r="I130" s="247"/>
    </row>
    <row r="131" spans="1:9" s="563" customFormat="1" ht="15" customHeight="1" x14ac:dyDescent="0.25">
      <c r="A131" s="1125" t="s">
        <v>1439</v>
      </c>
      <c r="B131" s="1126"/>
      <c r="C131" s="1126"/>
      <c r="D131" s="1126"/>
      <c r="E131" s="1126"/>
      <c r="F131" s="1126"/>
      <c r="G131" s="1126"/>
      <c r="H131" s="1126"/>
      <c r="I131" s="1127"/>
    </row>
    <row r="132" spans="1:9" s="563" customFormat="1" x14ac:dyDescent="0.25">
      <c r="A132" s="1142" t="str">
        <f>Unformatted!E172</f>
        <v/>
      </c>
      <c r="B132" s="1143"/>
      <c r="C132" s="1143"/>
      <c r="D132" s="1143"/>
      <c r="E132" s="1143"/>
      <c r="F132" s="1143"/>
      <c r="G132" s="1143"/>
      <c r="H132" s="1143"/>
      <c r="I132" s="1144"/>
    </row>
    <row r="133" spans="1:9" s="563" customFormat="1" x14ac:dyDescent="0.25">
      <c r="A133" s="1145"/>
      <c r="B133" s="1146"/>
      <c r="C133" s="1146"/>
      <c r="D133" s="1146"/>
      <c r="E133" s="1146"/>
      <c r="F133" s="1146"/>
      <c r="G133" s="1146"/>
      <c r="H133" s="1146"/>
      <c r="I133" s="1147"/>
    </row>
    <row r="134" spans="1:9" s="563" customFormat="1" x14ac:dyDescent="0.25">
      <c r="A134" s="1145"/>
      <c r="B134" s="1146"/>
      <c r="C134" s="1146"/>
      <c r="D134" s="1146"/>
      <c r="E134" s="1146"/>
      <c r="F134" s="1146"/>
      <c r="G134" s="1146"/>
      <c r="H134" s="1146"/>
      <c r="I134" s="1147"/>
    </row>
    <row r="135" spans="1:9" s="563" customFormat="1" x14ac:dyDescent="0.25">
      <c r="A135" s="1145"/>
      <c r="B135" s="1146"/>
      <c r="C135" s="1146"/>
      <c r="D135" s="1146"/>
      <c r="E135" s="1146"/>
      <c r="F135" s="1146"/>
      <c r="G135" s="1146"/>
      <c r="H135" s="1146"/>
      <c r="I135" s="1147"/>
    </row>
    <row r="136" spans="1:9" s="563" customFormat="1" x14ac:dyDescent="0.25">
      <c r="A136" s="1145"/>
      <c r="B136" s="1146"/>
      <c r="C136" s="1146"/>
      <c r="D136" s="1146"/>
      <c r="E136" s="1146"/>
      <c r="F136" s="1146"/>
      <c r="G136" s="1146"/>
      <c r="H136" s="1146"/>
      <c r="I136" s="1147"/>
    </row>
    <row r="137" spans="1:9" s="563" customFormat="1" x14ac:dyDescent="0.25">
      <c r="A137" s="1145"/>
      <c r="B137" s="1146"/>
      <c r="C137" s="1146"/>
      <c r="D137" s="1146"/>
      <c r="E137" s="1146"/>
      <c r="F137" s="1146"/>
      <c r="G137" s="1146"/>
      <c r="H137" s="1146"/>
      <c r="I137" s="1147"/>
    </row>
    <row r="138" spans="1:9" s="563" customFormat="1" x14ac:dyDescent="0.25">
      <c r="A138" s="1145"/>
      <c r="B138" s="1146"/>
      <c r="C138" s="1146"/>
      <c r="D138" s="1146"/>
      <c r="E138" s="1146"/>
      <c r="F138" s="1146"/>
      <c r="G138" s="1146"/>
      <c r="H138" s="1146"/>
      <c r="I138" s="1147"/>
    </row>
    <row r="139" spans="1:9" s="563" customFormat="1" x14ac:dyDescent="0.25">
      <c r="A139" s="1145"/>
      <c r="B139" s="1146"/>
      <c r="C139" s="1146"/>
      <c r="D139" s="1146"/>
      <c r="E139" s="1146"/>
      <c r="F139" s="1146"/>
      <c r="G139" s="1146"/>
      <c r="H139" s="1146"/>
      <c r="I139" s="1147"/>
    </row>
    <row r="140" spans="1:9" s="563" customFormat="1" x14ac:dyDescent="0.25">
      <c r="A140" s="1145"/>
      <c r="B140" s="1146"/>
      <c r="C140" s="1146"/>
      <c r="D140" s="1146"/>
      <c r="E140" s="1146"/>
      <c r="F140" s="1146"/>
      <c r="G140" s="1146"/>
      <c r="H140" s="1146"/>
      <c r="I140" s="1147"/>
    </row>
    <row r="141" spans="1:9" s="563" customFormat="1" x14ac:dyDescent="0.25">
      <c r="A141" s="1145"/>
      <c r="B141" s="1146"/>
      <c r="C141" s="1146"/>
      <c r="D141" s="1146"/>
      <c r="E141" s="1146"/>
      <c r="F141" s="1146"/>
      <c r="G141" s="1146"/>
      <c r="H141" s="1146"/>
      <c r="I141" s="1147"/>
    </row>
    <row r="142" spans="1:9" s="563" customFormat="1" x14ac:dyDescent="0.25">
      <c r="A142" s="1145"/>
      <c r="B142" s="1146"/>
      <c r="C142" s="1146"/>
      <c r="D142" s="1146"/>
      <c r="E142" s="1146"/>
      <c r="F142" s="1146"/>
      <c r="G142" s="1146"/>
      <c r="H142" s="1146"/>
      <c r="I142" s="1147"/>
    </row>
    <row r="143" spans="1:9" s="563" customFormat="1" x14ac:dyDescent="0.25">
      <c r="A143" s="1145"/>
      <c r="B143" s="1146"/>
      <c r="C143" s="1146"/>
      <c r="D143" s="1146"/>
      <c r="E143" s="1146"/>
      <c r="F143" s="1146"/>
      <c r="G143" s="1146"/>
      <c r="H143" s="1146"/>
      <c r="I143" s="1147"/>
    </row>
    <row r="144" spans="1:9" s="563" customFormat="1" x14ac:dyDescent="0.25">
      <c r="A144" s="1148"/>
      <c r="B144" s="1149"/>
      <c r="C144" s="1149"/>
      <c r="D144" s="1149"/>
      <c r="E144" s="1149"/>
      <c r="F144" s="1149"/>
      <c r="G144" s="1149"/>
      <c r="H144" s="1149"/>
      <c r="I144" s="1150"/>
    </row>
    <row r="145" spans="1:9" s="563" customFormat="1" ht="15.75" x14ac:dyDescent="0.25">
      <c r="A145" s="1125" t="s">
        <v>1440</v>
      </c>
      <c r="B145" s="1126"/>
      <c r="C145" s="1126"/>
      <c r="D145" s="1126"/>
      <c r="E145" s="1126"/>
      <c r="F145" s="1126"/>
      <c r="G145" s="1126"/>
      <c r="H145" s="1126"/>
      <c r="I145" s="1127"/>
    </row>
    <row r="146" spans="1:9" s="563" customFormat="1" x14ac:dyDescent="0.25">
      <c r="A146" s="1142" t="str">
        <f>Unformatted!E187</f>
        <v/>
      </c>
      <c r="B146" s="1143"/>
      <c r="C146" s="1143"/>
      <c r="D146" s="1143"/>
      <c r="E146" s="1143"/>
      <c r="F146" s="1143"/>
      <c r="G146" s="1143"/>
      <c r="H146" s="1143"/>
      <c r="I146" s="1144"/>
    </row>
    <row r="147" spans="1:9" s="563" customFormat="1" x14ac:dyDescent="0.25">
      <c r="A147" s="1145"/>
      <c r="B147" s="1146"/>
      <c r="C147" s="1146"/>
      <c r="D147" s="1146"/>
      <c r="E147" s="1146"/>
      <c r="F147" s="1146"/>
      <c r="G147" s="1146"/>
      <c r="H147" s="1146"/>
      <c r="I147" s="1147"/>
    </row>
    <row r="148" spans="1:9" s="579" customFormat="1" x14ac:dyDescent="0.25">
      <c r="A148" s="1145"/>
      <c r="B148" s="1146"/>
      <c r="C148" s="1146"/>
      <c r="D148" s="1146"/>
      <c r="E148" s="1146"/>
      <c r="F148" s="1146"/>
      <c r="G148" s="1146"/>
      <c r="H148" s="1146"/>
      <c r="I148" s="1147"/>
    </row>
    <row r="149" spans="1:9" s="579" customFormat="1" x14ac:dyDescent="0.25">
      <c r="A149" s="1145"/>
      <c r="B149" s="1146"/>
      <c r="C149" s="1146"/>
      <c r="D149" s="1146"/>
      <c r="E149" s="1146"/>
      <c r="F149" s="1146"/>
      <c r="G149" s="1146"/>
      <c r="H149" s="1146"/>
      <c r="I149" s="1147"/>
    </row>
    <row r="150" spans="1:9" s="579" customFormat="1" x14ac:dyDescent="0.25">
      <c r="A150" s="1145"/>
      <c r="B150" s="1146"/>
      <c r="C150" s="1146"/>
      <c r="D150" s="1146"/>
      <c r="E150" s="1146"/>
      <c r="F150" s="1146"/>
      <c r="G150" s="1146"/>
      <c r="H150" s="1146"/>
      <c r="I150" s="1147"/>
    </row>
    <row r="151" spans="1:9" s="579" customFormat="1" x14ac:dyDescent="0.25">
      <c r="A151" s="1145"/>
      <c r="B151" s="1146"/>
      <c r="C151" s="1146"/>
      <c r="D151" s="1146"/>
      <c r="E151" s="1146"/>
      <c r="F151" s="1146"/>
      <c r="G151" s="1146"/>
      <c r="H151" s="1146"/>
      <c r="I151" s="1147"/>
    </row>
    <row r="152" spans="1:9" s="579" customFormat="1" x14ac:dyDescent="0.25">
      <c r="A152" s="1145"/>
      <c r="B152" s="1146"/>
      <c r="C152" s="1146"/>
      <c r="D152" s="1146"/>
      <c r="E152" s="1146"/>
      <c r="F152" s="1146"/>
      <c r="G152" s="1146"/>
      <c r="H152" s="1146"/>
      <c r="I152" s="1147"/>
    </row>
    <row r="153" spans="1:9" s="579" customFormat="1" x14ac:dyDescent="0.25">
      <c r="A153" s="1145"/>
      <c r="B153" s="1146"/>
      <c r="C153" s="1146"/>
      <c r="D153" s="1146"/>
      <c r="E153" s="1146"/>
      <c r="F153" s="1146"/>
      <c r="G153" s="1146"/>
      <c r="H153" s="1146"/>
      <c r="I153" s="1147"/>
    </row>
    <row r="154" spans="1:9" s="579" customFormat="1" x14ac:dyDescent="0.25">
      <c r="A154" s="1145"/>
      <c r="B154" s="1146"/>
      <c r="C154" s="1146"/>
      <c r="D154" s="1146"/>
      <c r="E154" s="1146"/>
      <c r="F154" s="1146"/>
      <c r="G154" s="1146"/>
      <c r="H154" s="1146"/>
      <c r="I154" s="1147"/>
    </row>
    <row r="155" spans="1:9" s="579" customFormat="1" x14ac:dyDescent="0.25">
      <c r="A155" s="1145"/>
      <c r="B155" s="1146"/>
      <c r="C155" s="1146"/>
      <c r="D155" s="1146"/>
      <c r="E155" s="1146"/>
      <c r="F155" s="1146"/>
      <c r="G155" s="1146"/>
      <c r="H155" s="1146"/>
      <c r="I155" s="1147"/>
    </row>
    <row r="156" spans="1:9" s="579" customFormat="1" x14ac:dyDescent="0.25">
      <c r="A156" s="1145"/>
      <c r="B156" s="1146"/>
      <c r="C156" s="1146"/>
      <c r="D156" s="1146"/>
      <c r="E156" s="1146"/>
      <c r="F156" s="1146"/>
      <c r="G156" s="1146"/>
      <c r="H156" s="1146"/>
      <c r="I156" s="1147"/>
    </row>
    <row r="157" spans="1:9" s="579" customFormat="1" x14ac:dyDescent="0.25">
      <c r="A157" s="1145"/>
      <c r="B157" s="1146"/>
      <c r="C157" s="1146"/>
      <c r="D157" s="1146"/>
      <c r="E157" s="1146"/>
      <c r="F157" s="1146"/>
      <c r="G157" s="1146"/>
      <c r="H157" s="1146"/>
      <c r="I157" s="1147"/>
    </row>
    <row r="158" spans="1:9" s="579" customFormat="1" x14ac:dyDescent="0.25">
      <c r="A158" s="1145"/>
      <c r="B158" s="1146"/>
      <c r="C158" s="1146"/>
      <c r="D158" s="1146"/>
      <c r="E158" s="1146"/>
      <c r="F158" s="1146"/>
      <c r="G158" s="1146"/>
      <c r="H158" s="1146"/>
      <c r="I158" s="1147"/>
    </row>
    <row r="159" spans="1:9" s="579" customFormat="1" x14ac:dyDescent="0.25">
      <c r="A159" s="1145"/>
      <c r="B159" s="1146"/>
      <c r="C159" s="1146"/>
      <c r="D159" s="1146"/>
      <c r="E159" s="1146"/>
      <c r="F159" s="1146"/>
      <c r="G159" s="1146"/>
      <c r="H159" s="1146"/>
      <c r="I159" s="1147"/>
    </row>
    <row r="160" spans="1:9" s="579" customFormat="1" x14ac:dyDescent="0.25">
      <c r="A160" s="1148"/>
      <c r="B160" s="1149"/>
      <c r="C160" s="1149"/>
      <c r="D160" s="1149"/>
      <c r="E160" s="1149"/>
      <c r="F160" s="1149"/>
      <c r="G160" s="1149"/>
      <c r="H160" s="1149"/>
      <c r="I160" s="1150"/>
    </row>
    <row r="161" spans="1:9" ht="15.75" x14ac:dyDescent="0.25">
      <c r="A161" s="1169" t="s">
        <v>373</v>
      </c>
      <c r="B161" s="1169"/>
      <c r="C161" s="1169"/>
      <c r="D161" s="1169"/>
      <c r="E161" s="1169"/>
      <c r="F161" s="1169"/>
      <c r="G161" s="1169"/>
      <c r="H161" s="1169"/>
      <c r="I161" s="1169"/>
    </row>
    <row r="162" spans="1:9" ht="15.75" x14ac:dyDescent="0.25">
      <c r="A162" s="1205" t="s">
        <v>354</v>
      </c>
      <c r="B162" s="1205"/>
      <c r="C162" s="1205"/>
      <c r="D162" s="1205"/>
      <c r="E162" s="1205"/>
      <c r="F162" s="1205"/>
      <c r="G162" s="559"/>
      <c r="H162" s="559"/>
      <c r="I162" s="559"/>
    </row>
    <row r="163" spans="1:9" ht="7.5" customHeight="1" x14ac:dyDescent="0.25">
      <c r="A163" s="570"/>
      <c r="B163" s="570"/>
      <c r="C163" s="570"/>
      <c r="D163" s="570"/>
      <c r="E163" s="570"/>
      <c r="F163" s="570"/>
      <c r="G163" s="570"/>
      <c r="H163" s="570"/>
      <c r="I163" s="570"/>
    </row>
    <row r="164" spans="1:9" x14ac:dyDescent="0.25">
      <c r="A164" s="560" t="s">
        <v>60</v>
      </c>
      <c r="B164" s="563" t="str">
        <f>Unformatted!E198</f>
        <v>N/A</v>
      </c>
      <c r="C164" s="563"/>
      <c r="D164" s="560" t="s">
        <v>170</v>
      </c>
      <c r="E164" s="563" t="str">
        <f>IF(Unformatted!E196="","N/A",Unformatted!E196)</f>
        <v>N/A</v>
      </c>
      <c r="F164" s="563"/>
      <c r="G164" s="560" t="s">
        <v>531</v>
      </c>
      <c r="H164" s="2" t="str">
        <f>IF(Unformatted!F200=1,"N/A",Unformatted!E200)</f>
        <v>N/A</v>
      </c>
      <c r="I164" s="563"/>
    </row>
    <row r="165" spans="1:9" x14ac:dyDescent="0.25">
      <c r="A165" s="560" t="s">
        <v>65</v>
      </c>
      <c r="B165" s="563" t="str">
        <f>IF(B164="NONE","N/A",Unformatted!E197)</f>
        <v>N/A</v>
      </c>
      <c r="C165" s="563"/>
      <c r="D165" s="560" t="s">
        <v>528</v>
      </c>
      <c r="E165" s="59" t="str">
        <f>Unformatted!E199</f>
        <v>N/A</v>
      </c>
      <c r="F165" s="563"/>
      <c r="G165" s="563"/>
      <c r="H165" s="563"/>
      <c r="I165" s="563"/>
    </row>
    <row r="166" spans="1:9" ht="7.5" customHeight="1" x14ac:dyDescent="0.25">
      <c r="A166" s="560"/>
      <c r="B166" s="563"/>
      <c r="C166" s="563"/>
      <c r="D166" s="560"/>
      <c r="E166" s="563"/>
      <c r="F166" s="563"/>
      <c r="G166" s="563"/>
      <c r="H166" s="563"/>
      <c r="I166" s="563"/>
    </row>
    <row r="167" spans="1:9" ht="15" customHeight="1" x14ac:dyDescent="0.25">
      <c r="A167" s="558" t="s">
        <v>454</v>
      </c>
      <c r="B167" s="566"/>
      <c r="C167" s="2"/>
      <c r="D167" s="566"/>
      <c r="E167" s="558" t="s">
        <v>625</v>
      </c>
      <c r="F167" s="563"/>
      <c r="G167" s="563"/>
      <c r="H167" s="563"/>
      <c r="I167" s="563"/>
    </row>
    <row r="168" spans="1:9" ht="7.5" customHeight="1" x14ac:dyDescent="0.25">
      <c r="A168" s="558"/>
      <c r="B168" s="566"/>
      <c r="C168" s="2"/>
      <c r="D168" s="566"/>
      <c r="E168" s="558"/>
      <c r="F168" s="563"/>
      <c r="G168" s="563"/>
      <c r="H168" s="563"/>
      <c r="I168" s="563"/>
    </row>
    <row r="169" spans="1:9" x14ac:dyDescent="0.25">
      <c r="A169" s="558"/>
      <c r="B169" s="248" t="s">
        <v>574</v>
      </c>
      <c r="C169" s="248" t="s">
        <v>575</v>
      </c>
      <c r="D169" s="560" t="s">
        <v>621</v>
      </c>
      <c r="E169" s="249" t="str">
        <f>Unformatted!E225</f>
        <v>N/A</v>
      </c>
      <c r="F169" s="1206" t="s">
        <v>589</v>
      </c>
      <c r="G169" s="1207"/>
      <c r="H169" s="1151" t="str">
        <f>IF(Unformatted!E233=0,"N/A",Unformatted!E233)</f>
        <v>N/A</v>
      </c>
      <c r="I169" s="1152"/>
    </row>
    <row r="170" spans="1:9" x14ac:dyDescent="0.25">
      <c r="A170" s="560" t="s">
        <v>285</v>
      </c>
      <c r="B170" s="245" t="str">
        <f>Unformatted!F216</f>
        <v>N/A</v>
      </c>
      <c r="C170" s="245" t="str">
        <f>Unformatted!I216</f>
        <v>N/A</v>
      </c>
      <c r="D170" s="560" t="s">
        <v>352</v>
      </c>
      <c r="E170" s="249" t="str">
        <f>Unformatted!E226</f>
        <v>N/A</v>
      </c>
      <c r="F170" s="1174" t="s">
        <v>617</v>
      </c>
      <c r="G170" s="1175"/>
      <c r="H170" s="1173" t="str">
        <f>IFERROR(IF(H169="","",ROUND(Unformatted!E623,2)&amp;" Gm. In.*"),"N/A")</f>
        <v>N/A</v>
      </c>
      <c r="I170" s="1173"/>
    </row>
    <row r="171" spans="1:9" ht="15" customHeight="1" x14ac:dyDescent="0.25">
      <c r="A171" s="560" t="s">
        <v>286</v>
      </c>
      <c r="B171" s="245" t="str">
        <f>Unformatted!F217</f>
        <v>N/A</v>
      </c>
      <c r="C171" s="245" t="str">
        <f>Unformatted!I217</f>
        <v>N/A</v>
      </c>
      <c r="D171" s="563"/>
      <c r="E171" s="563"/>
      <c r="F171" s="563"/>
      <c r="G171" s="196" t="str">
        <f>IF(H169="","","* "&amp;Unformatted!G626&amp;" method")</f>
        <v>* 2W method</v>
      </c>
      <c r="H171" s="563"/>
      <c r="I171" s="563"/>
    </row>
    <row r="172" spans="1:9" ht="7.5" customHeight="1" x14ac:dyDescent="0.25">
      <c r="A172" s="563"/>
      <c r="B172" s="566"/>
      <c r="C172" s="2"/>
      <c r="D172" s="566"/>
      <c r="E172" s="563"/>
      <c r="F172" s="563"/>
      <c r="G172" s="563"/>
      <c r="H172" s="182"/>
      <c r="I172" s="563"/>
    </row>
    <row r="173" spans="1:9" ht="15" customHeight="1" x14ac:dyDescent="0.25">
      <c r="A173" s="250" t="s">
        <v>403</v>
      </c>
      <c r="B173" s="563"/>
      <c r="C173" s="563"/>
      <c r="D173" s="563"/>
      <c r="E173" s="563"/>
      <c r="F173" s="251" t="s">
        <v>160</v>
      </c>
      <c r="G173" s="563"/>
      <c r="H173" s="557"/>
      <c r="I173" s="557"/>
    </row>
    <row r="174" spans="1:9" ht="15" customHeight="1" x14ac:dyDescent="0.25">
      <c r="A174" s="252" t="s">
        <v>399</v>
      </c>
      <c r="B174" s="1167" t="s">
        <v>397</v>
      </c>
      <c r="C174" s="1168"/>
      <c r="D174" s="1167" t="s">
        <v>338</v>
      </c>
      <c r="E174" s="1168"/>
      <c r="F174" s="560" t="s">
        <v>1084</v>
      </c>
      <c r="G174" s="1166" t="str">
        <f>IF(Unformatted!L212=0,"N/A",Unformatted!M212&amp;IF(COUNTIF(Unformatted!F212:K212,TRUE)," - ","")&amp;IF(Unformatted!N212&lt;&gt;"",Unformatted!N212,"")&amp;IF(Unformatted!O212&lt;&gt;"",Unformatted!O212,"")&amp;IF(Unformatted!P212&lt;&gt;"",Unformatted!P212,"")&amp;IF(Unformatted!Q212&lt;&gt;"",Unformatted!Q212,"")&amp;IF(Unformatted!R212&lt;&gt;"",Unformatted!R212,"")&amp;IF(Unformatted!S212&lt;&gt;"",Unformatted!S212,""))</f>
        <v>N/A</v>
      </c>
      <c r="H174" s="1166"/>
      <c r="I174" s="1166"/>
    </row>
    <row r="175" spans="1:9" ht="15" customHeight="1" x14ac:dyDescent="0.25">
      <c r="A175" s="571" t="str">
        <f>IF(Unformatted!E202=0,"N/A",Unformatted!E202)</f>
        <v>N/A</v>
      </c>
      <c r="B175" s="561" t="s">
        <v>221</v>
      </c>
      <c r="C175" s="561" t="s">
        <v>222</v>
      </c>
      <c r="D175" s="561" t="s">
        <v>221</v>
      </c>
      <c r="E175" s="561" t="s">
        <v>222</v>
      </c>
      <c r="F175" s="563"/>
      <c r="G175" s="1166"/>
      <c r="H175" s="1166"/>
      <c r="I175" s="1166"/>
    </row>
    <row r="176" spans="1:9" x14ac:dyDescent="0.25">
      <c r="A176" s="560" t="s">
        <v>341</v>
      </c>
      <c r="B176" s="249" t="str">
        <f>Unformatted!G206</f>
        <v>N/A</v>
      </c>
      <c r="C176" s="249" t="str">
        <f>Unformatted!H206</f>
        <v>N/A</v>
      </c>
      <c r="D176" s="249" t="str">
        <f>Unformatted!I206</f>
        <v>N/A</v>
      </c>
      <c r="E176" s="249" t="str">
        <f>Unformatted!J206</f>
        <v>N/A</v>
      </c>
      <c r="F176" s="563"/>
      <c r="G176" s="1165" t="str">
        <f>IFERROR(IF(OR(Unformatted!H206="",Unformatted!G206=""),"",IF(ABS(Unformatted!H206-Unformatted!G206)&gt;0.0004,"Journ. out of round by "&amp;FIXED(ABS(Unformatted!H206-Unformatted!G206),4),"")),"")</f>
        <v/>
      </c>
      <c r="H176" s="1165"/>
      <c r="I176" s="1165"/>
    </row>
    <row r="177" spans="1:9" ht="15" customHeight="1" x14ac:dyDescent="0.25">
      <c r="A177" s="560" t="s">
        <v>380</v>
      </c>
      <c r="B177" s="249" t="str">
        <f>Unformatted!G207</f>
        <v/>
      </c>
      <c r="C177" s="249" t="str">
        <f>Unformatted!H207</f>
        <v/>
      </c>
      <c r="D177" s="249" t="str">
        <f>Unformatted!I207</f>
        <v/>
      </c>
      <c r="E177" s="249" t="str">
        <f>Unformatted!J207</f>
        <v/>
      </c>
      <c r="F177" s="560" t="s">
        <v>1082</v>
      </c>
      <c r="G177" s="1166" t="str">
        <f>IF(Unformatted!L213=0,"N/A",Unformatted!M213&amp;IF(COUNTIF(Unformatted!F213:K213,TRUE)," - ","")&amp;IF(Unformatted!N213&lt;&gt;"",Unformatted!N213,"")&amp;IF(Unformatted!O213&lt;&gt;"",Unformatted!O213,"")&amp;IF(Unformatted!P213&lt;&gt;"",Unformatted!P213,"")&amp;IF(Unformatted!Q213&lt;&gt;"",Unformatted!Q213,"")&amp;IF(Unformatted!R213&lt;&gt;"",Unformatted!R213,"")&amp;IF(Unformatted!S213&lt;&gt;"",Unformatted!S213,""))</f>
        <v>N/A</v>
      </c>
      <c r="H177" s="1166"/>
      <c r="I177" s="1166"/>
    </row>
    <row r="178" spans="1:9" ht="15" customHeight="1" x14ac:dyDescent="0.25">
      <c r="A178" s="560"/>
      <c r="B178" s="101"/>
      <c r="C178" s="101"/>
      <c r="D178" s="101"/>
      <c r="E178" s="101"/>
      <c r="F178" s="253"/>
      <c r="G178" s="1166"/>
      <c r="H178" s="1166"/>
      <c r="I178" s="1166"/>
    </row>
    <row r="179" spans="1:9" ht="15" customHeight="1" x14ac:dyDescent="0.25">
      <c r="A179" s="560"/>
      <c r="B179" s="563"/>
      <c r="C179" s="563"/>
      <c r="D179" s="563"/>
      <c r="E179" s="563"/>
      <c r="F179" s="563"/>
      <c r="G179" s="1165" t="str">
        <f>IFERROR(IF(OR(Unformatted!I206="",Unformatted!J206=""),"",IF(ABS(Unformatted!J206-Unformatted!I206)&gt;0.0004,"Hous. out of round by "&amp;FIXED(ABS(Unformatted!J206-Unformatted!I206),4),"")),"")</f>
        <v/>
      </c>
      <c r="H179" s="1165"/>
      <c r="I179" s="1165"/>
    </row>
    <row r="180" spans="1:9" ht="11.25" customHeight="1" x14ac:dyDescent="0.25">
      <c r="A180" s="560"/>
      <c r="B180" s="563"/>
      <c r="C180" s="563"/>
      <c r="D180" s="563"/>
      <c r="E180" s="563"/>
      <c r="F180" s="251" t="s">
        <v>160</v>
      </c>
      <c r="G180" s="254"/>
      <c r="H180" s="254"/>
      <c r="I180" s="254"/>
    </row>
    <row r="181" spans="1:9" ht="15" customHeight="1" x14ac:dyDescent="0.25">
      <c r="A181" s="252" t="s">
        <v>400</v>
      </c>
      <c r="B181" s="1167" t="s">
        <v>398</v>
      </c>
      <c r="C181" s="1168"/>
      <c r="D181" s="1167" t="s">
        <v>393</v>
      </c>
      <c r="E181" s="1168"/>
      <c r="F181" s="560" t="s">
        <v>1085</v>
      </c>
      <c r="G181" s="1166" t="str">
        <f>IF(Unformatted!L214=0,"N/A",Unformatted!M214&amp;IF(COUNTIF(Unformatted!F214:K214,TRUE)," - ","")&amp;IF(Unformatted!N214&lt;&gt;"",Unformatted!N214,"")&amp;IF(Unformatted!O214&lt;&gt;"",Unformatted!O214,"")&amp;IF(Unformatted!P214&lt;&gt;"",Unformatted!P214,"")&amp;IF(Unformatted!Q214&lt;&gt;"",Unformatted!Q214,"")&amp;IF(Unformatted!R214&lt;&gt;"",Unformatted!R214,"")&amp;IF(Unformatted!S214&lt;&gt;"",Unformatted!S214,""))</f>
        <v>N/A</v>
      </c>
      <c r="H181" s="1166"/>
      <c r="I181" s="1166"/>
    </row>
    <row r="182" spans="1:9" x14ac:dyDescent="0.25">
      <c r="A182" s="571" t="str">
        <f>IF(Unformatted!G202=0,"N/A",Unformatted!G202)</f>
        <v>N/A</v>
      </c>
      <c r="B182" s="561" t="s">
        <v>221</v>
      </c>
      <c r="C182" s="561" t="s">
        <v>222</v>
      </c>
      <c r="D182" s="561" t="s">
        <v>221</v>
      </c>
      <c r="E182" s="561" t="s">
        <v>222</v>
      </c>
      <c r="F182" s="563"/>
      <c r="G182" s="1166"/>
      <c r="H182" s="1166"/>
      <c r="I182" s="1166"/>
    </row>
    <row r="183" spans="1:9" x14ac:dyDescent="0.25">
      <c r="A183" s="560" t="s">
        <v>341</v>
      </c>
      <c r="B183" s="249" t="str">
        <f>Unformatted!G209</f>
        <v>N/A</v>
      </c>
      <c r="C183" s="249" t="str">
        <f>Unformatted!H209</f>
        <v>N/A</v>
      </c>
      <c r="D183" s="249" t="str">
        <f>Unformatted!I209</f>
        <v>N/A</v>
      </c>
      <c r="E183" s="249" t="str">
        <f>Unformatted!J209</f>
        <v>N/A</v>
      </c>
      <c r="F183" s="563"/>
      <c r="G183" s="1165" t="str">
        <f>IFERROR(IF(OR(Unformatted!G209="",Unformatted!H209=""),"",IF(ABS(Unformatted!H209-Unformatted!G209)&gt;0.0004,"Journ. out of round by "&amp;FIXED(ABS(Unformatted!H209-Unformatted!G209),4),"")),"")</f>
        <v/>
      </c>
      <c r="H183" s="1165"/>
      <c r="I183" s="1165"/>
    </row>
    <row r="184" spans="1:9" x14ac:dyDescent="0.25">
      <c r="A184" s="560" t="s">
        <v>380</v>
      </c>
      <c r="B184" s="249" t="str">
        <f>Unformatted!G210</f>
        <v/>
      </c>
      <c r="C184" s="249" t="str">
        <f>Unformatted!H210</f>
        <v/>
      </c>
      <c r="D184" s="249" t="str">
        <f>Unformatted!I210</f>
        <v/>
      </c>
      <c r="E184" s="249" t="str">
        <f>Unformatted!J210</f>
        <v/>
      </c>
      <c r="F184" s="554" t="s">
        <v>1083</v>
      </c>
      <c r="G184" s="1166" t="str">
        <f>IF(Unformatted!L215=0,"N/A",Unformatted!M215&amp;IF(COUNTIF(Unformatted!F215:K215,TRUE)," - ","")&amp;IF(Unformatted!N215&lt;&gt;"",Unformatted!N215,"")&amp;IF(Unformatted!O215&lt;&gt;"",Unformatted!O215,"")&amp;IF(Unformatted!P215&lt;&gt;"",Unformatted!P215,"")&amp;IF(Unformatted!Q215&lt;&gt;"",Unformatted!Q215,"")&amp;IF(Unformatted!R215&lt;&gt;"",Unformatted!R215,"")&amp;IF(Unformatted!S215&lt;&gt;"",Unformatted!S215,""))</f>
        <v>N/A</v>
      </c>
      <c r="H184" s="1166"/>
      <c r="I184" s="1166"/>
    </row>
    <row r="185" spans="1:9" x14ac:dyDescent="0.25">
      <c r="A185" s="563"/>
      <c r="B185" s="563"/>
      <c r="C185" s="563"/>
      <c r="D185" s="563"/>
      <c r="E185" s="563"/>
      <c r="F185" s="563"/>
      <c r="G185" s="1166"/>
      <c r="H185" s="1166"/>
      <c r="I185" s="1166"/>
    </row>
    <row r="186" spans="1:9" ht="15" customHeight="1" x14ac:dyDescent="0.25">
      <c r="A186" s="560"/>
      <c r="B186" s="563"/>
      <c r="C186" s="563"/>
      <c r="D186" s="563"/>
      <c r="E186" s="563"/>
      <c r="F186" s="563"/>
      <c r="G186" s="1170" t="str">
        <f>IFERROR(IF(OR(Unformatted!I209="",Unformatted!J209=""),"",IF(ABS(Unformatted!J209-Unformatted!I209)&gt;0.0004,"Hous. Out of Round by "&amp;ROUND(ABS(Unformatted!J209-Unformatted!I209),4),"")),"")</f>
        <v/>
      </c>
      <c r="H186" s="1170"/>
      <c r="I186" s="1170"/>
    </row>
    <row r="187" spans="1:9" x14ac:dyDescent="0.25">
      <c r="A187" s="1171" t="s">
        <v>614</v>
      </c>
      <c r="B187" s="1171"/>
      <c r="C187" s="1171"/>
      <c r="F187" s="579"/>
      <c r="G187" s="577"/>
      <c r="H187" s="577"/>
      <c r="I187" s="577"/>
    </row>
    <row r="188" spans="1:9" x14ac:dyDescent="0.25">
      <c r="A188" s="36" t="s">
        <v>352</v>
      </c>
      <c r="B188" t="str">
        <f>IFERROR(IF(Unformatted!E228="","N/A","1st = " &amp; FIXED(Unformatted!E228,4) &amp; ", 2nd = " &amp; FIXED(Unformatted!F228,4) &amp; ", 3rd = " &amp;FIXED(Unformatted!G228,4) &amp; " / Avg. = " &amp; FIXED(Unformatted!H228,4)),"N/A")</f>
        <v>N/A</v>
      </c>
      <c r="C188" s="118"/>
      <c r="F188" s="1172" t="str">
        <f>"Shaft Ext. Condition:" &amp; " " &amp;Unformatted!E232</f>
        <v xml:space="preserve">Shaft Ext. Condition: </v>
      </c>
      <c r="G188" s="1172"/>
      <c r="H188" s="1172"/>
      <c r="I188" s="1172"/>
    </row>
    <row r="189" spans="1:9" ht="15" customHeight="1" x14ac:dyDescent="0.25">
      <c r="A189" s="36" t="s">
        <v>351</v>
      </c>
      <c r="B189" t="str">
        <f>IFERROR(IF(Unformatted!E229="","N/A","1st = " &amp; FIXED(Unformatted!F229,4) &amp; ", 2nd = " &amp; FIXED(Unformatted!G229,4) &amp; ", 3rd = " &amp;FIXED(Unformatted!H229,4) &amp; " / Avg. = " &amp; FIXED(Unformatted!H229,4)),"N/A")</f>
        <v>N/A</v>
      </c>
      <c r="C189" s="118"/>
      <c r="F189" s="579"/>
      <c r="G189" s="579"/>
      <c r="H189" s="579"/>
      <c r="I189" s="24"/>
    </row>
    <row r="190" spans="1:9" x14ac:dyDescent="0.25">
      <c r="A190" s="36" t="s">
        <v>402</v>
      </c>
      <c r="B190" s="10" t="str">
        <f>IFERROR(IF(Unformatted!E229="","N/A", FIXED(Unformatted!I228,4) &amp;" in. " &amp; Unformatted!I229 ),"N/A")</f>
        <v>N/A</v>
      </c>
      <c r="F190" s="579"/>
      <c r="G190" s="579"/>
      <c r="H190" s="579"/>
      <c r="I190" s="24"/>
    </row>
    <row r="191" spans="1:9" x14ac:dyDescent="0.25">
      <c r="B191" s="43" t="str">
        <f>IFERROR(IF(Unformatted!L228&gt;0.0005,"ALERT: Shaft Ext Out of Round by "&amp;FIXED(Unformatted!L228,4),""),"")</f>
        <v/>
      </c>
      <c r="E191" s="254"/>
      <c r="F191" s="254"/>
      <c r="G191" s="254"/>
      <c r="I191" s="24"/>
    </row>
    <row r="192" spans="1:9" x14ac:dyDescent="0.25">
      <c r="B192" s="43" t="str">
        <f>IFERROR(IF(Unformatted!L229&gt;0.0005,"ALERT: Coupling Bore Out of Round by "&amp;FIXED(Unformatted!L229,4),""),"")</f>
        <v/>
      </c>
      <c r="I192" s="24"/>
    </row>
    <row r="193" spans="1:9" ht="15" customHeight="1" x14ac:dyDescent="0.25">
      <c r="A193" s="243" t="s">
        <v>622</v>
      </c>
    </row>
    <row r="194" spans="1:9" x14ac:dyDescent="0.25">
      <c r="B194" s="196" t="s">
        <v>623</v>
      </c>
    </row>
    <row r="195" spans="1:9" ht="15" customHeight="1" x14ac:dyDescent="0.25">
      <c r="B195" s="255" t="s">
        <v>537</v>
      </c>
      <c r="C195" s="249" t="str">
        <f>Unformatted!E223</f>
        <v>N/A</v>
      </c>
      <c r="D195" s="701" t="s">
        <v>517</v>
      </c>
    </row>
    <row r="196" spans="1:9" x14ac:dyDescent="0.25">
      <c r="B196" s="36" t="s">
        <v>534</v>
      </c>
      <c r="C196" s="249" t="str">
        <f>Unformatted!E219</f>
        <v>N/A</v>
      </c>
      <c r="D196" s="249" t="str">
        <f>Unformatted!F219</f>
        <v>N/A</v>
      </c>
    </row>
    <row r="197" spans="1:9" x14ac:dyDescent="0.25">
      <c r="B197" s="36" t="s">
        <v>535</v>
      </c>
      <c r="C197" s="249" t="str">
        <f>Unformatted!E220</f>
        <v>N/A</v>
      </c>
      <c r="D197" s="43" t="str">
        <f>IF(Unformatted!$F$219&lt;0.001,"   WARNING: BEARING NOT CAPTURED","")</f>
        <v/>
      </c>
    </row>
    <row r="198" spans="1:9" x14ac:dyDescent="0.25">
      <c r="B198" s="36" t="s">
        <v>536</v>
      </c>
      <c r="C198" s="249" t="str">
        <f>Unformatted!G221</f>
        <v>N/A</v>
      </c>
    </row>
    <row r="199" spans="1:9" ht="7.5" customHeight="1" x14ac:dyDescent="0.25"/>
    <row r="200" spans="1:9" s="579" customFormat="1" ht="15.75" customHeight="1" x14ac:dyDescent="0.25">
      <c r="A200" s="1126" t="s">
        <v>1353</v>
      </c>
      <c r="B200" s="1126"/>
      <c r="C200" s="1126"/>
      <c r="D200" s="1126"/>
      <c r="E200" s="1126"/>
      <c r="F200" s="1126"/>
      <c r="G200" s="1126"/>
      <c r="H200" s="1126"/>
      <c r="I200" s="1126"/>
    </row>
    <row r="201" spans="1:9" s="579" customFormat="1" ht="15" customHeight="1" x14ac:dyDescent="0.25">
      <c r="A201" s="1156" t="str">
        <f>Unformatted!E234</f>
        <v/>
      </c>
      <c r="B201" s="1157"/>
      <c r="C201" s="1157"/>
      <c r="D201" s="1157"/>
      <c r="E201" s="1157"/>
      <c r="F201" s="1157"/>
      <c r="G201" s="1157"/>
      <c r="H201" s="1157"/>
      <c r="I201" s="1158"/>
    </row>
    <row r="202" spans="1:9" s="579" customFormat="1" ht="15" customHeight="1" x14ac:dyDescent="0.25">
      <c r="A202" s="1159"/>
      <c r="B202" s="1160"/>
      <c r="C202" s="1160"/>
      <c r="D202" s="1160"/>
      <c r="E202" s="1160"/>
      <c r="F202" s="1160"/>
      <c r="G202" s="1160"/>
      <c r="H202" s="1160"/>
      <c r="I202" s="1161"/>
    </row>
    <row r="203" spans="1:9" s="579" customFormat="1" ht="15" customHeight="1" x14ac:dyDescent="0.25">
      <c r="A203" s="1159"/>
      <c r="B203" s="1160"/>
      <c r="C203" s="1160"/>
      <c r="D203" s="1160"/>
      <c r="E203" s="1160"/>
      <c r="F203" s="1160"/>
      <c r="G203" s="1160"/>
      <c r="H203" s="1160"/>
      <c r="I203" s="1161"/>
    </row>
    <row r="204" spans="1:9" s="579" customFormat="1" ht="15" customHeight="1" x14ac:dyDescent="0.25">
      <c r="A204" s="1159"/>
      <c r="B204" s="1160"/>
      <c r="C204" s="1160"/>
      <c r="D204" s="1160"/>
      <c r="E204" s="1160"/>
      <c r="F204" s="1160"/>
      <c r="G204" s="1160"/>
      <c r="H204" s="1160"/>
      <c r="I204" s="1161"/>
    </row>
    <row r="205" spans="1:9" s="579" customFormat="1" ht="15" customHeight="1" x14ac:dyDescent="0.25">
      <c r="A205" s="1159"/>
      <c r="B205" s="1160"/>
      <c r="C205" s="1160"/>
      <c r="D205" s="1160"/>
      <c r="E205" s="1160"/>
      <c r="F205" s="1160"/>
      <c r="G205" s="1160"/>
      <c r="H205" s="1160"/>
      <c r="I205" s="1161"/>
    </row>
    <row r="206" spans="1:9" s="579" customFormat="1" ht="15" customHeight="1" x14ac:dyDescent="0.25">
      <c r="A206" s="1159"/>
      <c r="B206" s="1160"/>
      <c r="C206" s="1160"/>
      <c r="D206" s="1160"/>
      <c r="E206" s="1160"/>
      <c r="F206" s="1160"/>
      <c r="G206" s="1160"/>
      <c r="H206" s="1160"/>
      <c r="I206" s="1161"/>
    </row>
    <row r="207" spans="1:9" s="579" customFormat="1" ht="15" customHeight="1" x14ac:dyDescent="0.25">
      <c r="A207" s="1159"/>
      <c r="B207" s="1160"/>
      <c r="C207" s="1160"/>
      <c r="D207" s="1160"/>
      <c r="E207" s="1160"/>
      <c r="F207" s="1160"/>
      <c r="G207" s="1160"/>
      <c r="H207" s="1160"/>
      <c r="I207" s="1161"/>
    </row>
    <row r="208" spans="1:9" s="579" customFormat="1" ht="15" customHeight="1" x14ac:dyDescent="0.25">
      <c r="A208" s="1159"/>
      <c r="B208" s="1160"/>
      <c r="C208" s="1160"/>
      <c r="D208" s="1160"/>
      <c r="E208" s="1160"/>
      <c r="F208" s="1160"/>
      <c r="G208" s="1160"/>
      <c r="H208" s="1160"/>
      <c r="I208" s="1161"/>
    </row>
    <row r="209" spans="1:18" s="579" customFormat="1" ht="15" customHeight="1" x14ac:dyDescent="0.25">
      <c r="A209" s="1159"/>
      <c r="B209" s="1160"/>
      <c r="C209" s="1160"/>
      <c r="D209" s="1160"/>
      <c r="E209" s="1160"/>
      <c r="F209" s="1160"/>
      <c r="G209" s="1160"/>
      <c r="H209" s="1160"/>
      <c r="I209" s="1161"/>
    </row>
    <row r="210" spans="1:18" s="579" customFormat="1" ht="15" customHeight="1" x14ac:dyDescent="0.25">
      <c r="A210" s="1159"/>
      <c r="B210" s="1160"/>
      <c r="C210" s="1160"/>
      <c r="D210" s="1160"/>
      <c r="E210" s="1160"/>
      <c r="F210" s="1160"/>
      <c r="G210" s="1160"/>
      <c r="H210" s="1160"/>
      <c r="I210" s="1161"/>
    </row>
    <row r="211" spans="1:18" s="579" customFormat="1" ht="15" customHeight="1" x14ac:dyDescent="0.25">
      <c r="A211" s="1159"/>
      <c r="B211" s="1160"/>
      <c r="C211" s="1160"/>
      <c r="D211" s="1160"/>
      <c r="E211" s="1160"/>
      <c r="F211" s="1160"/>
      <c r="G211" s="1160"/>
      <c r="H211" s="1160"/>
      <c r="I211" s="1161"/>
    </row>
    <row r="212" spans="1:18" s="579" customFormat="1" ht="15" customHeight="1" x14ac:dyDescent="0.25">
      <c r="A212" s="1159"/>
      <c r="B212" s="1160"/>
      <c r="C212" s="1160"/>
      <c r="D212" s="1160"/>
      <c r="E212" s="1160"/>
      <c r="F212" s="1160"/>
      <c r="G212" s="1160"/>
      <c r="H212" s="1160"/>
      <c r="I212" s="1161"/>
    </row>
    <row r="213" spans="1:18" s="579" customFormat="1" ht="15" customHeight="1" x14ac:dyDescent="0.25">
      <c r="A213" s="1159"/>
      <c r="B213" s="1160"/>
      <c r="C213" s="1160"/>
      <c r="D213" s="1160"/>
      <c r="E213" s="1160"/>
      <c r="F213" s="1160"/>
      <c r="G213" s="1160"/>
      <c r="H213" s="1160"/>
      <c r="I213" s="1161"/>
    </row>
    <row r="214" spans="1:18" s="579" customFormat="1" ht="15" customHeight="1" x14ac:dyDescent="0.25">
      <c r="A214" s="1159"/>
      <c r="B214" s="1160"/>
      <c r="C214" s="1160"/>
      <c r="D214" s="1160"/>
      <c r="E214" s="1160"/>
      <c r="F214" s="1160"/>
      <c r="G214" s="1160"/>
      <c r="H214" s="1160"/>
      <c r="I214" s="1161"/>
    </row>
    <row r="215" spans="1:18" s="579" customFormat="1" ht="15" customHeight="1" x14ac:dyDescent="0.25">
      <c r="A215" s="1162"/>
      <c r="B215" s="1163"/>
      <c r="C215" s="1163"/>
      <c r="D215" s="1163"/>
      <c r="E215" s="1163"/>
      <c r="F215" s="1163"/>
      <c r="G215" s="1163"/>
      <c r="H215" s="1163"/>
      <c r="I215" s="1164"/>
    </row>
    <row r="216" spans="1:18" ht="15.75" customHeight="1" x14ac:dyDescent="0.25">
      <c r="A216" s="1169" t="s">
        <v>1417</v>
      </c>
      <c r="B216" s="1169"/>
      <c r="C216" s="1169"/>
      <c r="D216" s="1169"/>
      <c r="E216" s="1169"/>
      <c r="F216" s="1169"/>
      <c r="G216" s="1169"/>
      <c r="H216" s="1169"/>
      <c r="I216" s="1169"/>
    </row>
    <row r="217" spans="1:18" ht="7.5" customHeight="1" x14ac:dyDescent="0.25">
      <c r="D217" s="396"/>
      <c r="E217" s="396"/>
      <c r="F217" s="396"/>
      <c r="G217" s="396"/>
      <c r="H217" s="396"/>
      <c r="I217" s="396"/>
    </row>
    <row r="218" spans="1:18" x14ac:dyDescent="0.25">
      <c r="A218" s="601" t="s">
        <v>1214</v>
      </c>
      <c r="B218" s="597" t="str">
        <f>Unformatted!E240</f>
        <v>N/A</v>
      </c>
      <c r="C218" s="592"/>
      <c r="D218" s="596"/>
      <c r="E218" s="601" t="s">
        <v>1214</v>
      </c>
      <c r="F218" s="597" t="str">
        <f>Unformatted!E244</f>
        <v>N/A</v>
      </c>
      <c r="G218" s="592"/>
      <c r="H218" s="596"/>
    </row>
    <row r="219" spans="1:18" s="602" customFormat="1" x14ac:dyDescent="0.25">
      <c r="A219" s="601" t="s">
        <v>1357</v>
      </c>
      <c r="B219" s="298" t="str">
        <f>Unformatted!E241</f>
        <v>N/A</v>
      </c>
      <c r="C219" s="601" t="s">
        <v>1196</v>
      </c>
      <c r="D219" s="602" t="str">
        <f>Unformatted!E243</f>
        <v>N/A</v>
      </c>
      <c r="E219" s="601" t="s">
        <v>1357</v>
      </c>
      <c r="F219" s="298" t="str">
        <f>Unformatted!E245</f>
        <v>N/A</v>
      </c>
      <c r="G219" s="709" t="s">
        <v>1196</v>
      </c>
      <c r="H219" s="602" t="str">
        <f>Unformatted!E247</f>
        <v>N/A</v>
      </c>
    </row>
    <row r="220" spans="1:18" x14ac:dyDescent="0.25">
      <c r="A220" s="601" t="s">
        <v>1358</v>
      </c>
      <c r="B220" s="298" t="str">
        <f>Unformatted!E242</f>
        <v>N/A</v>
      </c>
      <c r="D220" s="596"/>
      <c r="E220" s="601" t="s">
        <v>1358</v>
      </c>
      <c r="F220" s="298" t="str">
        <f>Unformatted!E246</f>
        <v>N/A</v>
      </c>
      <c r="G220" s="602"/>
      <c r="H220" s="596"/>
    </row>
    <row r="221" spans="1:18" ht="6.75" customHeight="1" x14ac:dyDescent="0.25"/>
    <row r="222" spans="1:18" x14ac:dyDescent="0.25">
      <c r="A222" s="601" t="s">
        <v>1214</v>
      </c>
      <c r="B222" s="597" t="str">
        <f>Unformatted!E248</f>
        <v>N/A</v>
      </c>
      <c r="C222" s="592"/>
      <c r="D222" s="596"/>
      <c r="E222" s="601" t="s">
        <v>1214</v>
      </c>
      <c r="F222" s="597" t="str">
        <f>Unformatted!E252</f>
        <v>N/A</v>
      </c>
      <c r="G222" s="592"/>
      <c r="H222" s="596"/>
      <c r="O222" s="396"/>
    </row>
    <row r="223" spans="1:18" x14ac:dyDescent="0.25">
      <c r="A223" s="601" t="s">
        <v>1357</v>
      </c>
      <c r="B223" s="298" t="str">
        <f>Unformatted!E249</f>
        <v>N/A</v>
      </c>
      <c r="C223" s="709" t="s">
        <v>1196</v>
      </c>
      <c r="D223" s="602" t="str">
        <f>Unformatted!E251</f>
        <v>N/A</v>
      </c>
      <c r="E223" s="601" t="s">
        <v>1357</v>
      </c>
      <c r="F223" s="298" t="str">
        <f>Unformatted!E253</f>
        <v>N/A</v>
      </c>
      <c r="G223" s="709" t="s">
        <v>1196</v>
      </c>
      <c r="H223" s="660" t="str">
        <f>Unformatted!E255</f>
        <v>N/A</v>
      </c>
      <c r="O223" s="396"/>
    </row>
    <row r="224" spans="1:18" x14ac:dyDescent="0.25">
      <c r="A224" s="601" t="s">
        <v>1358</v>
      </c>
      <c r="B224" s="298" t="str">
        <f>Unformatted!E250</f>
        <v>N/A</v>
      </c>
      <c r="C224" s="602"/>
      <c r="D224" s="596"/>
      <c r="E224" s="601" t="s">
        <v>1358</v>
      </c>
      <c r="F224" s="298" t="str">
        <f>Unformatted!E254</f>
        <v>N/A</v>
      </c>
      <c r="G224" s="602"/>
      <c r="H224" s="596"/>
      <c r="K224" s="396"/>
      <c r="L224" s="396"/>
      <c r="M224" s="396"/>
      <c r="N224" s="396"/>
      <c r="O224" s="396"/>
      <c r="P224" s="396"/>
      <c r="Q224" s="396"/>
      <c r="R224" s="396"/>
    </row>
    <row r="225" spans="1:18" ht="6.75" customHeight="1" x14ac:dyDescent="0.25">
      <c r="A225" s="596"/>
      <c r="B225" s="396"/>
      <c r="C225" s="596"/>
      <c r="D225" s="396"/>
      <c r="K225" s="396"/>
      <c r="L225" s="396"/>
      <c r="M225" s="396"/>
      <c r="N225" s="396"/>
      <c r="O225" s="396"/>
      <c r="P225" s="396"/>
      <c r="Q225" s="396"/>
      <c r="R225" s="396"/>
    </row>
    <row r="226" spans="1:18" x14ac:dyDescent="0.25">
      <c r="A226" s="601" t="s">
        <v>1214</v>
      </c>
      <c r="B226" s="597" t="str">
        <f>Unformatted!E256</f>
        <v>N/A</v>
      </c>
      <c r="C226" s="592"/>
      <c r="D226" s="596"/>
      <c r="E226" s="601" t="s">
        <v>1214</v>
      </c>
      <c r="F226" s="597" t="str">
        <f>Unformatted!E260</f>
        <v>N/A</v>
      </c>
      <c r="G226" s="592"/>
      <c r="H226" s="596"/>
      <c r="K226" s="396"/>
      <c r="L226" s="396"/>
      <c r="M226" s="396"/>
      <c r="N226" s="396"/>
      <c r="O226" s="396"/>
      <c r="P226" s="396"/>
      <c r="Q226" s="396"/>
      <c r="R226" s="396"/>
    </row>
    <row r="227" spans="1:18" s="579" customFormat="1" x14ac:dyDescent="0.25">
      <c r="A227" s="601" t="s">
        <v>1357</v>
      </c>
      <c r="B227" s="298" t="str">
        <f>Unformatted!E257</f>
        <v>N/A</v>
      </c>
      <c r="C227" s="709" t="s">
        <v>1196</v>
      </c>
      <c r="D227" s="602" t="str">
        <f>Unformatted!E259</f>
        <v>N/A</v>
      </c>
      <c r="E227" s="601" t="s">
        <v>1357</v>
      </c>
      <c r="F227" s="298" t="str">
        <f>Unformatted!E261</f>
        <v>N/A</v>
      </c>
      <c r="G227" s="709" t="s">
        <v>1196</v>
      </c>
      <c r="H227" s="602" t="str">
        <f>Unformatted!E263</f>
        <v>N/A</v>
      </c>
      <c r="K227" s="396"/>
      <c r="L227" s="396"/>
      <c r="M227" s="396"/>
      <c r="N227" s="396"/>
      <c r="O227" s="396"/>
      <c r="P227" s="396"/>
      <c r="Q227" s="396"/>
      <c r="R227" s="396"/>
    </row>
    <row r="228" spans="1:18" s="579" customFormat="1" x14ac:dyDescent="0.25">
      <c r="A228" s="601" t="s">
        <v>1358</v>
      </c>
      <c r="B228" s="298" t="str">
        <f>Unformatted!E258</f>
        <v>N/A</v>
      </c>
      <c r="C228" s="602"/>
      <c r="D228" s="596"/>
      <c r="E228" s="601" t="s">
        <v>1358</v>
      </c>
      <c r="F228" s="298" t="str">
        <f>Unformatted!E262</f>
        <v>N/A</v>
      </c>
      <c r="G228" s="602"/>
      <c r="H228" s="596"/>
      <c r="K228" s="396"/>
      <c r="L228" s="396"/>
      <c r="M228" s="396"/>
      <c r="N228" s="396"/>
      <c r="O228" s="396"/>
      <c r="P228" s="396"/>
      <c r="Q228" s="396"/>
      <c r="R228" s="396"/>
    </row>
    <row r="229" spans="1:18" s="579" customFormat="1" ht="6.75" customHeight="1" x14ac:dyDescent="0.25">
      <c r="A229" s="596"/>
      <c r="B229" s="600"/>
      <c r="C229" s="600"/>
      <c r="D229" s="596"/>
      <c r="K229" s="396"/>
      <c r="L229" s="396"/>
      <c r="M229" s="396"/>
      <c r="N229" s="396"/>
      <c r="O229" s="396"/>
      <c r="P229" s="396"/>
      <c r="Q229" s="396"/>
      <c r="R229" s="396"/>
    </row>
    <row r="230" spans="1:18" s="579" customFormat="1" x14ac:dyDescent="0.25">
      <c r="A230" s="601" t="s">
        <v>1214</v>
      </c>
      <c r="B230" s="597" t="str">
        <f>Unformatted!E264</f>
        <v>N/A</v>
      </c>
      <c r="C230" s="592"/>
      <c r="D230" s="596"/>
      <c r="E230" s="601" t="s">
        <v>1214</v>
      </c>
      <c r="F230" s="597" t="str">
        <f>Unformatted!E268</f>
        <v>N/A</v>
      </c>
      <c r="G230" s="592"/>
      <c r="H230" s="596"/>
      <c r="K230" s="396"/>
      <c r="L230" s="396"/>
      <c r="M230" s="396"/>
      <c r="N230" s="396"/>
      <c r="O230" s="396"/>
      <c r="P230" s="396"/>
      <c r="Q230" s="396"/>
      <c r="R230" s="396"/>
    </row>
    <row r="231" spans="1:18" s="579" customFormat="1" x14ac:dyDescent="0.25">
      <c r="A231" s="601" t="s">
        <v>1357</v>
      </c>
      <c r="B231" s="298" t="str">
        <f>Unformatted!E265</f>
        <v>N/A</v>
      </c>
      <c r="C231" s="709" t="s">
        <v>1196</v>
      </c>
      <c r="D231" s="602" t="str">
        <f>Unformatted!E267</f>
        <v>N/A</v>
      </c>
      <c r="E231" s="601" t="s">
        <v>1357</v>
      </c>
      <c r="F231" s="298" t="str">
        <f>Unformatted!E269</f>
        <v>N/A</v>
      </c>
      <c r="G231" s="709" t="s">
        <v>1196</v>
      </c>
      <c r="H231" s="602" t="str">
        <f>Unformatted!E271</f>
        <v>N/A</v>
      </c>
      <c r="K231" s="396"/>
      <c r="L231" s="396"/>
      <c r="M231" s="396"/>
      <c r="N231" s="396"/>
      <c r="O231" s="396"/>
      <c r="P231" s="396"/>
      <c r="Q231" s="396"/>
      <c r="R231" s="396"/>
    </row>
    <row r="232" spans="1:18" s="579" customFormat="1" x14ac:dyDescent="0.25">
      <c r="A232" s="601" t="s">
        <v>1358</v>
      </c>
      <c r="B232" s="298" t="str">
        <f>Unformatted!E266</f>
        <v>N/A</v>
      </c>
      <c r="C232" s="601"/>
      <c r="D232" s="602"/>
      <c r="E232" s="601" t="s">
        <v>1358</v>
      </c>
      <c r="F232" s="298" t="str">
        <f>Unformatted!E270</f>
        <v>N/A</v>
      </c>
      <c r="G232" s="602"/>
      <c r="H232" s="596"/>
      <c r="K232" s="396"/>
      <c r="L232" s="396"/>
      <c r="M232" s="396"/>
      <c r="N232" s="396"/>
      <c r="O232" s="396"/>
      <c r="P232" s="396"/>
      <c r="Q232" s="396"/>
      <c r="R232" s="396"/>
    </row>
    <row r="233" spans="1:18" s="579" customFormat="1" ht="6.75" customHeight="1" x14ac:dyDescent="0.25">
      <c r="A233" s="504"/>
      <c r="B233" s="504"/>
      <c r="C233" s="504"/>
      <c r="D233" s="504"/>
      <c r="K233" s="396"/>
      <c r="L233" s="396"/>
      <c r="M233" s="396"/>
      <c r="N233" s="396"/>
      <c r="O233" s="396"/>
      <c r="P233" s="396"/>
      <c r="Q233" s="396"/>
      <c r="R233" s="396"/>
    </row>
    <row r="234" spans="1:18" s="579" customFormat="1" x14ac:dyDescent="0.25">
      <c r="A234" s="601" t="s">
        <v>1214</v>
      </c>
      <c r="B234" s="597" t="str">
        <f>Unformatted!E272</f>
        <v>N/A</v>
      </c>
      <c r="C234" s="592"/>
      <c r="D234" s="596"/>
      <c r="E234" s="601" t="s">
        <v>1214</v>
      </c>
      <c r="F234" s="597" t="str">
        <f>Unformatted!E276</f>
        <v>N/A</v>
      </c>
      <c r="G234" s="592"/>
      <c r="H234" s="596"/>
      <c r="K234" s="396"/>
      <c r="L234" s="396"/>
      <c r="M234" s="396"/>
      <c r="N234" s="396"/>
      <c r="O234" s="396"/>
      <c r="P234" s="396"/>
      <c r="Q234" s="396"/>
      <c r="R234" s="396"/>
    </row>
    <row r="235" spans="1:18" s="579" customFormat="1" x14ac:dyDescent="0.25">
      <c r="A235" s="601" t="s">
        <v>1357</v>
      </c>
      <c r="B235" s="298" t="str">
        <f>Unformatted!E273</f>
        <v>N/A</v>
      </c>
      <c r="C235" s="709" t="s">
        <v>1196</v>
      </c>
      <c r="D235" s="602" t="str">
        <f>Unformatted!E275</f>
        <v>N/A</v>
      </c>
      <c r="E235" s="601" t="s">
        <v>1357</v>
      </c>
      <c r="F235" s="298" t="str">
        <f>Unformatted!E277</f>
        <v>N/A</v>
      </c>
      <c r="G235" s="709" t="s">
        <v>1196</v>
      </c>
      <c r="H235" s="602" t="str">
        <f>Unformatted!E279</f>
        <v>N/A</v>
      </c>
      <c r="K235" s="396"/>
      <c r="L235" s="396"/>
      <c r="M235" s="396"/>
      <c r="N235" s="396"/>
      <c r="O235" s="396"/>
      <c r="P235" s="396"/>
      <c r="Q235" s="396"/>
      <c r="R235" s="396"/>
    </row>
    <row r="236" spans="1:18" s="579" customFormat="1" x14ac:dyDescent="0.25">
      <c r="A236" s="601" t="s">
        <v>1358</v>
      </c>
      <c r="B236" s="298" t="str">
        <f>Unformatted!E274</f>
        <v>N/A</v>
      </c>
      <c r="C236" s="602"/>
      <c r="D236" s="596"/>
      <c r="E236" s="601" t="s">
        <v>1358</v>
      </c>
      <c r="F236" s="298" t="str">
        <f>Unformatted!E278</f>
        <v>N/A</v>
      </c>
      <c r="G236" s="602"/>
      <c r="H236" s="596"/>
      <c r="K236" s="925"/>
      <c r="L236" s="925"/>
      <c r="M236" s="396"/>
      <c r="N236" s="396"/>
      <c r="O236" s="396"/>
      <c r="P236" s="396"/>
      <c r="Q236" s="396"/>
      <c r="R236" s="396"/>
    </row>
    <row r="237" spans="1:18" s="579" customFormat="1" ht="6.75" customHeight="1" x14ac:dyDescent="0.25">
      <c r="A237" s="405"/>
      <c r="B237" s="405"/>
      <c r="C237" s="405"/>
      <c r="D237" s="405"/>
      <c r="K237" s="396"/>
      <c r="L237" s="396"/>
      <c r="M237" s="396"/>
      <c r="N237" s="396"/>
      <c r="O237" s="396"/>
      <c r="P237" s="396"/>
      <c r="Q237" s="396"/>
      <c r="R237" s="396"/>
    </row>
    <row r="238" spans="1:18" s="579" customFormat="1" ht="15.75" x14ac:dyDescent="0.25">
      <c r="A238" s="1169" t="s">
        <v>1418</v>
      </c>
      <c r="B238" s="1169"/>
      <c r="C238" s="1169"/>
      <c r="D238" s="1169"/>
      <c r="E238" s="1169"/>
      <c r="F238" s="1169"/>
      <c r="G238" s="1169"/>
      <c r="H238" s="1169"/>
      <c r="I238" s="1169"/>
      <c r="K238" s="396"/>
      <c r="L238" s="396"/>
      <c r="M238" s="396"/>
      <c r="N238" s="396"/>
      <c r="O238" s="396"/>
      <c r="P238" s="396"/>
      <c r="Q238" s="396"/>
      <c r="R238" s="396"/>
    </row>
    <row r="239" spans="1:18" s="579" customFormat="1" ht="6.75" customHeight="1" x14ac:dyDescent="0.25">
      <c r="K239" s="396"/>
      <c r="L239" s="396"/>
      <c r="M239" s="396"/>
      <c r="N239" s="396"/>
      <c r="O239" s="396"/>
      <c r="P239" s="396"/>
      <c r="Q239" s="396"/>
      <c r="R239" s="396"/>
    </row>
    <row r="240" spans="1:18" s="579" customFormat="1" x14ac:dyDescent="0.25">
      <c r="A240" s="933" t="s">
        <v>1214</v>
      </c>
      <c r="B240" s="677" t="str">
        <f>Unformatted!E284</f>
        <v>N/A</v>
      </c>
      <c r="C240" s="396"/>
      <c r="D240" s="396"/>
      <c r="E240" s="933" t="s">
        <v>1214</v>
      </c>
      <c r="F240" s="618" t="str">
        <f>Unformatted!E289</f>
        <v>N/A</v>
      </c>
      <c r="G240" s="396"/>
      <c r="H240" s="396"/>
      <c r="I240" s="888"/>
      <c r="K240" s="396"/>
      <c r="L240" s="396"/>
      <c r="M240" s="396"/>
      <c r="N240" s="396"/>
      <c r="O240" s="396"/>
      <c r="P240" s="396"/>
      <c r="Q240" s="396"/>
      <c r="R240" s="396"/>
    </row>
    <row r="241" spans="1:18" s="579" customFormat="1" x14ac:dyDescent="0.25">
      <c r="A241" s="933" t="s">
        <v>1213</v>
      </c>
      <c r="B241" s="661" t="str">
        <f>Unformatted!E288</f>
        <v>N/A</v>
      </c>
      <c r="C241" s="396"/>
      <c r="D241" s="396"/>
      <c r="E241" s="933" t="s">
        <v>1213</v>
      </c>
      <c r="F241" s="661" t="str">
        <f>Unformatted!E293</f>
        <v>N/A</v>
      </c>
      <c r="G241" s="396"/>
      <c r="H241" s="396"/>
      <c r="I241" s="888"/>
      <c r="K241" s="504"/>
      <c r="L241" s="504"/>
      <c r="M241" s="396"/>
      <c r="N241" s="396"/>
      <c r="O241" s="396"/>
      <c r="P241" s="396"/>
      <c r="Q241" s="396"/>
      <c r="R241" s="396"/>
    </row>
    <row r="242" spans="1:18" s="579" customFormat="1" x14ac:dyDescent="0.25">
      <c r="A242" s="933" t="s">
        <v>1420</v>
      </c>
      <c r="B242" s="659" t="str">
        <f>Unformatted!E285</f>
        <v>N/A</v>
      </c>
      <c r="C242" s="396"/>
      <c r="D242" s="396"/>
      <c r="E242" s="933" t="s">
        <v>1420</v>
      </c>
      <c r="F242" s="659" t="str">
        <f>Unformatted!E290</f>
        <v>N/A</v>
      </c>
      <c r="G242" s="396"/>
      <c r="H242" s="396"/>
      <c r="I242" s="888"/>
      <c r="K242" s="396"/>
      <c r="L242" s="396"/>
      <c r="M242" s="396"/>
      <c r="N242" s="396"/>
      <c r="O242" s="396"/>
      <c r="P242" s="396"/>
      <c r="Q242" s="396"/>
      <c r="R242" s="396"/>
    </row>
    <row r="243" spans="1:18" s="579" customFormat="1" x14ac:dyDescent="0.25">
      <c r="A243" s="933" t="s">
        <v>1419</v>
      </c>
      <c r="B243" s="298" t="str">
        <f>Unformatted!E286</f>
        <v>N/A</v>
      </c>
      <c r="C243" s="599" t="s">
        <v>134</v>
      </c>
      <c r="D243" s="396" t="str">
        <f>Unformatted!E287</f>
        <v>N/A</v>
      </c>
      <c r="E243" s="933" t="s">
        <v>1419</v>
      </c>
      <c r="F243" s="298" t="str">
        <f>Unformatted!E291</f>
        <v>N/A</v>
      </c>
      <c r="G243" s="599" t="s">
        <v>134</v>
      </c>
      <c r="H243" s="396" t="str">
        <f>Unformatted!E292</f>
        <v>N/A</v>
      </c>
      <c r="I243" s="888"/>
      <c r="K243" s="396"/>
      <c r="L243" s="396"/>
      <c r="M243" s="396"/>
      <c r="N243" s="396"/>
      <c r="O243" s="396"/>
      <c r="P243" s="396"/>
      <c r="Q243" s="396"/>
      <c r="R243" s="396"/>
    </row>
    <row r="244" spans="1:18" s="579" customFormat="1" ht="6.75" customHeight="1" x14ac:dyDescent="0.25">
      <c r="A244" s="396"/>
      <c r="D244" s="396"/>
      <c r="E244" s="888"/>
      <c r="F244" s="888"/>
      <c r="G244" s="888"/>
      <c r="H244" s="888"/>
      <c r="I244" s="888"/>
      <c r="K244" s="396"/>
      <c r="L244" s="396"/>
      <c r="M244" s="396"/>
      <c r="N244" s="396"/>
      <c r="O244" s="396"/>
      <c r="P244" s="396"/>
      <c r="Q244" s="396"/>
      <c r="R244" s="396"/>
    </row>
    <row r="245" spans="1:18" s="579" customFormat="1" x14ac:dyDescent="0.25">
      <c r="A245" s="933" t="s">
        <v>1214</v>
      </c>
      <c r="B245" s="618" t="str">
        <f>Unformatted!E294</f>
        <v>N/A</v>
      </c>
      <c r="C245" s="396"/>
      <c r="D245" s="396"/>
      <c r="E245" s="933" t="s">
        <v>1214</v>
      </c>
      <c r="F245" s="618" t="str">
        <f>Unformatted!E299</f>
        <v>N/A</v>
      </c>
      <c r="G245" s="396"/>
      <c r="H245" s="396"/>
      <c r="I245" s="888"/>
      <c r="K245" s="396"/>
      <c r="L245" s="396"/>
      <c r="M245" s="396"/>
      <c r="N245" s="396"/>
      <c r="O245" s="396"/>
      <c r="P245" s="396"/>
      <c r="Q245" s="396"/>
      <c r="R245" s="396"/>
    </row>
    <row r="246" spans="1:18" s="579" customFormat="1" x14ac:dyDescent="0.25">
      <c r="A246" s="933" t="s">
        <v>1213</v>
      </c>
      <c r="B246" s="598" t="str">
        <f>Unformatted!E298</f>
        <v>N/A</v>
      </c>
      <c r="C246" s="396"/>
      <c r="D246" s="396"/>
      <c r="E246" s="933" t="s">
        <v>1213</v>
      </c>
      <c r="F246" s="598" t="str">
        <f>Unformatted!E303</f>
        <v>N/A</v>
      </c>
      <c r="G246" s="396"/>
      <c r="H246" s="396"/>
      <c r="I246" s="888"/>
      <c r="K246" s="396"/>
      <c r="L246" s="396"/>
      <c r="M246" s="888"/>
      <c r="N246" s="888"/>
      <c r="O246" s="888"/>
      <c r="P246" s="888"/>
      <c r="Q246" s="396"/>
      <c r="R246" s="396"/>
    </row>
    <row r="247" spans="1:18" s="579" customFormat="1" x14ac:dyDescent="0.25">
      <c r="A247" s="933" t="s">
        <v>1420</v>
      </c>
      <c r="B247" s="659" t="str">
        <f>Unformatted!E295</f>
        <v>N/A</v>
      </c>
      <c r="C247" s="396"/>
      <c r="D247" s="396"/>
      <c r="E247" s="933" t="s">
        <v>1420</v>
      </c>
      <c r="F247" s="659" t="str">
        <f>Unformatted!E300</f>
        <v>N/A</v>
      </c>
      <c r="G247" s="396"/>
      <c r="H247" s="396"/>
      <c r="I247" s="888"/>
      <c r="K247" s="396"/>
      <c r="L247" s="396"/>
      <c r="M247" s="396"/>
      <c r="N247" s="396"/>
      <c r="O247" s="396"/>
      <c r="P247" s="396"/>
      <c r="Q247" s="396"/>
      <c r="R247" s="396"/>
    </row>
    <row r="248" spans="1:18" s="579" customFormat="1" x14ac:dyDescent="0.25">
      <c r="A248" s="933" t="s">
        <v>1419</v>
      </c>
      <c r="B248" s="298" t="str">
        <f>Unformatted!E296</f>
        <v>N/A</v>
      </c>
      <c r="C248" s="599" t="s">
        <v>134</v>
      </c>
      <c r="D248" s="396" t="str">
        <f>Unformatted!E297</f>
        <v>N/A</v>
      </c>
      <c r="E248" s="933" t="s">
        <v>1419</v>
      </c>
      <c r="F248" s="298" t="str">
        <f>Unformatted!E301</f>
        <v>N/A</v>
      </c>
      <c r="G248" s="599" t="s">
        <v>134</v>
      </c>
      <c r="H248" s="396" t="str">
        <f>Unformatted!E302</f>
        <v>N/A</v>
      </c>
      <c r="I248" s="888"/>
      <c r="K248" s="396"/>
      <c r="L248" s="396"/>
      <c r="M248" s="396"/>
      <c r="N248" s="396"/>
      <c r="O248" s="396"/>
      <c r="P248" s="396"/>
      <c r="Q248" s="396"/>
      <c r="R248" s="396"/>
    </row>
    <row r="249" spans="1:18" s="579" customFormat="1" ht="6.75" customHeight="1" x14ac:dyDescent="0.25">
      <c r="A249" s="596"/>
      <c r="B249" s="600"/>
      <c r="C249" s="600"/>
      <c r="D249" s="933"/>
      <c r="E249" s="888"/>
      <c r="F249" s="888"/>
      <c r="G249" s="888"/>
      <c r="H249" s="888"/>
      <c r="I249" s="940"/>
      <c r="K249" s="396"/>
      <c r="L249" s="396"/>
      <c r="M249" s="396"/>
      <c r="N249" s="396"/>
      <c r="O249" s="396"/>
      <c r="P249" s="396"/>
      <c r="Q249" s="396"/>
      <c r="R249" s="396"/>
    </row>
    <row r="250" spans="1:18" s="579" customFormat="1" ht="15.75" x14ac:dyDescent="0.25">
      <c r="A250" s="1169" t="s">
        <v>1447</v>
      </c>
      <c r="B250" s="1169"/>
      <c r="C250" s="1169"/>
      <c r="D250" s="1169"/>
      <c r="E250" s="1169"/>
      <c r="F250" s="1169"/>
      <c r="G250" s="1169"/>
      <c r="H250" s="1169"/>
      <c r="I250" s="1169"/>
      <c r="K250" s="396"/>
      <c r="L250" s="396"/>
      <c r="M250" s="396"/>
      <c r="N250" s="396"/>
      <c r="O250" s="396"/>
      <c r="P250" s="396"/>
      <c r="Q250" s="396"/>
      <c r="R250" s="396"/>
    </row>
    <row r="251" spans="1:18" s="579" customFormat="1" x14ac:dyDescent="0.25">
      <c r="A251" s="1128" t="str">
        <f>Unformatted!E304</f>
        <v/>
      </c>
      <c r="B251" s="1129"/>
      <c r="C251" s="1129"/>
      <c r="D251" s="1129"/>
      <c r="E251" s="1129"/>
      <c r="F251" s="1129"/>
      <c r="G251" s="1129"/>
      <c r="H251" s="1129"/>
      <c r="I251" s="1130"/>
      <c r="K251" s="396"/>
      <c r="L251" s="396"/>
      <c r="M251" s="396"/>
      <c r="N251" s="396"/>
      <c r="O251" s="396"/>
      <c r="P251" s="396"/>
      <c r="Q251" s="396"/>
      <c r="R251" s="396"/>
    </row>
    <row r="252" spans="1:18" s="579" customFormat="1" x14ac:dyDescent="0.25">
      <c r="A252" s="1131"/>
      <c r="B252" s="1132"/>
      <c r="C252" s="1132"/>
      <c r="D252" s="1132"/>
      <c r="E252" s="1132"/>
      <c r="F252" s="1132"/>
      <c r="G252" s="1132"/>
      <c r="H252" s="1132"/>
      <c r="I252" s="1133"/>
      <c r="K252" s="396"/>
      <c r="L252" s="396"/>
      <c r="M252" s="396"/>
      <c r="N252" s="396"/>
      <c r="O252" s="396"/>
      <c r="P252" s="396"/>
      <c r="Q252" s="396"/>
      <c r="R252" s="396"/>
    </row>
    <row r="253" spans="1:18" s="579" customFormat="1" x14ac:dyDescent="0.25">
      <c r="A253" s="1131"/>
      <c r="B253" s="1132"/>
      <c r="C253" s="1132"/>
      <c r="D253" s="1132"/>
      <c r="E253" s="1132"/>
      <c r="F253" s="1132"/>
      <c r="G253" s="1132"/>
      <c r="H253" s="1132"/>
      <c r="I253" s="1133"/>
      <c r="K253" s="396"/>
      <c r="L253" s="396"/>
      <c r="M253" s="396"/>
      <c r="N253" s="396"/>
      <c r="O253" s="396"/>
      <c r="P253" s="396"/>
      <c r="Q253" s="396"/>
      <c r="R253" s="396"/>
    </row>
    <row r="254" spans="1:18" s="611" customFormat="1" x14ac:dyDescent="0.25">
      <c r="A254" s="1131"/>
      <c r="B254" s="1132"/>
      <c r="C254" s="1132"/>
      <c r="D254" s="1132"/>
      <c r="E254" s="1132"/>
      <c r="F254" s="1132"/>
      <c r="G254" s="1132"/>
      <c r="H254" s="1132"/>
      <c r="I254" s="1133"/>
      <c r="K254" s="396"/>
      <c r="L254" s="396"/>
      <c r="M254" s="396"/>
      <c r="N254" s="396"/>
      <c r="O254" s="396"/>
      <c r="P254" s="396"/>
      <c r="Q254" s="396"/>
      <c r="R254" s="396"/>
    </row>
    <row r="255" spans="1:18" s="579" customFormat="1" x14ac:dyDescent="0.25">
      <c r="A255" s="1131"/>
      <c r="B255" s="1132"/>
      <c r="C255" s="1132"/>
      <c r="D255" s="1132"/>
      <c r="E255" s="1132"/>
      <c r="F255" s="1132"/>
      <c r="G255" s="1132"/>
      <c r="H255" s="1132"/>
      <c r="I255" s="1133"/>
      <c r="K255" s="396"/>
      <c r="L255" s="396"/>
      <c r="M255" s="396"/>
      <c r="N255" s="396"/>
      <c r="O255" s="396"/>
      <c r="P255" s="396"/>
      <c r="Q255" s="396"/>
      <c r="R255" s="396"/>
    </row>
    <row r="256" spans="1:18" s="579" customFormat="1" x14ac:dyDescent="0.25">
      <c r="A256" s="1131"/>
      <c r="B256" s="1132"/>
      <c r="C256" s="1132"/>
      <c r="D256" s="1132"/>
      <c r="E256" s="1132"/>
      <c r="F256" s="1132"/>
      <c r="G256" s="1132"/>
      <c r="H256" s="1132"/>
      <c r="I256" s="1133"/>
      <c r="K256" s="396"/>
      <c r="L256" s="396"/>
      <c r="M256" s="396"/>
      <c r="N256" s="396"/>
      <c r="O256" s="396"/>
      <c r="P256" s="396"/>
      <c r="Q256" s="396"/>
      <c r="R256" s="396"/>
    </row>
    <row r="257" spans="1:18" s="579" customFormat="1" x14ac:dyDescent="0.25">
      <c r="A257" s="1131"/>
      <c r="B257" s="1132"/>
      <c r="C257" s="1132"/>
      <c r="D257" s="1132"/>
      <c r="E257" s="1132"/>
      <c r="F257" s="1132"/>
      <c r="G257" s="1132"/>
      <c r="H257" s="1132"/>
      <c r="I257" s="1133"/>
      <c r="K257" s="396"/>
      <c r="L257" s="396"/>
      <c r="M257" s="396"/>
      <c r="N257" s="396"/>
      <c r="O257" s="396"/>
      <c r="P257" s="396"/>
      <c r="Q257" s="396"/>
      <c r="R257" s="396"/>
    </row>
    <row r="258" spans="1:18" s="611" customFormat="1" x14ac:dyDescent="0.25">
      <c r="A258" s="1131"/>
      <c r="B258" s="1132"/>
      <c r="C258" s="1132"/>
      <c r="D258" s="1132"/>
      <c r="E258" s="1132"/>
      <c r="F258" s="1132"/>
      <c r="G258" s="1132"/>
      <c r="H258" s="1132"/>
      <c r="I258" s="1133"/>
      <c r="K258" s="396"/>
      <c r="L258" s="396"/>
      <c r="M258" s="396"/>
      <c r="N258" s="396"/>
      <c r="O258" s="396"/>
      <c r="P258" s="396"/>
      <c r="Q258" s="396"/>
      <c r="R258" s="396"/>
    </row>
    <row r="259" spans="1:18" s="579" customFormat="1" ht="15" customHeight="1" x14ac:dyDescent="0.25">
      <c r="A259" s="1134"/>
      <c r="B259" s="1135"/>
      <c r="C259" s="1135"/>
      <c r="D259" s="1135"/>
      <c r="E259" s="1135"/>
      <c r="F259" s="1135"/>
      <c r="G259" s="1135"/>
      <c r="H259" s="1135"/>
      <c r="I259" s="1136"/>
    </row>
    <row r="260" spans="1:18" s="579" customFormat="1" ht="15.75" x14ac:dyDescent="0.25">
      <c r="A260" s="1125" t="s">
        <v>1448</v>
      </c>
      <c r="B260" s="1126"/>
      <c r="C260" s="1126"/>
      <c r="D260" s="1126"/>
      <c r="E260" s="1126"/>
      <c r="F260" s="1126"/>
      <c r="G260" s="1126"/>
      <c r="H260" s="1126"/>
      <c r="I260" s="1127"/>
    </row>
    <row r="261" spans="1:18" s="579" customFormat="1" x14ac:dyDescent="0.25">
      <c r="A261" s="1128" t="str">
        <f>Unformatted!E281</f>
        <v/>
      </c>
      <c r="B261" s="1129"/>
      <c r="C261" s="1129"/>
      <c r="D261" s="1129"/>
      <c r="E261" s="1129"/>
      <c r="F261" s="1129"/>
      <c r="G261" s="1129"/>
      <c r="H261" s="1129"/>
      <c r="I261" s="1130"/>
    </row>
    <row r="262" spans="1:18" s="579" customFormat="1" x14ac:dyDescent="0.25">
      <c r="A262" s="1131"/>
      <c r="B262" s="1132"/>
      <c r="C262" s="1132"/>
      <c r="D262" s="1132"/>
      <c r="E262" s="1132"/>
      <c r="F262" s="1132"/>
      <c r="G262" s="1132"/>
      <c r="H262" s="1132"/>
      <c r="I262" s="1133"/>
    </row>
    <row r="263" spans="1:18" s="611" customFormat="1" x14ac:dyDescent="0.25">
      <c r="A263" s="1131"/>
      <c r="B263" s="1132"/>
      <c r="C263" s="1132"/>
      <c r="D263" s="1132"/>
      <c r="E263" s="1132"/>
      <c r="F263" s="1132"/>
      <c r="G263" s="1132"/>
      <c r="H263" s="1132"/>
      <c r="I263" s="1133"/>
    </row>
    <row r="264" spans="1:18" s="579" customFormat="1" x14ac:dyDescent="0.25">
      <c r="A264" s="1131"/>
      <c r="B264" s="1132"/>
      <c r="C264" s="1132"/>
      <c r="D264" s="1132"/>
      <c r="E264" s="1132"/>
      <c r="F264" s="1132"/>
      <c r="G264" s="1132"/>
      <c r="H264" s="1132"/>
      <c r="I264" s="1133"/>
    </row>
    <row r="265" spans="1:18" s="579" customFormat="1" x14ac:dyDescent="0.25">
      <c r="A265" s="1131"/>
      <c r="B265" s="1132"/>
      <c r="C265" s="1132"/>
      <c r="D265" s="1132"/>
      <c r="E265" s="1132"/>
      <c r="F265" s="1132"/>
      <c r="G265" s="1132"/>
      <c r="H265" s="1132"/>
      <c r="I265" s="1133"/>
    </row>
    <row r="266" spans="1:18" s="579" customFormat="1" x14ac:dyDescent="0.25">
      <c r="A266" s="1131"/>
      <c r="B266" s="1132"/>
      <c r="C266" s="1132"/>
      <c r="D266" s="1132"/>
      <c r="E266" s="1132"/>
      <c r="F266" s="1132"/>
      <c r="G266" s="1132"/>
      <c r="H266" s="1132"/>
      <c r="I266" s="1133"/>
    </row>
    <row r="267" spans="1:18" s="611" customFormat="1" x14ac:dyDescent="0.25">
      <c r="A267" s="1131"/>
      <c r="B267" s="1132"/>
      <c r="C267" s="1132"/>
      <c r="D267" s="1132"/>
      <c r="E267" s="1132"/>
      <c r="F267" s="1132"/>
      <c r="G267" s="1132"/>
      <c r="H267" s="1132"/>
      <c r="I267" s="1133"/>
    </row>
    <row r="268" spans="1:18" s="579" customFormat="1" x14ac:dyDescent="0.25">
      <c r="A268" s="1131"/>
      <c r="B268" s="1132"/>
      <c r="C268" s="1132"/>
      <c r="D268" s="1132"/>
      <c r="E268" s="1132"/>
      <c r="F268" s="1132"/>
      <c r="G268" s="1132"/>
      <c r="H268" s="1132"/>
      <c r="I268" s="1133"/>
    </row>
    <row r="269" spans="1:18" s="579" customFormat="1" x14ac:dyDescent="0.25">
      <c r="A269" s="1131"/>
      <c r="B269" s="1132"/>
      <c r="C269" s="1132"/>
      <c r="D269" s="1132"/>
      <c r="E269" s="1132"/>
      <c r="F269" s="1132"/>
      <c r="G269" s="1132"/>
      <c r="H269" s="1132"/>
      <c r="I269" s="1133"/>
    </row>
    <row r="270" spans="1:18" s="579" customFormat="1" x14ac:dyDescent="0.25">
      <c r="A270" s="1131"/>
      <c r="B270" s="1132"/>
      <c r="C270" s="1132"/>
      <c r="D270" s="1132"/>
      <c r="E270" s="1132"/>
      <c r="F270" s="1132"/>
      <c r="G270" s="1132"/>
      <c r="H270" s="1132"/>
      <c r="I270" s="1133"/>
    </row>
    <row r="271" spans="1:18" x14ac:dyDescent="0.25">
      <c r="A271" s="1131"/>
      <c r="B271" s="1132"/>
      <c r="C271" s="1132"/>
      <c r="D271" s="1132"/>
      <c r="E271" s="1132"/>
      <c r="F271" s="1132"/>
      <c r="G271" s="1132"/>
      <c r="H271" s="1132"/>
      <c r="I271" s="1133"/>
    </row>
    <row r="272" spans="1:18" ht="15" customHeight="1" x14ac:dyDescent="0.25">
      <c r="A272" s="1134"/>
      <c r="B272" s="1135"/>
      <c r="C272" s="1135"/>
      <c r="D272" s="1135"/>
      <c r="E272" s="1135"/>
      <c r="F272" s="1135"/>
      <c r="G272" s="1135"/>
      <c r="H272" s="1135"/>
      <c r="I272" s="1136"/>
    </row>
    <row r="273" spans="1:9" s="396" customFormat="1" ht="15.75" x14ac:dyDescent="0.25">
      <c r="A273" s="1110" t="s">
        <v>355</v>
      </c>
      <c r="B273" s="1110"/>
      <c r="C273" s="1110"/>
      <c r="D273" s="1110"/>
      <c r="E273" s="1110"/>
      <c r="F273" s="1110"/>
      <c r="G273" s="1110"/>
      <c r="H273" s="1110"/>
      <c r="I273" s="1110"/>
    </row>
    <row r="274" spans="1:9" s="396" customFormat="1" ht="15" customHeight="1" x14ac:dyDescent="0.25">
      <c r="A274" s="257"/>
      <c r="B274" s="257"/>
      <c r="C274" s="257"/>
      <c r="D274" s="257"/>
      <c r="E274" s="257"/>
      <c r="F274" s="257"/>
      <c r="G274" s="257"/>
      <c r="H274" s="257"/>
      <c r="I274" s="257"/>
    </row>
    <row r="275" spans="1:9" s="396" customFormat="1" x14ac:dyDescent="0.25">
      <c r="A275"/>
      <c r="B275" s="110" t="s">
        <v>358</v>
      </c>
      <c r="C275" s="2" t="str">
        <f>IF(Unformatted!E307=0,"N/A",Unformatted!E307)</f>
        <v>No issues observed</v>
      </c>
      <c r="D275"/>
      <c r="E275"/>
      <c r="F275"/>
      <c r="G275" s="293" t="s">
        <v>361</v>
      </c>
      <c r="H275" s="293" t="s">
        <v>362</v>
      </c>
      <c r="I275"/>
    </row>
    <row r="276" spans="1:9" s="396" customFormat="1" x14ac:dyDescent="0.25">
      <c r="A276" s="2"/>
      <c r="B276" s="110" t="s">
        <v>306</v>
      </c>
      <c r="C276" s="2" t="str">
        <f>IF(Unformatted!E308=0,"N/A",Unformatted!E308)</f>
        <v>N/A</v>
      </c>
      <c r="D276"/>
      <c r="E276"/>
      <c r="F276" s="36" t="s">
        <v>360</v>
      </c>
      <c r="G276" s="21" t="str">
        <f>Unformatted!E310</f>
        <v>N/A</v>
      </c>
      <c r="H276" s="21" t="str">
        <f>Unformatted!E313</f>
        <v>N/A</v>
      </c>
      <c r="I276"/>
    </row>
    <row r="277" spans="1:9" s="396" customFormat="1" x14ac:dyDescent="0.25">
      <c r="A277" s="2"/>
      <c r="B277" s="110" t="s">
        <v>381</v>
      </c>
      <c r="C277" s="9" t="str">
        <f>Unformatted!E314</f>
        <v>NO</v>
      </c>
      <c r="D277"/>
      <c r="E277"/>
      <c r="F277" s="36" t="s">
        <v>363</v>
      </c>
      <c r="G277" s="21" t="str">
        <f>Unformatted!F310</f>
        <v>N/A</v>
      </c>
      <c r="H277" s="21" t="str">
        <f>Unformatted!F313</f>
        <v>N/A</v>
      </c>
      <c r="I277"/>
    </row>
    <row r="278" spans="1:9" s="396" customFormat="1" ht="15" customHeight="1" x14ac:dyDescent="0.25">
      <c r="A278" s="2"/>
      <c r="B278" s="110"/>
      <c r="C278" s="9"/>
      <c r="D278" s="36"/>
      <c r="E278" s="13"/>
      <c r="F278" s="13"/>
      <c r="G278" t="str">
        <f>IF(OR(Unformatted!F311=0,Unformatted!F311=""),"","  (Leakage = " &amp; Unformatted!F311 &amp; " µAmps)")</f>
        <v/>
      </c>
      <c r="H278"/>
      <c r="I278"/>
    </row>
    <row r="279" spans="1:9" s="396" customFormat="1" ht="15" customHeight="1" x14ac:dyDescent="0.25">
      <c r="A279" s="1055" t="s">
        <v>452</v>
      </c>
      <c r="B279" s="1055"/>
      <c r="C279" s="1055"/>
      <c r="D279" s="37"/>
      <c r="F279" s="614" t="s">
        <v>1437</v>
      </c>
      <c r="G279" s="616"/>
      <c r="H279" s="169" t="s">
        <v>1438</v>
      </c>
      <c r="I279" s="8"/>
    </row>
    <row r="280" spans="1:9" s="396" customFormat="1" ht="15" customHeight="1" x14ac:dyDescent="0.25">
      <c r="A280"/>
      <c r="B280" s="256"/>
      <c r="C280"/>
      <c r="D280" s="24"/>
      <c r="E280" s="615" t="s">
        <v>1431</v>
      </c>
      <c r="F280" s="716" t="str">
        <f>Unformatted!E315</f>
        <v>N/A</v>
      </c>
      <c r="G280" s="615" t="s">
        <v>1434</v>
      </c>
      <c r="H280" s="716" t="str">
        <f>Unformatted!E319</f>
        <v>N/A</v>
      </c>
      <c r="I280" s="8"/>
    </row>
    <row r="281" spans="1:9" s="396" customFormat="1" ht="15" customHeight="1" x14ac:dyDescent="0.25">
      <c r="A281"/>
      <c r="B281" s="256"/>
      <c r="C281" s="24"/>
      <c r="D281" s="24"/>
      <c r="E281" s="615" t="s">
        <v>1433</v>
      </c>
      <c r="F281" s="716" t="str">
        <f>Unformatted!E316</f>
        <v>N/A</v>
      </c>
      <c r="G281" s="615" t="s">
        <v>1435</v>
      </c>
      <c r="H281" s="716" t="str">
        <f>Unformatted!E320</f>
        <v>N/A</v>
      </c>
      <c r="I281" s="8"/>
    </row>
    <row r="282" spans="1:9" s="396" customFormat="1" x14ac:dyDescent="0.25">
      <c r="A282"/>
      <c r="B282"/>
      <c r="C282" s="24"/>
      <c r="D282" s="24"/>
      <c r="E282" s="615" t="s">
        <v>1432</v>
      </c>
      <c r="F282" s="716" t="str">
        <f>Unformatted!E317</f>
        <v>N/A</v>
      </c>
      <c r="G282" s="615" t="s">
        <v>1436</v>
      </c>
      <c r="H282" s="716" t="str">
        <f>Unformatted!E321</f>
        <v>N/A</v>
      </c>
      <c r="I282" s="8"/>
    </row>
    <row r="283" spans="1:9" s="396" customFormat="1" x14ac:dyDescent="0.25">
      <c r="A283" s="579"/>
      <c r="B283" s="579"/>
      <c r="C283" s="24"/>
      <c r="D283" s="24"/>
      <c r="E283" s="615" t="s">
        <v>1215</v>
      </c>
      <c r="F283" s="947" t="str">
        <f>Unformatted!E318</f>
        <v>N/A</v>
      </c>
      <c r="G283" s="615" t="s">
        <v>1215</v>
      </c>
      <c r="H283" s="948" t="str">
        <f>Unformatted!E322</f>
        <v>N/A</v>
      </c>
      <c r="I283" s="8"/>
    </row>
    <row r="284" spans="1:9" s="396" customFormat="1" x14ac:dyDescent="0.25">
      <c r="A284" s="443"/>
      <c r="B284" s="585"/>
      <c r="C284" s="585"/>
      <c r="D284" s="585"/>
      <c r="I284" s="585"/>
    </row>
    <row r="285" spans="1:9" s="396" customFormat="1" x14ac:dyDescent="0.25">
      <c r="A285" s="443"/>
      <c r="B285" s="585"/>
      <c r="C285" s="585"/>
      <c r="D285" s="585"/>
      <c r="E285" s="585"/>
      <c r="F285" s="585"/>
      <c r="G285" s="585"/>
      <c r="H285" s="585"/>
      <c r="I285" s="585"/>
    </row>
    <row r="286" spans="1:9" s="396" customFormat="1" ht="15" customHeight="1" x14ac:dyDescent="0.25">
      <c r="A286" s="1137" t="s">
        <v>1449</v>
      </c>
      <c r="B286" s="1138"/>
      <c r="C286" s="1138"/>
      <c r="D286" s="1138"/>
      <c r="E286" s="1138"/>
      <c r="F286" s="1138"/>
      <c r="G286" s="1138"/>
      <c r="H286" s="1138"/>
      <c r="I286" s="1139"/>
    </row>
    <row r="287" spans="1:9" s="396" customFormat="1" x14ac:dyDescent="0.25">
      <c r="A287" s="1113"/>
      <c r="B287" s="1114"/>
      <c r="C287" s="1114"/>
      <c r="D287" s="1114"/>
      <c r="E287" s="1114"/>
      <c r="F287" s="1114"/>
      <c r="G287" s="1114"/>
      <c r="H287" s="1114"/>
      <c r="I287" s="1115"/>
    </row>
    <row r="288" spans="1:9" s="396" customFormat="1" x14ac:dyDescent="0.25">
      <c r="A288" s="1116"/>
      <c r="B288" s="1117"/>
      <c r="C288" s="1117"/>
      <c r="D288" s="1117"/>
      <c r="E288" s="1117"/>
      <c r="F288" s="1117"/>
      <c r="G288" s="1117"/>
      <c r="H288" s="1117"/>
      <c r="I288" s="1118"/>
    </row>
    <row r="289" spans="1:9" s="396" customFormat="1" x14ac:dyDescent="0.25">
      <c r="A289" s="1116"/>
      <c r="B289" s="1117"/>
      <c r="C289" s="1117"/>
      <c r="D289" s="1117"/>
      <c r="E289" s="1117"/>
      <c r="F289" s="1117"/>
      <c r="G289" s="1117"/>
      <c r="H289" s="1117"/>
      <c r="I289" s="1118"/>
    </row>
    <row r="290" spans="1:9" s="396" customFormat="1" ht="15" customHeight="1" x14ac:dyDescent="0.25">
      <c r="A290" s="1116"/>
      <c r="B290" s="1117"/>
      <c r="C290" s="1117"/>
      <c r="D290" s="1117"/>
      <c r="E290" s="1117"/>
      <c r="F290" s="1117"/>
      <c r="G290" s="1117"/>
      <c r="H290" s="1117"/>
      <c r="I290" s="1118"/>
    </row>
    <row r="291" spans="1:9" s="396" customFormat="1" x14ac:dyDescent="0.25">
      <c r="A291" s="1116"/>
      <c r="B291" s="1117"/>
      <c r="C291" s="1117"/>
      <c r="D291" s="1117"/>
      <c r="E291" s="1117"/>
      <c r="F291" s="1117"/>
      <c r="G291" s="1117"/>
      <c r="H291" s="1117"/>
      <c r="I291" s="1118"/>
    </row>
    <row r="292" spans="1:9" s="396" customFormat="1" x14ac:dyDescent="0.25">
      <c r="A292" s="1116"/>
      <c r="B292" s="1117"/>
      <c r="C292" s="1117"/>
      <c r="D292" s="1117"/>
      <c r="E292" s="1117"/>
      <c r="F292" s="1117"/>
      <c r="G292" s="1117"/>
      <c r="H292" s="1117"/>
      <c r="I292" s="1118"/>
    </row>
    <row r="293" spans="1:9" s="396" customFormat="1" x14ac:dyDescent="0.25">
      <c r="A293" s="1116"/>
      <c r="B293" s="1117"/>
      <c r="C293" s="1117"/>
      <c r="D293" s="1117"/>
      <c r="E293" s="1117"/>
      <c r="F293" s="1117"/>
      <c r="G293" s="1117"/>
      <c r="H293" s="1117"/>
      <c r="I293" s="1118"/>
    </row>
    <row r="294" spans="1:9" s="396" customFormat="1" ht="15" customHeight="1" x14ac:dyDescent="0.25">
      <c r="A294" s="1119"/>
      <c r="B294" s="1120"/>
      <c r="C294" s="1120"/>
      <c r="D294" s="1120"/>
      <c r="E294" s="1120"/>
      <c r="F294" s="1120"/>
      <c r="G294" s="1120"/>
      <c r="H294" s="1120"/>
      <c r="I294" s="1121"/>
    </row>
    <row r="295" spans="1:9" s="396" customFormat="1" ht="15" customHeight="1" x14ac:dyDescent="0.25">
      <c r="A295" s="1109" t="s">
        <v>495</v>
      </c>
      <c r="B295" s="1109"/>
      <c r="C295" s="1109"/>
      <c r="D295" s="1109"/>
      <c r="E295" s="1109"/>
      <c r="F295" s="1109"/>
      <c r="G295" s="1109"/>
      <c r="H295" s="1109"/>
      <c r="I295" s="1109"/>
    </row>
    <row r="296" spans="1:9" s="396" customFormat="1" ht="15" customHeight="1" x14ac:dyDescent="0.25">
      <c r="A296" s="243" t="s">
        <v>496</v>
      </c>
      <c r="B296" s="2"/>
      <c r="C296" s="2"/>
      <c r="D296" s="2"/>
      <c r="E296" s="594" t="s">
        <v>501</v>
      </c>
      <c r="F296" s="594"/>
      <c r="G296" s="594"/>
      <c r="H296" s="594"/>
      <c r="I296" s="602"/>
    </row>
    <row r="297" spans="1:9" s="396" customFormat="1" ht="15" customHeight="1" x14ac:dyDescent="0.25">
      <c r="A297" s="243"/>
      <c r="B297" s="2"/>
      <c r="C297" s="2"/>
      <c r="D297" s="2"/>
      <c r="E297" s="594"/>
      <c r="F297" s="594"/>
      <c r="G297" s="594"/>
      <c r="H297" s="594"/>
      <c r="I297" s="602"/>
    </row>
    <row r="298" spans="1:9" s="396" customFormat="1" ht="15" customHeight="1" x14ac:dyDescent="0.25">
      <c r="A298" s="602"/>
      <c r="B298" s="602"/>
      <c r="C298" s="602"/>
      <c r="D298" s="602"/>
      <c r="E298" s="602"/>
      <c r="F298" s="602"/>
      <c r="G298" s="602"/>
      <c r="H298" s="602"/>
      <c r="I298" s="602"/>
    </row>
    <row r="299" spans="1:9" s="396" customFormat="1" ht="15.75" customHeight="1" x14ac:dyDescent="0.25">
      <c r="A299" s="602"/>
      <c r="B299" s="602"/>
      <c r="C299" s="602"/>
      <c r="D299" s="602"/>
      <c r="E299" s="602"/>
      <c r="F299" s="602"/>
      <c r="G299" s="602"/>
      <c r="H299" s="602"/>
      <c r="I299" s="602"/>
    </row>
    <row r="300" spans="1:9" s="396" customFormat="1" ht="15" customHeight="1" x14ac:dyDescent="0.25">
      <c r="A300" s="602"/>
      <c r="B300" s="602"/>
      <c r="C300" s="602"/>
      <c r="D300" s="602"/>
      <c r="E300" s="602"/>
      <c r="F300" s="602"/>
      <c r="G300" s="602"/>
      <c r="H300" s="602"/>
      <c r="I300" s="602"/>
    </row>
    <row r="301" spans="1:9" s="396" customFormat="1" x14ac:dyDescent="0.25">
      <c r="A301" s="602"/>
      <c r="B301" s="602"/>
      <c r="C301" s="602"/>
      <c r="D301" s="602"/>
      <c r="E301" s="602"/>
      <c r="F301" s="602"/>
      <c r="G301" s="602"/>
      <c r="H301" s="602"/>
      <c r="I301" s="602"/>
    </row>
    <row r="302" spans="1:9" s="396" customFormat="1" x14ac:dyDescent="0.25">
      <c r="A302" s="602"/>
      <c r="B302" s="602"/>
      <c r="C302" s="602"/>
      <c r="D302" s="602"/>
      <c r="E302" s="602"/>
      <c r="F302" s="602"/>
      <c r="G302" s="602"/>
      <c r="H302" s="602"/>
      <c r="I302" s="602"/>
    </row>
    <row r="303" spans="1:9" s="396" customFormat="1" x14ac:dyDescent="0.25">
      <c r="A303" s="602"/>
      <c r="B303" s="602"/>
      <c r="C303" s="602"/>
      <c r="D303" s="602"/>
      <c r="E303" s="602"/>
      <c r="F303" s="602"/>
      <c r="G303" s="602"/>
      <c r="H303" s="602"/>
      <c r="I303" s="602"/>
    </row>
    <row r="304" spans="1:9" s="396" customFormat="1" x14ac:dyDescent="0.25">
      <c r="A304"/>
      <c r="B304"/>
      <c r="C304"/>
      <c r="D304"/>
      <c r="E304"/>
      <c r="F304"/>
      <c r="G304"/>
      <c r="H304"/>
      <c r="I304"/>
    </row>
    <row r="305" spans="1:9" s="396" customFormat="1" ht="15" customHeight="1" x14ac:dyDescent="0.25"/>
    <row r="306" spans="1:9" s="396" customFormat="1" x14ac:dyDescent="0.25">
      <c r="A306" s="244" t="s">
        <v>1450</v>
      </c>
      <c r="B306"/>
      <c r="C306"/>
      <c r="D306"/>
      <c r="E306" s="244" t="s">
        <v>1451</v>
      </c>
      <c r="F306"/>
      <c r="G306"/>
      <c r="H306"/>
      <c r="I306"/>
    </row>
    <row r="307" spans="1:9" s="396" customFormat="1" x14ac:dyDescent="0.25">
      <c r="A307" s="617"/>
      <c r="B307" s="617"/>
      <c r="C307" s="617"/>
      <c r="D307" s="617"/>
      <c r="E307" s="617"/>
      <c r="F307" s="617"/>
      <c r="G307" s="617"/>
      <c r="H307" s="617"/>
      <c r="I307" s="617"/>
    </row>
    <row r="308" spans="1:9" s="396" customFormat="1" x14ac:dyDescent="0.25">
      <c r="A308" s="617"/>
      <c r="B308" s="617"/>
      <c r="C308" s="617"/>
      <c r="D308" s="617"/>
      <c r="E308" s="617"/>
      <c r="F308" s="617"/>
      <c r="G308" s="617"/>
      <c r="H308" s="617"/>
      <c r="I308" s="617"/>
    </row>
    <row r="309" spans="1:9" s="396" customFormat="1" x14ac:dyDescent="0.25">
      <c r="A309" s="617"/>
      <c r="B309" s="617"/>
      <c r="C309" s="617"/>
      <c r="D309" s="617"/>
      <c r="E309" s="617"/>
      <c r="F309" s="617"/>
      <c r="G309" s="617"/>
      <c r="H309" s="617"/>
      <c r="I309" s="617"/>
    </row>
    <row r="310" spans="1:9" s="396" customFormat="1" ht="15" customHeight="1" x14ac:dyDescent="0.25">
      <c r="A310" s="617"/>
      <c r="B310" s="617"/>
      <c r="C310" s="617"/>
      <c r="D310" s="617"/>
      <c r="E310" s="617"/>
      <c r="F310" s="617"/>
      <c r="G310" s="617"/>
      <c r="H310" s="617"/>
      <c r="I310" s="617"/>
    </row>
    <row r="311" spans="1:9" s="396" customFormat="1" ht="15.75" customHeight="1" x14ac:dyDescent="0.25">
      <c r="A311" s="617"/>
      <c r="B311" s="617"/>
      <c r="C311" s="617"/>
      <c r="D311" s="617"/>
      <c r="E311" s="617"/>
      <c r="F311" s="617"/>
      <c r="G311" s="617"/>
      <c r="H311" s="617"/>
      <c r="I311" s="617"/>
    </row>
    <row r="312" spans="1:9" ht="15" customHeight="1" x14ac:dyDescent="0.25">
      <c r="A312" s="617"/>
      <c r="B312" s="617"/>
      <c r="C312" s="617"/>
      <c r="D312" s="617"/>
      <c r="E312" s="617"/>
      <c r="F312" s="617"/>
      <c r="G312" s="617"/>
      <c r="H312" s="617"/>
      <c r="I312" s="617"/>
    </row>
    <row r="313" spans="1:9" ht="15" customHeight="1" x14ac:dyDescent="0.25">
      <c r="A313" s="617"/>
      <c r="B313" s="617"/>
      <c r="C313" s="617"/>
      <c r="D313" s="617"/>
      <c r="E313" s="617"/>
      <c r="F313" s="617"/>
      <c r="G313" s="617"/>
      <c r="H313" s="617"/>
      <c r="I313" s="617"/>
    </row>
    <row r="314" spans="1:9" x14ac:dyDescent="0.25">
      <c r="A314" s="617"/>
      <c r="B314" s="617"/>
      <c r="C314" s="617"/>
      <c r="D314" s="617"/>
      <c r="E314" s="617"/>
      <c r="F314" s="617"/>
      <c r="G314" s="617"/>
      <c r="H314" s="617"/>
      <c r="I314" s="617"/>
    </row>
    <row r="315" spans="1:9" x14ac:dyDescent="0.25">
      <c r="A315" s="617"/>
      <c r="B315" s="617"/>
      <c r="C315" s="617"/>
      <c r="D315" s="617"/>
      <c r="E315" s="617"/>
      <c r="F315" s="617"/>
      <c r="G315" s="617"/>
      <c r="H315" s="617"/>
      <c r="I315" s="617"/>
    </row>
    <row r="316" spans="1:9" x14ac:dyDescent="0.25">
      <c r="A316" s="1122" t="s">
        <v>497</v>
      </c>
      <c r="B316" s="1122"/>
    </row>
    <row r="317" spans="1:9" x14ac:dyDescent="0.25">
      <c r="A317" s="1123"/>
      <c r="B317" s="1123"/>
    </row>
    <row r="318" spans="1:9" x14ac:dyDescent="0.25">
      <c r="B318" s="1113" t="str">
        <f>Unformatted!E358</f>
        <v/>
      </c>
      <c r="C318" s="1114"/>
      <c r="D318" s="1114"/>
      <c r="E318" s="1114"/>
      <c r="F318" s="1114"/>
      <c r="G318" s="1114"/>
      <c r="H318" s="1114"/>
      <c r="I318" s="1115"/>
    </row>
    <row r="319" spans="1:9" x14ac:dyDescent="0.25">
      <c r="B319" s="1116"/>
      <c r="C319" s="1117"/>
      <c r="D319" s="1117"/>
      <c r="E319" s="1117"/>
      <c r="F319" s="1117"/>
      <c r="G319" s="1117"/>
      <c r="H319" s="1117"/>
      <c r="I319" s="1118"/>
    </row>
    <row r="320" spans="1:9" ht="15" customHeight="1" x14ac:dyDescent="0.25">
      <c r="B320" s="1116"/>
      <c r="C320" s="1117"/>
      <c r="D320" s="1117"/>
      <c r="E320" s="1117"/>
      <c r="F320" s="1117"/>
      <c r="G320" s="1117"/>
      <c r="H320" s="1117"/>
      <c r="I320" s="1118"/>
    </row>
    <row r="321" spans="1:9" s="602" customFormat="1" ht="15" customHeight="1" x14ac:dyDescent="0.25">
      <c r="B321" s="1116"/>
      <c r="C321" s="1117"/>
      <c r="D321" s="1117"/>
      <c r="E321" s="1117"/>
      <c r="F321" s="1117"/>
      <c r="G321" s="1117"/>
      <c r="H321" s="1117"/>
      <c r="I321" s="1118"/>
    </row>
    <row r="322" spans="1:9" s="602" customFormat="1" ht="15" customHeight="1" x14ac:dyDescent="0.25">
      <c r="B322" s="1116"/>
      <c r="C322" s="1117"/>
      <c r="D322" s="1117"/>
      <c r="E322" s="1117"/>
      <c r="F322" s="1117"/>
      <c r="G322" s="1117"/>
      <c r="H322" s="1117"/>
      <c r="I322" s="1118"/>
    </row>
    <row r="323" spans="1:9" s="602" customFormat="1" ht="15" customHeight="1" x14ac:dyDescent="0.25">
      <c r="B323" s="1116"/>
      <c r="C323" s="1117"/>
      <c r="D323" s="1117"/>
      <c r="E323" s="1117"/>
      <c r="F323" s="1117"/>
      <c r="G323" s="1117"/>
      <c r="H323" s="1117"/>
      <c r="I323" s="1118"/>
    </row>
    <row r="324" spans="1:9" s="602" customFormat="1" ht="15" customHeight="1" x14ac:dyDescent="0.25">
      <c r="B324" s="1119"/>
      <c r="C324" s="1120"/>
      <c r="D324" s="1120"/>
      <c r="E324" s="1120"/>
      <c r="F324" s="1120"/>
      <c r="G324" s="1120"/>
      <c r="H324" s="1120"/>
      <c r="I324" s="1121"/>
    </row>
    <row r="325" spans="1:9" ht="15.75" x14ac:dyDescent="0.25">
      <c r="A325" s="1110" t="s">
        <v>498</v>
      </c>
      <c r="B325" s="1110"/>
      <c r="C325" s="1110"/>
      <c r="D325" s="1110"/>
      <c r="E325" s="1110"/>
      <c r="F325" s="1110"/>
      <c r="G325" s="1110"/>
      <c r="H325" s="1110"/>
      <c r="I325" s="1110"/>
    </row>
    <row r="326" spans="1:9" ht="24" customHeight="1" thickBot="1" x14ac:dyDescent="0.3">
      <c r="A326" s="244" t="s">
        <v>499</v>
      </c>
    </row>
    <row r="327" spans="1:9" ht="15.75" thickBot="1" x14ac:dyDescent="0.3">
      <c r="A327" s="258" t="s">
        <v>456</v>
      </c>
      <c r="B327" s="1198" t="s">
        <v>459</v>
      </c>
      <c r="C327" s="1199"/>
      <c r="D327" s="1200" t="s">
        <v>538</v>
      </c>
      <c r="E327" s="1202"/>
      <c r="F327" s="1200" t="s">
        <v>539</v>
      </c>
      <c r="G327" s="1201"/>
      <c r="H327" s="1201"/>
      <c r="I327" s="1202"/>
    </row>
    <row r="328" spans="1:9" x14ac:dyDescent="0.25">
      <c r="A328" s="259" t="str">
        <f>IF(Unformatted!C361=0,"",Unformatted!C361)</f>
        <v/>
      </c>
      <c r="B328" s="1153" t="str">
        <f>IF(Unformatted!D361=0,"",Unformatted!D361)</f>
        <v/>
      </c>
      <c r="C328" s="1153"/>
      <c r="D328" s="1154" t="str">
        <f>Unformatted!E361</f>
        <v>Bearing</v>
      </c>
      <c r="E328" s="1155"/>
      <c r="F328" s="1106" t="str">
        <f>Unformatted!F361</f>
        <v/>
      </c>
      <c r="G328" s="1107"/>
      <c r="H328" s="1107"/>
      <c r="I328" s="1108"/>
    </row>
    <row r="329" spans="1:9" x14ac:dyDescent="0.25">
      <c r="A329" s="259" t="str">
        <f>IF(Unformatted!C362=0,"",Unformatted!C362)</f>
        <v/>
      </c>
      <c r="B329" s="1124" t="str">
        <f>IF(Unformatted!D362=0,"",Unformatted!D362)</f>
        <v/>
      </c>
      <c r="C329" s="1124"/>
      <c r="D329" s="1140" t="str">
        <f>Unformatted!E362</f>
        <v>Bearing</v>
      </c>
      <c r="E329" s="1141"/>
      <c r="F329" s="1101" t="str">
        <f>Unformatted!F362</f>
        <v/>
      </c>
      <c r="G329" s="1103"/>
      <c r="H329" s="1103"/>
      <c r="I329" s="1102"/>
    </row>
    <row r="330" spans="1:9" x14ac:dyDescent="0.25">
      <c r="A330" s="259" t="str">
        <f>IF(Unformatted!C363=0,"",Unformatted!C363)</f>
        <v/>
      </c>
      <c r="B330" s="1124" t="str">
        <f>IF(Required!H8=0,"",Required!H8)</f>
        <v/>
      </c>
      <c r="C330" s="1124"/>
      <c r="D330" s="1140" t="str">
        <f>Unformatted!E363</f>
        <v>Bearing</v>
      </c>
      <c r="E330" s="1141"/>
      <c r="F330" s="1101" t="str">
        <f>Unformatted!F363</f>
        <v/>
      </c>
      <c r="G330" s="1103"/>
      <c r="H330" s="1103"/>
      <c r="I330" s="1102"/>
    </row>
    <row r="331" spans="1:9" x14ac:dyDescent="0.25">
      <c r="A331" s="259" t="str">
        <f>IF(Unformatted!C364=0,"",Unformatted!C364)</f>
        <v/>
      </c>
      <c r="B331" s="1124" t="str">
        <f>IF(Required!H9=0,"",Required!H9)</f>
        <v/>
      </c>
      <c r="C331" s="1124"/>
      <c r="D331" s="1140" t="str">
        <f>Unformatted!E364</f>
        <v>Bearing</v>
      </c>
      <c r="E331" s="1141"/>
      <c r="F331" s="1101" t="str">
        <f>Unformatted!F364</f>
        <v/>
      </c>
      <c r="G331" s="1103"/>
      <c r="H331" s="1103"/>
      <c r="I331" s="1102"/>
    </row>
    <row r="332" spans="1:9" x14ac:dyDescent="0.25">
      <c r="A332" s="259" t="str">
        <f>IF(Unformatted!C365=0,"",Unformatted!C365)</f>
        <v/>
      </c>
      <c r="B332" s="1124" t="str">
        <f>IF(Required!H10=0,"",Required!H10)</f>
        <v/>
      </c>
      <c r="C332" s="1124"/>
      <c r="D332" s="1140" t="str">
        <f>Unformatted!E365</f>
        <v>Coupling</v>
      </c>
      <c r="E332" s="1141"/>
      <c r="F332" s="1101" t="str">
        <f>Unformatted!F365</f>
        <v/>
      </c>
      <c r="G332" s="1103"/>
      <c r="H332" s="1103"/>
      <c r="I332" s="1102"/>
    </row>
    <row r="333" spans="1:9" x14ac:dyDescent="0.25">
      <c r="A333" s="259" t="str">
        <f>IF(Unformatted!C366=0,"",Unformatted!C366)</f>
        <v/>
      </c>
      <c r="B333" s="1124" t="str">
        <f>IF(Required!H11=0,"",Required!H11)</f>
        <v/>
      </c>
      <c r="C333" s="1124"/>
      <c r="D333" s="1140" t="str">
        <f>Unformatted!E366</f>
        <v>Lip Seal</v>
      </c>
      <c r="E333" s="1141"/>
      <c r="F333" s="1101" t="str">
        <f>Unformatted!F366</f>
        <v/>
      </c>
      <c r="G333" s="1103"/>
      <c r="H333" s="1103"/>
      <c r="I333" s="1102"/>
    </row>
    <row r="334" spans="1:9" x14ac:dyDescent="0.25">
      <c r="A334" s="259" t="str">
        <f>IF(Unformatted!C367=0,"",Unformatted!C367)</f>
        <v/>
      </c>
      <c r="B334" s="1124" t="str">
        <f>IF(Required!H12=0,"",Required!H12)</f>
        <v/>
      </c>
      <c r="C334" s="1124"/>
      <c r="D334" s="1140" t="str">
        <f>Unformatted!E367</f>
        <v>Lip Seal</v>
      </c>
      <c r="E334" s="1141"/>
      <c r="F334" s="1101" t="str">
        <f>Unformatted!F367</f>
        <v/>
      </c>
      <c r="G334" s="1103"/>
      <c r="H334" s="1103"/>
      <c r="I334" s="1102"/>
    </row>
    <row r="335" spans="1:9" x14ac:dyDescent="0.25">
      <c r="A335" s="259" t="str">
        <f>IF(Unformatted!C368=0,"",Unformatted!C368)</f>
        <v/>
      </c>
      <c r="B335" s="1124" t="str">
        <f>IF(Required!H13=0,"",Required!H13)</f>
        <v/>
      </c>
      <c r="C335" s="1124"/>
      <c r="D335" s="1140" t="str">
        <f>Unformatted!E368</f>
        <v>V-Ring</v>
      </c>
      <c r="E335" s="1141"/>
      <c r="F335" s="1101" t="str">
        <f>Unformatted!F368</f>
        <v/>
      </c>
      <c r="G335" s="1103"/>
      <c r="H335" s="1103"/>
      <c r="I335" s="1102"/>
    </row>
    <row r="336" spans="1:9" x14ac:dyDescent="0.25">
      <c r="A336" s="259" t="str">
        <f>IF(Unformatted!C369=0,"",Unformatted!C369)</f>
        <v/>
      </c>
      <c r="B336" s="1124" t="str">
        <f>IF(Required!H14=0,"",Required!H14)</f>
        <v/>
      </c>
      <c r="C336" s="1124"/>
      <c r="D336" s="1140" t="str">
        <f>Unformatted!E369</f>
        <v>Spanner Nut</v>
      </c>
      <c r="E336" s="1141"/>
      <c r="F336" s="1101" t="str">
        <f>Unformatted!F369</f>
        <v/>
      </c>
      <c r="G336" s="1103"/>
      <c r="H336" s="1103"/>
      <c r="I336" s="1102"/>
    </row>
    <row r="337" spans="1:9" x14ac:dyDescent="0.25">
      <c r="A337" s="259" t="str">
        <f>IF(Unformatted!C370=0,"",Unformatted!C370)</f>
        <v/>
      </c>
      <c r="B337" s="1124" t="str">
        <f>IF(Required!H15=0,"",Required!H15)</f>
        <v/>
      </c>
      <c r="C337" s="1124"/>
      <c r="D337" s="1140" t="str">
        <f>Unformatted!E370</f>
        <v>Spanner Washer</v>
      </c>
      <c r="E337" s="1141"/>
      <c r="F337" s="1101" t="str">
        <f>Unformatted!F370</f>
        <v/>
      </c>
      <c r="G337" s="1103"/>
      <c r="H337" s="1103"/>
      <c r="I337" s="1102"/>
    </row>
    <row r="338" spans="1:9" x14ac:dyDescent="0.25">
      <c r="A338" s="259" t="str">
        <f>IF(Unformatted!C371=0,"",Unformatted!C371)</f>
        <v/>
      </c>
      <c r="B338" s="1124" t="str">
        <f>IF(Required!H16=0,"",Required!H16)</f>
        <v/>
      </c>
      <c r="C338" s="1124"/>
      <c r="D338" s="292" t="str">
        <f>IF(Unformatted!E371="OTHER","",Unformatted!E371)</f>
        <v>Replacement Fan</v>
      </c>
      <c r="E338" s="223"/>
      <c r="F338" s="1101" t="str">
        <f>Unformatted!F371</f>
        <v/>
      </c>
      <c r="G338" s="1103"/>
      <c r="H338" s="1103"/>
      <c r="I338" s="1102"/>
    </row>
    <row r="339" spans="1:9" x14ac:dyDescent="0.25">
      <c r="A339" s="259" t="str">
        <f>IF(Unformatted!C372=0,"",Unformatted!C372)</f>
        <v/>
      </c>
      <c r="B339" s="1124" t="str">
        <f>IF(Required!H17=0,"",Required!H17)</f>
        <v/>
      </c>
      <c r="C339" s="1124"/>
      <c r="D339" s="1101" t="str">
        <f>IF(Unformatted!E372="OTHER","",Unformatted!E372)</f>
        <v/>
      </c>
      <c r="E339" s="1102"/>
      <c r="F339" s="1101" t="str">
        <f>Unformatted!F372</f>
        <v/>
      </c>
      <c r="G339" s="1103"/>
      <c r="H339" s="1103"/>
      <c r="I339" s="1102"/>
    </row>
    <row r="340" spans="1:9" x14ac:dyDescent="0.25">
      <c r="A340" s="259" t="str">
        <f>IF(Unformatted!C373=0,"",Unformatted!C373)</f>
        <v/>
      </c>
      <c r="B340" s="1124" t="str">
        <f>IF(Required!H18=0,"",Required!H18)</f>
        <v/>
      </c>
      <c r="C340" s="1124"/>
      <c r="D340" s="1101" t="str">
        <f>IF(Unformatted!E373="OTHER","",Unformatted!E373)</f>
        <v/>
      </c>
      <c r="E340" s="1102"/>
      <c r="F340" s="1101" t="str">
        <f>Unformatted!F373</f>
        <v/>
      </c>
      <c r="G340" s="1103"/>
      <c r="H340" s="1103"/>
      <c r="I340" s="1102"/>
    </row>
    <row r="341" spans="1:9" s="602" customFormat="1" x14ac:dyDescent="0.25">
      <c r="A341" s="259" t="str">
        <f>IF(Unformatted!C374=0,"",Unformatted!C374)</f>
        <v/>
      </c>
      <c r="B341" s="1124" t="str">
        <f>IF(Required!H19=0,"",Required!H19)</f>
        <v/>
      </c>
      <c r="C341" s="1124"/>
      <c r="D341" s="1101" t="str">
        <f>IF(Unformatted!E374="OTHER","",Unformatted!E374)</f>
        <v/>
      </c>
      <c r="E341" s="1102"/>
      <c r="F341" s="1101" t="str">
        <f>Unformatted!F374</f>
        <v/>
      </c>
      <c r="G341" s="1103"/>
      <c r="H341" s="1103"/>
      <c r="I341" s="1102"/>
    </row>
    <row r="342" spans="1:9" ht="23.25" customHeight="1" thickBot="1" x14ac:dyDescent="0.3">
      <c r="A342" s="244" t="s">
        <v>500</v>
      </c>
    </row>
    <row r="343" spans="1:9" ht="15.75" thickBot="1" x14ac:dyDescent="0.3">
      <c r="A343" s="258" t="s">
        <v>456</v>
      </c>
      <c r="B343" s="1198" t="s">
        <v>161</v>
      </c>
      <c r="C343" s="1199"/>
      <c r="D343" s="1200" t="s">
        <v>539</v>
      </c>
      <c r="E343" s="1201"/>
      <c r="F343" s="1201"/>
      <c r="G343" s="1201"/>
      <c r="H343" s="1201"/>
      <c r="I343" s="1202"/>
    </row>
    <row r="344" spans="1:9" x14ac:dyDescent="0.25">
      <c r="A344" s="259" t="str">
        <f>IF(Unformatted!C378=0,"",Unformatted!C378)</f>
        <v/>
      </c>
      <c r="B344" s="1154" t="str">
        <f>IF(Unformatted!D378=0,"",Unformatted!D378)</f>
        <v>Lead Insulation</v>
      </c>
      <c r="C344" s="1155"/>
      <c r="D344" s="1106" t="str">
        <f>Unformatted!E378</f>
        <v/>
      </c>
      <c r="E344" s="1107"/>
      <c r="F344" s="1107"/>
      <c r="G344" s="1107"/>
      <c r="H344" s="1107"/>
      <c r="I344" s="1108"/>
    </row>
    <row r="345" spans="1:9" x14ac:dyDescent="0.25">
      <c r="A345" s="21" t="str">
        <f>IF(Unformatted!C379=0,"",Unformatted!C379)</f>
        <v/>
      </c>
      <c r="B345" s="1101" t="str">
        <f>IF(Unformatted!D379=0,"",Unformatted!D379)</f>
        <v>Gasket Material</v>
      </c>
      <c r="C345" s="1102"/>
      <c r="D345" s="1106" t="str">
        <f>Unformatted!E379</f>
        <v/>
      </c>
      <c r="E345" s="1107"/>
      <c r="F345" s="1107"/>
      <c r="G345" s="1107"/>
      <c r="H345" s="1107"/>
      <c r="I345" s="1108"/>
    </row>
    <row r="346" spans="1:9" x14ac:dyDescent="0.25">
      <c r="A346" s="21" t="str">
        <f>IF(Unformatted!C380=0,"",Unformatted!C380)</f>
        <v/>
      </c>
      <c r="B346" s="1101" t="str">
        <f>IF(Unformatted!D380=0,"",Unformatted!D380)</f>
        <v>Lube Pipe Kit</v>
      </c>
      <c r="C346" s="1102"/>
      <c r="D346" s="1106" t="str">
        <f>Unformatted!E380</f>
        <v/>
      </c>
      <c r="E346" s="1107"/>
      <c r="F346" s="1107"/>
      <c r="G346" s="1107"/>
      <c r="H346" s="1107"/>
      <c r="I346" s="1108"/>
    </row>
    <row r="347" spans="1:9" x14ac:dyDescent="0.25">
      <c r="A347" s="21" t="str">
        <f>IF(Unformatted!C381=0,"",Unformatted!C381)</f>
        <v/>
      </c>
      <c r="B347" s="1101" t="str">
        <f>IF(Unformatted!D381=0,"",Unformatted!D381)</f>
        <v>Paint</v>
      </c>
      <c r="C347" s="1102"/>
      <c r="D347" s="1106" t="str">
        <f>Unformatted!E381</f>
        <v/>
      </c>
      <c r="E347" s="1107"/>
      <c r="F347" s="1107"/>
      <c r="G347" s="1107"/>
      <c r="H347" s="1107"/>
      <c r="I347" s="1108"/>
    </row>
    <row r="348" spans="1:9" x14ac:dyDescent="0.25">
      <c r="A348" s="21" t="str">
        <f>IF(Unformatted!C382=0,"",Unformatted!C382)</f>
        <v/>
      </c>
      <c r="B348" s="1101" t="str">
        <f>IF(Unformatted!D382=0,"",Unformatted!D382)</f>
        <v>Key Stock</v>
      </c>
      <c r="C348" s="1102"/>
      <c r="D348" s="1106" t="str">
        <f>Unformatted!E382</f>
        <v/>
      </c>
      <c r="E348" s="1107"/>
      <c r="F348" s="1107"/>
      <c r="G348" s="1107"/>
      <c r="H348" s="1107"/>
      <c r="I348" s="1108"/>
    </row>
    <row r="349" spans="1:9" x14ac:dyDescent="0.25">
      <c r="A349" s="21" t="str">
        <f>IF(Unformatted!C383=0,"",Unformatted!C383)</f>
        <v/>
      </c>
      <c r="B349" s="1101" t="str">
        <f>IF(Unformatted!D383=0,"",Unformatted!D383)</f>
        <v>Stub Material</v>
      </c>
      <c r="C349" s="1102"/>
      <c r="D349" s="1106" t="str">
        <f>Unformatted!E383</f>
        <v/>
      </c>
      <c r="E349" s="1107"/>
      <c r="F349" s="1107"/>
      <c r="G349" s="1107"/>
      <c r="H349" s="1107"/>
      <c r="I349" s="1108"/>
    </row>
    <row r="350" spans="1:9" x14ac:dyDescent="0.25">
      <c r="A350" s="21" t="str">
        <f>IF(Unformatted!C384=0,"",Unformatted!C384)</f>
        <v/>
      </c>
      <c r="B350" s="1101" t="str">
        <f>IF(Unformatted!D384=0,"",Unformatted!D384)</f>
        <v>Oil</v>
      </c>
      <c r="C350" s="1102"/>
      <c r="D350" s="1106" t="str">
        <f>Unformatted!E384</f>
        <v/>
      </c>
      <c r="E350" s="1107"/>
      <c r="F350" s="1107"/>
      <c r="G350" s="1107"/>
      <c r="H350" s="1107"/>
      <c r="I350" s="1108"/>
    </row>
    <row r="351" spans="1:9" x14ac:dyDescent="0.25">
      <c r="A351" s="21" t="str">
        <f>IF(Unformatted!C385=0,"",Unformatted!C385)</f>
        <v/>
      </c>
      <c r="B351" s="1101" t="str">
        <f>IF(Unformatted!D385=0,"",Unformatted!D385)</f>
        <v>Grease</v>
      </c>
      <c r="C351" s="1102"/>
      <c r="D351" s="1106" t="str">
        <f>Unformatted!E385</f>
        <v/>
      </c>
      <c r="E351" s="1107"/>
      <c r="F351" s="1107"/>
      <c r="G351" s="1107"/>
      <c r="H351" s="1107"/>
      <c r="I351" s="1108"/>
    </row>
    <row r="352" spans="1:9" x14ac:dyDescent="0.25">
      <c r="A352" s="21" t="str">
        <f>IF(Unformatted!C386=0,"",Unformatted!C386)</f>
        <v/>
      </c>
      <c r="B352" s="1101" t="str">
        <f>IF(Unformatted!D386="OTHER","",Unformatted!D386)</f>
        <v>Sightglass</v>
      </c>
      <c r="C352" s="1102"/>
      <c r="D352" s="1106" t="str">
        <f>Unformatted!E386</f>
        <v/>
      </c>
      <c r="E352" s="1107"/>
      <c r="F352" s="1107"/>
      <c r="G352" s="1107"/>
      <c r="H352" s="1107"/>
      <c r="I352" s="1108"/>
    </row>
    <row r="353" spans="1:9" x14ac:dyDescent="0.25">
      <c r="A353" s="21" t="str">
        <f>IF(Unformatted!C387=0,"",Unformatted!C387)</f>
        <v/>
      </c>
      <c r="B353" s="1101" t="str">
        <f>IF(Unformatted!D387="OTHER","",Unformatted!D387)</f>
        <v/>
      </c>
      <c r="C353" s="1102"/>
      <c r="D353" s="1106" t="str">
        <f>Unformatted!E387</f>
        <v/>
      </c>
      <c r="E353" s="1107"/>
      <c r="F353" s="1107"/>
      <c r="G353" s="1107"/>
      <c r="H353" s="1107"/>
      <c r="I353" s="1108"/>
    </row>
    <row r="354" spans="1:9" x14ac:dyDescent="0.25">
      <c r="A354" s="21" t="str">
        <f>IF(Unformatted!C388=0,"",Unformatted!C388)</f>
        <v/>
      </c>
      <c r="B354" s="1104" t="str">
        <f>IF(Unformatted!D388="OTHER","",Unformatted!D388)</f>
        <v/>
      </c>
      <c r="C354" s="1105"/>
      <c r="D354" s="1106" t="str">
        <f>Unformatted!E388</f>
        <v/>
      </c>
      <c r="E354" s="1107"/>
      <c r="F354" s="1107"/>
      <c r="G354" s="1107"/>
      <c r="H354" s="1107"/>
      <c r="I354" s="1108"/>
    </row>
    <row r="355" spans="1:9" x14ac:dyDescent="0.25">
      <c r="A355" s="606" t="str">
        <f>IF(Unformatted!C389=0,"",Unformatted!C389)</f>
        <v/>
      </c>
      <c r="B355" s="1104" t="str">
        <f>IF(Unformatted!D389="OTHER","",Unformatted!D389)</f>
        <v/>
      </c>
      <c r="C355" s="1105"/>
      <c r="D355" s="1106" t="str">
        <f>Unformatted!E389</f>
        <v/>
      </c>
      <c r="E355" s="1107"/>
      <c r="F355" s="1107"/>
      <c r="G355" s="1107"/>
      <c r="H355" s="1107"/>
      <c r="I355" s="1108"/>
    </row>
  </sheetData>
  <sheetProtection sheet="1" selectLockedCells="1"/>
  <mergeCells count="176">
    <mergeCell ref="H50:I50"/>
    <mergeCell ref="H51:I51"/>
    <mergeCell ref="H52:I52"/>
    <mergeCell ref="D49:I49"/>
    <mergeCell ref="A2:I2"/>
    <mergeCell ref="A5:I5"/>
    <mergeCell ref="H6:I6"/>
    <mergeCell ref="H7:I7"/>
    <mergeCell ref="B15:C15"/>
    <mergeCell ref="A17:I17"/>
    <mergeCell ref="B16:C16"/>
    <mergeCell ref="B7:D7"/>
    <mergeCell ref="B8:D8"/>
    <mergeCell ref="B9:D9"/>
    <mergeCell ref="F9:I9"/>
    <mergeCell ref="B6:D6"/>
    <mergeCell ref="D46:E46"/>
    <mergeCell ref="G47:I47"/>
    <mergeCell ref="D47:E47"/>
    <mergeCell ref="B29:B30"/>
    <mergeCell ref="C19:E19"/>
    <mergeCell ref="D41:E41"/>
    <mergeCell ref="G41:I41"/>
    <mergeCell ref="H42:I42"/>
    <mergeCell ref="H48:I48"/>
    <mergeCell ref="H44:I44"/>
    <mergeCell ref="H45:I45"/>
    <mergeCell ref="G46:I46"/>
    <mergeCell ref="A28:I28"/>
    <mergeCell ref="F21:I21"/>
    <mergeCell ref="H43:I43"/>
    <mergeCell ref="D40:I40"/>
    <mergeCell ref="A40:B40"/>
    <mergeCell ref="D23:I23"/>
    <mergeCell ref="C29:E29"/>
    <mergeCell ref="C33:F33"/>
    <mergeCell ref="A39:I39"/>
    <mergeCell ref="C34:C35"/>
    <mergeCell ref="D34:D35"/>
    <mergeCell ref="E34:E35"/>
    <mergeCell ref="F34:G35"/>
    <mergeCell ref="F24:I24"/>
    <mergeCell ref="B332:C332"/>
    <mergeCell ref="D332:E332"/>
    <mergeCell ref="F332:I332"/>
    <mergeCell ref="B333:C333"/>
    <mergeCell ref="D333:E333"/>
    <mergeCell ref="F333:I333"/>
    <mergeCell ref="D354:I354"/>
    <mergeCell ref="B354:C354"/>
    <mergeCell ref="A10:I10"/>
    <mergeCell ref="B11:C11"/>
    <mergeCell ref="B12:C12"/>
    <mergeCell ref="B13:C13"/>
    <mergeCell ref="B14:C14"/>
    <mergeCell ref="A161:I161"/>
    <mergeCell ref="A325:I325"/>
    <mergeCell ref="B327:C327"/>
    <mergeCell ref="G176:I176"/>
    <mergeCell ref="G177:I178"/>
    <mergeCell ref="G179:I179"/>
    <mergeCell ref="B181:C181"/>
    <mergeCell ref="D181:E181"/>
    <mergeCell ref="G181:I182"/>
    <mergeCell ref="A162:F162"/>
    <mergeCell ref="F169:G169"/>
    <mergeCell ref="B330:C330"/>
    <mergeCell ref="D330:E330"/>
    <mergeCell ref="F330:I330"/>
    <mergeCell ref="B331:C331"/>
    <mergeCell ref="D331:E331"/>
    <mergeCell ref="F331:I331"/>
    <mergeCell ref="D327:E327"/>
    <mergeCell ref="F327:I327"/>
    <mergeCell ref="B352:C352"/>
    <mergeCell ref="D352:I352"/>
    <mergeCell ref="B338:C338"/>
    <mergeCell ref="F338:I338"/>
    <mergeCell ref="B337:C337"/>
    <mergeCell ref="D337:E337"/>
    <mergeCell ref="F337:I337"/>
    <mergeCell ref="B334:C334"/>
    <mergeCell ref="D334:E334"/>
    <mergeCell ref="F334:I334"/>
    <mergeCell ref="B335:C335"/>
    <mergeCell ref="D335:E335"/>
    <mergeCell ref="F335:I335"/>
    <mergeCell ref="B336:C336"/>
    <mergeCell ref="D336:E336"/>
    <mergeCell ref="F336:I336"/>
    <mergeCell ref="B353:C353"/>
    <mergeCell ref="D353:I353"/>
    <mergeCell ref="B349:C349"/>
    <mergeCell ref="D349:I349"/>
    <mergeCell ref="B350:C350"/>
    <mergeCell ref="D350:I350"/>
    <mergeCell ref="B351:C351"/>
    <mergeCell ref="D351:I351"/>
    <mergeCell ref="B339:C339"/>
    <mergeCell ref="D339:E339"/>
    <mergeCell ref="F339:I339"/>
    <mergeCell ref="B346:C346"/>
    <mergeCell ref="D346:I346"/>
    <mergeCell ref="B347:C347"/>
    <mergeCell ref="D347:I347"/>
    <mergeCell ref="B348:C348"/>
    <mergeCell ref="D348:I348"/>
    <mergeCell ref="B343:C343"/>
    <mergeCell ref="D343:I343"/>
    <mergeCell ref="B344:C344"/>
    <mergeCell ref="D344:I344"/>
    <mergeCell ref="B345:C345"/>
    <mergeCell ref="D345:I345"/>
    <mergeCell ref="B341:C341"/>
    <mergeCell ref="H170:I170"/>
    <mergeCell ref="F170:G170"/>
    <mergeCell ref="A53:I53"/>
    <mergeCell ref="A57:I57"/>
    <mergeCell ref="A54:I56"/>
    <mergeCell ref="A58:I63"/>
    <mergeCell ref="A64:I64"/>
    <mergeCell ref="A75:I75"/>
    <mergeCell ref="A100:I103"/>
    <mergeCell ref="F126:H127"/>
    <mergeCell ref="A111:E111"/>
    <mergeCell ref="E122:I122"/>
    <mergeCell ref="A104:I104"/>
    <mergeCell ref="A99:I99"/>
    <mergeCell ref="A65:I74"/>
    <mergeCell ref="A76:I85"/>
    <mergeCell ref="A87:I90"/>
    <mergeCell ref="A92:I98"/>
    <mergeCell ref="A86:I86"/>
    <mergeCell ref="A91:I91"/>
    <mergeCell ref="A131:I131"/>
    <mergeCell ref="D328:E328"/>
    <mergeCell ref="F328:I328"/>
    <mergeCell ref="A200:I200"/>
    <mergeCell ref="A201:I215"/>
    <mergeCell ref="G183:I183"/>
    <mergeCell ref="G184:I185"/>
    <mergeCell ref="B174:C174"/>
    <mergeCell ref="D174:E174"/>
    <mergeCell ref="G174:I175"/>
    <mergeCell ref="A216:I216"/>
    <mergeCell ref="A238:I238"/>
    <mergeCell ref="A250:I250"/>
    <mergeCell ref="A251:I259"/>
    <mergeCell ref="G186:I186"/>
    <mergeCell ref="A187:C187"/>
    <mergeCell ref="F188:I188"/>
    <mergeCell ref="A279:C279"/>
    <mergeCell ref="D341:E341"/>
    <mergeCell ref="F341:I341"/>
    <mergeCell ref="B355:C355"/>
    <mergeCell ref="D355:I355"/>
    <mergeCell ref="A295:I295"/>
    <mergeCell ref="A273:I273"/>
    <mergeCell ref="H124:H125"/>
    <mergeCell ref="B318:I324"/>
    <mergeCell ref="A316:B317"/>
    <mergeCell ref="A287:I294"/>
    <mergeCell ref="B340:C340"/>
    <mergeCell ref="D340:E340"/>
    <mergeCell ref="F340:I340"/>
    <mergeCell ref="A260:I260"/>
    <mergeCell ref="A261:I272"/>
    <mergeCell ref="A286:I286"/>
    <mergeCell ref="B329:C329"/>
    <mergeCell ref="D329:E329"/>
    <mergeCell ref="F329:I329"/>
    <mergeCell ref="A145:I145"/>
    <mergeCell ref="A132:I144"/>
    <mergeCell ref="A146:I160"/>
    <mergeCell ref="H169:I169"/>
    <mergeCell ref="B328:C328"/>
  </mergeCells>
  <conditionalFormatting sqref="B166">
    <cfRule type="expression" dxfId="268" priority="81">
      <formula>$B$165="Damaged"</formula>
    </cfRule>
  </conditionalFormatting>
  <conditionalFormatting sqref="C177:C178">
    <cfRule type="expression" dxfId="267" priority="79">
      <formula>AND(C177&lt;&gt;"",C177&lt;&gt;"OK")</formula>
    </cfRule>
  </conditionalFormatting>
  <conditionalFormatting sqref="B177:B178">
    <cfRule type="expression" dxfId="266" priority="78">
      <formula>AND(B177&lt;&gt;"",B177&lt;&gt;"OK")</formula>
    </cfRule>
  </conditionalFormatting>
  <conditionalFormatting sqref="B184">
    <cfRule type="expression" dxfId="265" priority="77">
      <formula>AND(B184&lt;&gt;"",B184&lt;&gt;"OK")</formula>
    </cfRule>
  </conditionalFormatting>
  <conditionalFormatting sqref="C184">
    <cfRule type="expression" dxfId="264" priority="76">
      <formula>AND(C184&lt;&gt;"",C184&lt;&gt;"OK")</formula>
    </cfRule>
  </conditionalFormatting>
  <conditionalFormatting sqref="D177:D178">
    <cfRule type="expression" dxfId="263" priority="75">
      <formula>AND(D177&lt;&gt;"",D177&lt;&gt;"OK")</formula>
    </cfRule>
  </conditionalFormatting>
  <conditionalFormatting sqref="E177:E178">
    <cfRule type="expression" dxfId="262" priority="74">
      <formula>AND(E177&lt;&gt;"",E177&lt;&gt;"OK")</formula>
    </cfRule>
  </conditionalFormatting>
  <conditionalFormatting sqref="D184">
    <cfRule type="expression" dxfId="261" priority="73">
      <formula>AND(D184&lt;&gt;"",D184&lt;&gt;"OK")</formula>
    </cfRule>
  </conditionalFormatting>
  <conditionalFormatting sqref="E184">
    <cfRule type="expression" dxfId="260" priority="72">
      <formula>AND(E184&lt;&gt;"",E184&lt;&gt;"OK")</formula>
    </cfRule>
  </conditionalFormatting>
  <conditionalFormatting sqref="C278 B280:C283">
    <cfRule type="expression" dxfId="259" priority="68">
      <formula>$C$277="Yes"</formula>
    </cfRule>
  </conditionalFormatting>
  <conditionalFormatting sqref="B277:B278">
    <cfRule type="expression" dxfId="258" priority="67">
      <formula>$C$277="Yes"</formula>
    </cfRule>
  </conditionalFormatting>
  <conditionalFormatting sqref="H276">
    <cfRule type="expression" dxfId="257" priority="66">
      <formula>$H$276="FAIL"</formula>
    </cfRule>
  </conditionalFormatting>
  <conditionalFormatting sqref="D164">
    <cfRule type="expression" dxfId="256" priority="88">
      <formula>$E$164="Damaged"</formula>
    </cfRule>
  </conditionalFormatting>
  <conditionalFormatting sqref="D165">
    <cfRule type="expression" dxfId="255" priority="48">
      <formula>AND($E$165&lt;&gt;"Good",$E$165&lt;&gt;"No Feet",$E$165&lt;&gt;"N/A")</formula>
    </cfRule>
  </conditionalFormatting>
  <conditionalFormatting sqref="A112">
    <cfRule type="expression" dxfId="254" priority="43">
      <formula>AND(B112 &lt;&gt; "Yes",B112&lt;&gt;"N/A")</formula>
    </cfRule>
  </conditionalFormatting>
  <conditionalFormatting sqref="B129">
    <cfRule type="expression" dxfId="253" priority="7082">
      <formula>$C$129=" YES"</formula>
    </cfRule>
  </conditionalFormatting>
  <pageMargins left="0.4" right="0.4" top="0.5" bottom="0.5" header="0.3" footer="0.3"/>
  <pageSetup scale="95" orientation="portrait" errors="blank" r:id="rId1"/>
  <headerFooter differentFirst="1">
    <oddHeader>&amp;L&amp;"-,Italic"VEM Equipment Repair Report&amp;R&amp;"-,Italic"Page &amp;P</oddHeader>
    <oddFooter>&amp;LB7.8&amp;C&amp;"-,Italic"Vallejo Electric Motor, Inc.</oddFooter>
  </headerFooter>
  <rowBreaks count="1" manualBreakCount="1">
    <brk id="160" max="16383" man="1"/>
  </rowBreaks>
  <drawing r:id="rId2"/>
  <legacyDrawing r:id="rId3"/>
  <controls>
    <mc:AlternateContent xmlns:mc="http://schemas.openxmlformats.org/markup-compatibility/2006">
      <mc:Choice Requires="x14">
        <control shapeId="134246" r:id="rId4" name="TextBox2">
          <controlPr defaultSize="0" autoLine="0" autoPict="0" linkedCell="Unformatted!$E$355" r:id="rId5">
            <anchor moveWithCells="1">
              <from>
                <xdr:col>3</xdr:col>
                <xdr:colOff>628650</xdr:colOff>
                <xdr:row>306</xdr:row>
                <xdr:rowOff>9525</xdr:rowOff>
              </from>
              <to>
                <xdr:col>8</xdr:col>
                <xdr:colOff>371475</xdr:colOff>
                <xdr:row>315</xdr:row>
                <xdr:rowOff>47625</xdr:rowOff>
              </to>
            </anchor>
          </controlPr>
        </control>
      </mc:Choice>
      <mc:Fallback>
        <control shapeId="134246" r:id="rId4" name="TextBox2"/>
      </mc:Fallback>
    </mc:AlternateContent>
    <mc:AlternateContent xmlns:mc="http://schemas.openxmlformats.org/markup-compatibility/2006">
      <mc:Choice Requires="x14">
        <control shapeId="134245" r:id="rId6" name="TextBox1">
          <controlPr defaultSize="0" autoLine="0" autoPict="0" linkedCell="Unformatted!$E$341" r:id="rId7">
            <anchor moveWithCells="1">
              <from>
                <xdr:col>0</xdr:col>
                <xdr:colOff>9525</xdr:colOff>
                <xdr:row>306</xdr:row>
                <xdr:rowOff>19050</xdr:rowOff>
              </from>
              <to>
                <xdr:col>3</xdr:col>
                <xdr:colOff>419100</xdr:colOff>
                <xdr:row>315</xdr:row>
                <xdr:rowOff>38100</xdr:rowOff>
              </to>
            </anchor>
          </controlPr>
        </control>
      </mc:Choice>
      <mc:Fallback>
        <control shapeId="134245" r:id="rId6" name="TextBox1"/>
      </mc:Fallback>
    </mc:AlternateContent>
    <mc:AlternateContent xmlns:mc="http://schemas.openxmlformats.org/markup-compatibility/2006">
      <mc:Choice Requires="x14">
        <control shapeId="134145" r:id="rId8" name="Check Box 1">
          <controlPr defaultSize="0" autoFill="0" autoLine="0" autoPict="0">
            <anchor moveWithCells="1">
              <from>
                <xdr:col>1</xdr:col>
                <xdr:colOff>904875</xdr:colOff>
                <xdr:row>17</xdr:row>
                <xdr:rowOff>28575</xdr:rowOff>
              </from>
              <to>
                <xdr:col>2</xdr:col>
                <xdr:colOff>676275</xdr:colOff>
                <xdr:row>17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46" r:id="rId9" name="Check Box 2">
          <controlPr defaultSize="0" autoFill="0" autoLine="0" autoPict="0" altText="Gearbox">
            <anchor moveWithCells="1">
              <from>
                <xdr:col>3</xdr:col>
                <xdr:colOff>257175</xdr:colOff>
                <xdr:row>17</xdr:row>
                <xdr:rowOff>28575</xdr:rowOff>
              </from>
              <to>
                <xdr:col>3</xdr:col>
                <xdr:colOff>809625</xdr:colOff>
                <xdr:row>17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47" r:id="rId10" name="Check Box 3">
          <controlPr defaultSize="0" autoFill="0" autoLine="0" autoPict="0">
            <anchor moveWithCells="1">
              <from>
                <xdr:col>2</xdr:col>
                <xdr:colOff>609600</xdr:colOff>
                <xdr:row>17</xdr:row>
                <xdr:rowOff>28575</xdr:rowOff>
              </from>
              <to>
                <xdr:col>3</xdr:col>
                <xdr:colOff>295275</xdr:colOff>
                <xdr:row>17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48" r:id="rId11" name="Check Box 4">
          <controlPr defaultSize="0" autoFill="0" autoLine="0" autoPict="0">
            <anchor moveWithCells="1">
              <from>
                <xdr:col>5</xdr:col>
                <xdr:colOff>276225</xdr:colOff>
                <xdr:row>17</xdr:row>
                <xdr:rowOff>257175</xdr:rowOff>
              </from>
              <to>
                <xdr:col>7</xdr:col>
                <xdr:colOff>38100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50" r:id="rId12" name="Check Box 6">
          <controlPr defaultSize="0" autoFill="0" autoLine="0" autoPict="0">
            <anchor moveWithCells="1">
              <from>
                <xdr:col>0</xdr:col>
                <xdr:colOff>304800</xdr:colOff>
                <xdr:row>278</xdr:row>
                <xdr:rowOff>180975</xdr:rowOff>
              </from>
              <to>
                <xdr:col>0</xdr:col>
                <xdr:colOff>895350</xdr:colOff>
                <xdr:row>280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51" r:id="rId13" name="Check Box 7">
          <controlPr defaultSize="0" autoFill="0" autoLine="0" autoPict="0">
            <anchor moveWithCells="1">
              <from>
                <xdr:col>1</xdr:col>
                <xdr:colOff>409575</xdr:colOff>
                <xdr:row>278</xdr:row>
                <xdr:rowOff>180975</xdr:rowOff>
              </from>
              <to>
                <xdr:col>2</xdr:col>
                <xdr:colOff>752475</xdr:colOff>
                <xdr:row>280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52" r:id="rId14" name="Check Box 8">
          <controlPr defaultSize="0" autoFill="0" autoLine="0" autoPict="0">
            <anchor moveWithCells="1">
              <from>
                <xdr:col>0</xdr:col>
                <xdr:colOff>304800</xdr:colOff>
                <xdr:row>280</xdr:row>
                <xdr:rowOff>9525</xdr:rowOff>
              </from>
              <to>
                <xdr:col>1</xdr:col>
                <xdr:colOff>123825</xdr:colOff>
                <xdr:row>281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53" r:id="rId15" name="Check Box 9">
          <controlPr defaultSize="0" autoFill="0" autoLine="0" autoPict="0">
            <anchor moveWithCells="1">
              <from>
                <xdr:col>1</xdr:col>
                <xdr:colOff>409575</xdr:colOff>
                <xdr:row>280</xdr:row>
                <xdr:rowOff>19050</xdr:rowOff>
              </from>
              <to>
                <xdr:col>2</xdr:col>
                <xdr:colOff>419100</xdr:colOff>
                <xdr:row>281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64" r:id="rId16" name="Check Box 20">
          <controlPr defaultSize="0" autoFill="0" autoLine="0" autoPict="0">
            <anchor moveWithCells="1">
              <from>
                <xdr:col>2</xdr:col>
                <xdr:colOff>28575</xdr:colOff>
                <xdr:row>126</xdr:row>
                <xdr:rowOff>161925</xdr:rowOff>
              </from>
              <to>
                <xdr:col>3</xdr:col>
                <xdr:colOff>9525</xdr:colOff>
                <xdr:row>128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65" r:id="rId17" name="Check Box 21">
          <controlPr defaultSize="0" autoFill="0" autoLine="0" autoPict="0">
            <anchor moveWithCells="1">
              <from>
                <xdr:col>2</xdr:col>
                <xdr:colOff>685800</xdr:colOff>
                <xdr:row>126</xdr:row>
                <xdr:rowOff>161925</xdr:rowOff>
              </from>
              <to>
                <xdr:col>3</xdr:col>
                <xdr:colOff>666750</xdr:colOff>
                <xdr:row>128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66" r:id="rId18" name="Check Box 22">
          <controlPr defaultSize="0" autoFill="0" autoLine="0" autoPict="0">
            <anchor moveWithCells="1">
              <from>
                <xdr:col>3</xdr:col>
                <xdr:colOff>390525</xdr:colOff>
                <xdr:row>126</xdr:row>
                <xdr:rowOff>161925</xdr:rowOff>
              </from>
              <to>
                <xdr:col>4</xdr:col>
                <xdr:colOff>371475</xdr:colOff>
                <xdr:row>128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67" r:id="rId19" name="Check Box 23">
          <controlPr defaultSize="0" autoFill="0" autoLine="0" autoPict="0">
            <anchor moveWithCells="1">
              <from>
                <xdr:col>4</xdr:col>
                <xdr:colOff>95250</xdr:colOff>
                <xdr:row>126</xdr:row>
                <xdr:rowOff>161925</xdr:rowOff>
              </from>
              <to>
                <xdr:col>4</xdr:col>
                <xdr:colOff>638175</xdr:colOff>
                <xdr:row>128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68" r:id="rId20" name="Check Box 24">
          <controlPr defaultSize="0" autoFill="0" autoLine="0" autoPict="0">
            <anchor moveWithCells="1">
              <from>
                <xdr:col>4</xdr:col>
                <xdr:colOff>161925</xdr:colOff>
                <xdr:row>297</xdr:row>
                <xdr:rowOff>19050</xdr:rowOff>
              </from>
              <to>
                <xdr:col>6</xdr:col>
                <xdr:colOff>0</xdr:colOff>
                <xdr:row>298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69" r:id="rId21" name="Check Box 25">
          <controlPr defaultSize="0" autoFill="0" autoLine="0" autoPict="0">
            <anchor moveWithCells="1">
              <from>
                <xdr:col>4</xdr:col>
                <xdr:colOff>161925</xdr:colOff>
                <xdr:row>298</xdr:row>
                <xdr:rowOff>47625</xdr:rowOff>
              </from>
              <to>
                <xdr:col>6</xdr:col>
                <xdr:colOff>0</xdr:colOff>
                <xdr:row>299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70" r:id="rId22" name="Check Box 26">
          <controlPr defaultSize="0" autoFill="0" autoLine="0" autoPict="0">
            <anchor moveWithCells="1">
              <from>
                <xdr:col>4</xdr:col>
                <xdr:colOff>161925</xdr:colOff>
                <xdr:row>299</xdr:row>
                <xdr:rowOff>57150</xdr:rowOff>
              </from>
              <to>
                <xdr:col>6</xdr:col>
                <xdr:colOff>0</xdr:colOff>
                <xdr:row>300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71" r:id="rId23" name="Check Box 27">
          <controlPr defaultSize="0" autoFill="0" autoLine="0" autoPict="0">
            <anchor moveWithCells="1">
              <from>
                <xdr:col>4</xdr:col>
                <xdr:colOff>161925</xdr:colOff>
                <xdr:row>300</xdr:row>
                <xdr:rowOff>76200</xdr:rowOff>
              </from>
              <to>
                <xdr:col>6</xdr:col>
                <xdr:colOff>0</xdr:colOff>
                <xdr:row>301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72" r:id="rId24" name="Check Box 28">
          <controlPr defaultSize="0" autoFill="0" autoLine="0" autoPict="0">
            <anchor moveWithCells="1">
              <from>
                <xdr:col>4</xdr:col>
                <xdr:colOff>161925</xdr:colOff>
                <xdr:row>301</xdr:row>
                <xdr:rowOff>104775</xdr:rowOff>
              </from>
              <to>
                <xdr:col>6</xdr:col>
                <xdr:colOff>0</xdr:colOff>
                <xdr:row>302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73" r:id="rId25" name="Check Box 29">
          <controlPr defaultSize="0" autoFill="0" autoLine="0" autoPict="0">
            <anchor moveWithCells="1">
              <from>
                <xdr:col>6</xdr:col>
                <xdr:colOff>9525</xdr:colOff>
                <xdr:row>297</xdr:row>
                <xdr:rowOff>19050</xdr:rowOff>
              </from>
              <to>
                <xdr:col>8</xdr:col>
                <xdr:colOff>266700</xdr:colOff>
                <xdr:row>298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74" r:id="rId26" name="Check Box 30">
          <controlPr defaultSize="0" autoFill="0" autoLine="0" autoPict="0">
            <anchor moveWithCells="1">
              <from>
                <xdr:col>6</xdr:col>
                <xdr:colOff>9525</xdr:colOff>
                <xdr:row>298</xdr:row>
                <xdr:rowOff>38100</xdr:rowOff>
              </from>
              <to>
                <xdr:col>8</xdr:col>
                <xdr:colOff>180975</xdr:colOff>
                <xdr:row>299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75" r:id="rId27" name="Check Box 31">
          <controlPr defaultSize="0" autoFill="0" autoLine="0" autoPict="0">
            <anchor moveWithCells="1">
              <from>
                <xdr:col>6</xdr:col>
                <xdr:colOff>9525</xdr:colOff>
                <xdr:row>299</xdr:row>
                <xdr:rowOff>57150</xdr:rowOff>
              </from>
              <to>
                <xdr:col>8</xdr:col>
                <xdr:colOff>180975</xdr:colOff>
                <xdr:row>300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76" r:id="rId28" name="Check Box 32">
          <controlPr defaultSize="0" autoFill="0" autoLine="0" autoPict="0">
            <anchor moveWithCells="1">
              <from>
                <xdr:col>6</xdr:col>
                <xdr:colOff>9525</xdr:colOff>
                <xdr:row>300</xdr:row>
                <xdr:rowOff>76200</xdr:rowOff>
              </from>
              <to>
                <xdr:col>8</xdr:col>
                <xdr:colOff>180975</xdr:colOff>
                <xdr:row>301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80" r:id="rId29" name="Check Box 36">
          <controlPr defaultSize="0" autoFill="0" autoLine="0" autoPict="0">
            <anchor moveWithCells="1">
              <from>
                <xdr:col>0</xdr:col>
                <xdr:colOff>85725</xdr:colOff>
                <xdr:row>317</xdr:row>
                <xdr:rowOff>85725</xdr:rowOff>
              </from>
              <to>
                <xdr:col>0</xdr:col>
                <xdr:colOff>866775</xdr:colOff>
                <xdr:row>318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81" r:id="rId30" name="Check Box 37">
          <controlPr defaultSize="0" autoFill="0" autoLine="0" autoPict="0">
            <anchor moveWithCells="1">
              <from>
                <xdr:col>0</xdr:col>
                <xdr:colOff>85725</xdr:colOff>
                <xdr:row>318</xdr:row>
                <xdr:rowOff>161925</xdr:rowOff>
              </from>
              <to>
                <xdr:col>0</xdr:col>
                <xdr:colOff>866775</xdr:colOff>
                <xdr:row>319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92" r:id="rId31" name="Check Box 48">
          <controlPr defaultSize="0" autoFill="0" autoLine="0" autoPict="0">
            <anchor moveWithCells="1">
              <from>
                <xdr:col>0</xdr:col>
                <xdr:colOff>304800</xdr:colOff>
                <xdr:row>281</xdr:row>
                <xdr:rowOff>28575</xdr:rowOff>
              </from>
              <to>
                <xdr:col>1</xdr:col>
                <xdr:colOff>133350</xdr:colOff>
                <xdr:row>282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93" r:id="rId32" name="Check Box 49">
          <controlPr defaultSize="0" autoFill="0" autoLine="0" autoPict="0">
            <anchor moveWithCells="1">
              <from>
                <xdr:col>1</xdr:col>
                <xdr:colOff>409575</xdr:colOff>
                <xdr:row>281</xdr:row>
                <xdr:rowOff>38100</xdr:rowOff>
              </from>
              <to>
                <xdr:col>2</xdr:col>
                <xdr:colOff>723900</xdr:colOff>
                <xdr:row>282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94" r:id="rId33" name="Check Box 50">
          <controlPr locked="0" defaultSize="0" autoFill="0" autoLine="0" autoPict="0" altText="Gearbox">
            <anchor moveWithCells="1">
              <from>
                <xdr:col>4</xdr:col>
                <xdr:colOff>571500</xdr:colOff>
                <xdr:row>17</xdr:row>
                <xdr:rowOff>47625</xdr:rowOff>
              </from>
              <to>
                <xdr:col>5</xdr:col>
                <xdr:colOff>504825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95" r:id="rId34" name="Check Box 51">
          <controlPr defaultSize="0" autoFill="0" autoLine="0" autoPict="0">
            <anchor moveWithCells="1">
              <from>
                <xdr:col>5</xdr:col>
                <xdr:colOff>285750</xdr:colOff>
                <xdr:row>188</xdr:row>
                <xdr:rowOff>0</xdr:rowOff>
              </from>
              <to>
                <xdr:col>6</xdr:col>
                <xdr:colOff>419100</xdr:colOff>
                <xdr:row>189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96" r:id="rId35" name="Check Box 52">
          <controlPr defaultSize="0" autoFill="0" autoLine="0" autoPict="0">
            <anchor moveWithCells="1">
              <from>
                <xdr:col>5</xdr:col>
                <xdr:colOff>285750</xdr:colOff>
                <xdr:row>189</xdr:row>
                <xdr:rowOff>19050</xdr:rowOff>
              </from>
              <to>
                <xdr:col>6</xdr:col>
                <xdr:colOff>504825</xdr:colOff>
                <xdr:row>190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97" r:id="rId36" name="Check Box 53">
          <controlPr defaultSize="0" autoFill="0" autoLine="0" autoPict="0">
            <anchor moveWithCells="1">
              <from>
                <xdr:col>5</xdr:col>
                <xdr:colOff>285750</xdr:colOff>
                <xdr:row>190</xdr:row>
                <xdr:rowOff>28575</xdr:rowOff>
              </from>
              <to>
                <xdr:col>6</xdr:col>
                <xdr:colOff>523875</xdr:colOff>
                <xdr:row>191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98" r:id="rId37" name="Check Box 54">
          <controlPr defaultSize="0" autoFill="0" autoLine="0" autoPict="0">
            <anchor moveWithCells="1">
              <from>
                <xdr:col>6</xdr:col>
                <xdr:colOff>590550</xdr:colOff>
                <xdr:row>188</xdr:row>
                <xdr:rowOff>9525</xdr:rowOff>
              </from>
              <to>
                <xdr:col>7</xdr:col>
                <xdr:colOff>466725</xdr:colOff>
                <xdr:row>189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199" r:id="rId38" name="Check Box 55">
          <controlPr defaultSize="0" autoFill="0" autoLine="0" autoPict="0">
            <anchor moveWithCells="1">
              <from>
                <xdr:col>6</xdr:col>
                <xdr:colOff>590550</xdr:colOff>
                <xdr:row>189</xdr:row>
                <xdr:rowOff>0</xdr:rowOff>
              </from>
              <to>
                <xdr:col>7</xdr:col>
                <xdr:colOff>447675</xdr:colOff>
                <xdr:row>190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00" r:id="rId39" name="Check Box 56">
          <controlPr defaultSize="0" autoFill="0" autoLine="0" autoPict="0">
            <anchor moveWithCells="1">
              <from>
                <xdr:col>6</xdr:col>
                <xdr:colOff>590550</xdr:colOff>
                <xdr:row>189</xdr:row>
                <xdr:rowOff>180975</xdr:rowOff>
              </from>
              <to>
                <xdr:col>7</xdr:col>
                <xdr:colOff>485775</xdr:colOff>
                <xdr:row>191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01" r:id="rId40" name="Check Box 57">
          <controlPr defaultSize="0" autoFill="0" autoLine="0" autoPict="0">
            <anchor moveWithCells="1">
              <from>
                <xdr:col>0</xdr:col>
                <xdr:colOff>819150</xdr:colOff>
                <xdr:row>192</xdr:row>
                <xdr:rowOff>180975</xdr:rowOff>
              </from>
              <to>
                <xdr:col>1</xdr:col>
                <xdr:colOff>200025</xdr:colOff>
                <xdr:row>193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02" r:id="rId41" name="Check Box 58">
          <controlPr defaultSize="0" autoFill="0" autoLine="0" autoPict="0">
            <anchor moveWithCells="1">
              <from>
                <xdr:col>1</xdr:col>
                <xdr:colOff>28575</xdr:colOff>
                <xdr:row>125</xdr:row>
                <xdr:rowOff>171450</xdr:rowOff>
              </from>
              <to>
                <xdr:col>2</xdr:col>
                <xdr:colOff>152400</xdr:colOff>
                <xdr:row>127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03" r:id="rId42" name="Check Box 59">
          <controlPr defaultSize="0" autoFill="0" autoLine="0" autoPict="0">
            <anchor moveWithCells="1">
              <from>
                <xdr:col>0</xdr:col>
                <xdr:colOff>200025</xdr:colOff>
                <xdr:row>296</xdr:row>
                <xdr:rowOff>0</xdr:rowOff>
              </from>
              <to>
                <xdr:col>1</xdr:col>
                <xdr:colOff>333375</xdr:colOff>
                <xdr:row>297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04" r:id="rId43" name="Check Box 60">
          <controlPr defaultSize="0" autoFill="0" autoLine="0" autoPict="0">
            <anchor moveWithCells="1">
              <from>
                <xdr:col>0</xdr:col>
                <xdr:colOff>200025</xdr:colOff>
                <xdr:row>297</xdr:row>
                <xdr:rowOff>19050</xdr:rowOff>
              </from>
              <to>
                <xdr:col>2</xdr:col>
                <xdr:colOff>76200</xdr:colOff>
                <xdr:row>298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05" r:id="rId44" name="Check Box 61">
          <controlPr defaultSize="0" autoFill="0" autoLine="0" autoPict="0">
            <anchor moveWithCells="1">
              <from>
                <xdr:col>0</xdr:col>
                <xdr:colOff>200025</xdr:colOff>
                <xdr:row>303</xdr:row>
                <xdr:rowOff>104775</xdr:rowOff>
              </from>
              <to>
                <xdr:col>1</xdr:col>
                <xdr:colOff>342900</xdr:colOff>
                <xdr:row>304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06" r:id="rId45" name="Check Box 62">
          <controlPr defaultSize="0" autoFill="0" autoLine="0" autoPict="0">
            <anchor moveWithCells="1">
              <from>
                <xdr:col>0</xdr:col>
                <xdr:colOff>200025</xdr:colOff>
                <xdr:row>299</xdr:row>
                <xdr:rowOff>38100</xdr:rowOff>
              </from>
              <to>
                <xdr:col>2</xdr:col>
                <xdr:colOff>228600</xdr:colOff>
                <xdr:row>300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07" r:id="rId46" name="Check Box 63">
          <controlPr defaultSize="0" autoFill="0" autoLine="0" autoPict="0">
            <anchor moveWithCells="1">
              <from>
                <xdr:col>0</xdr:col>
                <xdr:colOff>200025</xdr:colOff>
                <xdr:row>300</xdr:row>
                <xdr:rowOff>57150</xdr:rowOff>
              </from>
              <to>
                <xdr:col>1</xdr:col>
                <xdr:colOff>847725</xdr:colOff>
                <xdr:row>301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08" r:id="rId47" name="Check Box 64">
          <controlPr defaultSize="0" autoFill="0" autoLine="0" autoPict="0">
            <anchor moveWithCells="1">
              <from>
                <xdr:col>0</xdr:col>
                <xdr:colOff>200025</xdr:colOff>
                <xdr:row>302</xdr:row>
                <xdr:rowOff>85725</xdr:rowOff>
              </from>
              <to>
                <xdr:col>1</xdr:col>
                <xdr:colOff>847725</xdr:colOff>
                <xdr:row>303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09" r:id="rId48" name="Check Box 65">
          <controlPr defaultSize="0" autoFill="0" autoLine="0" autoPict="0">
            <anchor moveWithCells="1">
              <from>
                <xdr:col>0</xdr:col>
                <xdr:colOff>200025</xdr:colOff>
                <xdr:row>298</xdr:row>
                <xdr:rowOff>38100</xdr:rowOff>
              </from>
              <to>
                <xdr:col>1</xdr:col>
                <xdr:colOff>847725</xdr:colOff>
                <xdr:row>299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10" r:id="rId49" name="Check Box 66">
          <controlPr defaultSize="0" autoFill="0" autoLine="0" autoPict="0">
            <anchor moveWithCells="1">
              <from>
                <xdr:col>2</xdr:col>
                <xdr:colOff>276225</xdr:colOff>
                <xdr:row>296</xdr:row>
                <xdr:rowOff>9525</xdr:rowOff>
              </from>
              <to>
                <xdr:col>3</xdr:col>
                <xdr:colOff>695325</xdr:colOff>
                <xdr:row>297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11" r:id="rId50" name="Check Box 67">
          <controlPr defaultSize="0" autoFill="0" autoLine="0" autoPict="0">
            <anchor moveWithCells="1">
              <from>
                <xdr:col>2</xdr:col>
                <xdr:colOff>276225</xdr:colOff>
                <xdr:row>297</xdr:row>
                <xdr:rowOff>28575</xdr:rowOff>
              </from>
              <to>
                <xdr:col>3</xdr:col>
                <xdr:colOff>695325</xdr:colOff>
                <xdr:row>298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12" r:id="rId51" name="Check Box 68">
          <controlPr defaultSize="0" autoFill="0" autoLine="0" autoPict="0">
            <anchor moveWithCells="1">
              <from>
                <xdr:col>2</xdr:col>
                <xdr:colOff>276225</xdr:colOff>
                <xdr:row>298</xdr:row>
                <xdr:rowOff>38100</xdr:rowOff>
              </from>
              <to>
                <xdr:col>4</xdr:col>
                <xdr:colOff>171450</xdr:colOff>
                <xdr:row>299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13" r:id="rId52" name="Check Box 69">
          <controlPr defaultSize="0" autoFill="0" autoLine="0" autoPict="0">
            <anchor moveWithCells="1">
              <from>
                <xdr:col>2</xdr:col>
                <xdr:colOff>276225</xdr:colOff>
                <xdr:row>302</xdr:row>
                <xdr:rowOff>95250</xdr:rowOff>
              </from>
              <to>
                <xdr:col>3</xdr:col>
                <xdr:colOff>542925</xdr:colOff>
                <xdr:row>303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14" r:id="rId53" name="Check Box 70">
          <controlPr defaultSize="0" autoFill="0" autoLine="0" autoPict="0">
            <anchor moveWithCells="1">
              <from>
                <xdr:col>2</xdr:col>
                <xdr:colOff>276225</xdr:colOff>
                <xdr:row>301</xdr:row>
                <xdr:rowOff>85725</xdr:rowOff>
              </from>
              <to>
                <xdr:col>3</xdr:col>
                <xdr:colOff>695325</xdr:colOff>
                <xdr:row>302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15" r:id="rId54" name="Check Box 71">
          <controlPr defaultSize="0" autoFill="0" autoLine="0" autoPict="0">
            <anchor moveWithCells="1">
              <from>
                <xdr:col>0</xdr:col>
                <xdr:colOff>200025</xdr:colOff>
                <xdr:row>301</xdr:row>
                <xdr:rowOff>76200</xdr:rowOff>
              </from>
              <to>
                <xdr:col>1</xdr:col>
                <xdr:colOff>847725</xdr:colOff>
                <xdr:row>302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16" r:id="rId55" name="Check Box 72">
          <controlPr defaultSize="0" autoFill="0" autoLine="0" autoPict="0">
            <anchor moveWithCells="1">
              <from>
                <xdr:col>2</xdr:col>
                <xdr:colOff>276225</xdr:colOff>
                <xdr:row>299</xdr:row>
                <xdr:rowOff>57150</xdr:rowOff>
              </from>
              <to>
                <xdr:col>3</xdr:col>
                <xdr:colOff>342900</xdr:colOff>
                <xdr:row>300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17" r:id="rId56" name="Check Box 73">
          <controlPr defaultSize="0" autoFill="0" autoLine="0" autoPict="0">
            <anchor moveWithCells="1">
              <from>
                <xdr:col>2</xdr:col>
                <xdr:colOff>276225</xdr:colOff>
                <xdr:row>300</xdr:row>
                <xdr:rowOff>85725</xdr:rowOff>
              </from>
              <to>
                <xdr:col>3</xdr:col>
                <xdr:colOff>904875</xdr:colOff>
                <xdr:row>301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18" r:id="rId57" name="Check Box 74">
          <controlPr defaultSize="0" autoFill="0" autoLine="0" autoPict="0">
            <anchor moveWithCells="1">
              <from>
                <xdr:col>6</xdr:col>
                <xdr:colOff>9525</xdr:colOff>
                <xdr:row>301</xdr:row>
                <xdr:rowOff>95250</xdr:rowOff>
              </from>
              <to>
                <xdr:col>8</xdr:col>
                <xdr:colOff>247650</xdr:colOff>
                <xdr:row>302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19" r:id="rId58" name="Check Box 75">
          <controlPr defaultSize="0" autoFill="0" autoLine="0" autoPict="0">
            <anchor moveWithCells="1">
              <from>
                <xdr:col>6</xdr:col>
                <xdr:colOff>9525</xdr:colOff>
                <xdr:row>302</xdr:row>
                <xdr:rowOff>142875</xdr:rowOff>
              </from>
              <to>
                <xdr:col>7</xdr:col>
                <xdr:colOff>533400</xdr:colOff>
                <xdr:row>303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20" r:id="rId59" name="Check Box 76">
          <controlPr defaultSize="0" autoFill="0" autoLine="0" autoPict="0">
            <anchor moveWithCells="1">
              <from>
                <xdr:col>3</xdr:col>
                <xdr:colOff>866775</xdr:colOff>
                <xdr:row>17</xdr:row>
                <xdr:rowOff>47625</xdr:rowOff>
              </from>
              <to>
                <xdr:col>4</xdr:col>
                <xdr:colOff>561975</xdr:colOff>
                <xdr:row>17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21" r:id="rId60" name="Check Box 77">
          <controlPr defaultSize="0" autoFill="0" autoLine="0" autoPict="0">
            <anchor moveWithCells="1">
              <from>
                <xdr:col>6</xdr:col>
                <xdr:colOff>95250</xdr:colOff>
                <xdr:row>24</xdr:row>
                <xdr:rowOff>28575</xdr:rowOff>
              </from>
              <to>
                <xdr:col>7</xdr:col>
                <xdr:colOff>342900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22" r:id="rId61" name="Check Box 78">
          <controlPr defaultSize="0" autoFill="0" autoLine="0" autoPict="0">
            <anchor moveWithCells="1">
              <from>
                <xdr:col>5</xdr:col>
                <xdr:colOff>180975</xdr:colOff>
                <xdr:row>25</xdr:row>
                <xdr:rowOff>142875</xdr:rowOff>
              </from>
              <to>
                <xdr:col>6</xdr:col>
                <xdr:colOff>428625</xdr:colOff>
                <xdr:row>26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23" r:id="rId62" name="Check Box 79">
          <controlPr defaultSize="0" autoFill="0" autoLine="0" autoPict="0">
            <anchor moveWithCells="1">
              <from>
                <xdr:col>7</xdr:col>
                <xdr:colOff>161925</xdr:colOff>
                <xdr:row>24</xdr:row>
                <xdr:rowOff>38100</xdr:rowOff>
              </from>
              <to>
                <xdr:col>8</xdr:col>
                <xdr:colOff>133350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24" r:id="rId63" name="Check Box 80">
          <controlPr defaultSize="0" autoFill="0" autoLine="0" autoPict="0">
            <anchor moveWithCells="1">
              <from>
                <xdr:col>6</xdr:col>
                <xdr:colOff>104775</xdr:colOff>
                <xdr:row>25</xdr:row>
                <xdr:rowOff>142875</xdr:rowOff>
              </from>
              <to>
                <xdr:col>7</xdr:col>
                <xdr:colOff>342900</xdr:colOff>
                <xdr:row>26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25" r:id="rId64" name="Check Box 81">
          <controlPr defaultSize="0" autoFill="0" autoLine="0" autoPict="0">
            <anchor moveWithCells="1">
              <from>
                <xdr:col>5</xdr:col>
                <xdr:colOff>180975</xdr:colOff>
                <xdr:row>24</xdr:row>
                <xdr:rowOff>28575</xdr:rowOff>
              </from>
              <to>
                <xdr:col>6</xdr:col>
                <xdr:colOff>428625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26" r:id="rId65" name="Check Box 82">
          <controlPr defaultSize="0" autoFill="0" autoLine="0" autoPict="0">
            <anchor moveWithCells="1">
              <from>
                <xdr:col>7</xdr:col>
                <xdr:colOff>152400</xdr:colOff>
                <xdr:row>25</xdr:row>
                <xdr:rowOff>152400</xdr:rowOff>
              </from>
              <to>
                <xdr:col>8</xdr:col>
                <xdr:colOff>104775</xdr:colOff>
                <xdr:row>26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27" r:id="rId66" name="Check Box 83">
          <controlPr defaultSize="0" autoFill="0" autoLine="0" autoPict="0">
            <anchor moveWithCells="1">
              <from>
                <xdr:col>3</xdr:col>
                <xdr:colOff>438150</xdr:colOff>
                <xdr:row>35</xdr:row>
                <xdr:rowOff>66675</xdr:rowOff>
              </from>
              <to>
                <xdr:col>4</xdr:col>
                <xdr:colOff>581025</xdr:colOff>
                <xdr:row>36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28" r:id="rId67" name="Check Box 84">
          <controlPr defaultSize="0" autoFill="0" autoLine="0" autoPict="0">
            <anchor moveWithCells="1">
              <from>
                <xdr:col>2</xdr:col>
                <xdr:colOff>95250</xdr:colOff>
                <xdr:row>35</xdr:row>
                <xdr:rowOff>66675</xdr:rowOff>
              </from>
              <to>
                <xdr:col>3</xdr:col>
                <xdr:colOff>19050</xdr:colOff>
                <xdr:row>36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29" r:id="rId68" name="Check Box 85">
          <controlPr defaultSize="0" autoFill="0" autoLine="0" autoPict="0">
            <anchor moveWithCells="1">
              <from>
                <xdr:col>2</xdr:col>
                <xdr:colOff>95250</xdr:colOff>
                <xdr:row>36</xdr:row>
                <xdr:rowOff>161925</xdr:rowOff>
              </from>
              <to>
                <xdr:col>3</xdr:col>
                <xdr:colOff>219075</xdr:colOff>
                <xdr:row>37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30" r:id="rId69" name="Check Box 86">
          <controlPr defaultSize="0" autoFill="0" autoLine="0" autoPict="0">
            <anchor moveWithCells="1">
              <from>
                <xdr:col>3</xdr:col>
                <xdr:colOff>438150</xdr:colOff>
                <xdr:row>36</xdr:row>
                <xdr:rowOff>161925</xdr:rowOff>
              </from>
              <to>
                <xdr:col>4</xdr:col>
                <xdr:colOff>523875</xdr:colOff>
                <xdr:row>37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31" r:id="rId70" name="Check Box 87">
          <controlPr defaultSize="0" autoFill="0" autoLine="0" autoPict="0">
            <anchor moveWithCells="1">
              <from>
                <xdr:col>6</xdr:col>
                <xdr:colOff>114300</xdr:colOff>
                <xdr:row>35</xdr:row>
                <xdr:rowOff>66675</xdr:rowOff>
              </from>
              <to>
                <xdr:col>7</xdr:col>
                <xdr:colOff>285750</xdr:colOff>
                <xdr:row>36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32" r:id="rId71" name="Check Box 88">
          <controlPr defaultSize="0" autoFill="0" autoLine="0" autoPict="0">
            <anchor moveWithCells="1">
              <from>
                <xdr:col>6</xdr:col>
                <xdr:colOff>114300</xdr:colOff>
                <xdr:row>36</xdr:row>
                <xdr:rowOff>161925</xdr:rowOff>
              </from>
              <to>
                <xdr:col>7</xdr:col>
                <xdr:colOff>304800</xdr:colOff>
                <xdr:row>37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33" r:id="rId72" name="Check Box 89">
          <controlPr defaultSize="0" autoFill="0" autoLine="0" autoPict="0">
            <anchor moveWithCells="1">
              <from>
                <xdr:col>4</xdr:col>
                <xdr:colOff>704850</xdr:colOff>
                <xdr:row>36</xdr:row>
                <xdr:rowOff>161925</xdr:rowOff>
              </from>
              <to>
                <xdr:col>5</xdr:col>
                <xdr:colOff>581025</xdr:colOff>
                <xdr:row>37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34" r:id="rId73" name="Check Box 90">
          <controlPr defaultSize="0" autoFill="0" autoLine="0" autoPict="0">
            <anchor moveWithCells="1">
              <from>
                <xdr:col>4</xdr:col>
                <xdr:colOff>704850</xdr:colOff>
                <xdr:row>35</xdr:row>
                <xdr:rowOff>66675</xdr:rowOff>
              </from>
              <to>
                <xdr:col>5</xdr:col>
                <xdr:colOff>552450</xdr:colOff>
                <xdr:row>36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35" r:id="rId74" name="Check Box 91">
          <controlPr defaultSize="0" autoFill="0" autoLine="0" autoPict="0">
            <anchor moveWithCells="1">
              <from>
                <xdr:col>5</xdr:col>
                <xdr:colOff>495300</xdr:colOff>
                <xdr:row>31</xdr:row>
                <xdr:rowOff>28575</xdr:rowOff>
              </from>
              <to>
                <xdr:col>7</xdr:col>
                <xdr:colOff>381000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37" r:id="rId75" name="Check Box 93">
          <controlPr defaultSize="0" autoFill="0" autoLine="0" autoPict="0">
            <anchor moveWithCells="1">
              <from>
                <xdr:col>1</xdr:col>
                <xdr:colOff>295275</xdr:colOff>
                <xdr:row>38</xdr:row>
                <xdr:rowOff>171450</xdr:rowOff>
              </from>
              <to>
                <xdr:col>1</xdr:col>
                <xdr:colOff>571500</xdr:colOff>
                <xdr:row>40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38" r:id="rId76" name="Check Box 94">
          <controlPr defaultSize="0" autoFill="0" autoLine="0" autoPict="0">
            <anchor moveWithCells="1">
              <from>
                <xdr:col>5</xdr:col>
                <xdr:colOff>485775</xdr:colOff>
                <xdr:row>38</xdr:row>
                <xdr:rowOff>180975</xdr:rowOff>
              </from>
              <to>
                <xdr:col>6</xdr:col>
                <xdr:colOff>123825</xdr:colOff>
                <xdr:row>40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39" r:id="rId77" name="Check Box 95">
          <controlPr defaultSize="0" autoFill="0" autoLine="0" autoPict="0">
            <anchor moveWithCells="1">
              <from>
                <xdr:col>6</xdr:col>
                <xdr:colOff>47625</xdr:colOff>
                <xdr:row>47</xdr:row>
                <xdr:rowOff>161925</xdr:rowOff>
              </from>
              <to>
                <xdr:col>6</xdr:col>
                <xdr:colOff>276225</xdr:colOff>
                <xdr:row>49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44" r:id="rId78" name="Check Box 100">
          <controlPr defaultSize="0" autoFill="0" autoLine="0" autoPict="0">
            <anchor moveWithCells="1">
              <from>
                <xdr:col>0</xdr:col>
                <xdr:colOff>304800</xdr:colOff>
                <xdr:row>283</xdr:row>
                <xdr:rowOff>19050</xdr:rowOff>
              </from>
              <to>
                <xdr:col>2</xdr:col>
                <xdr:colOff>800100</xdr:colOff>
                <xdr:row>284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4247" r:id="rId79" name="Check Box 103">
          <controlPr defaultSize="0" autoFill="0" autoLine="0" autoPict="0">
            <anchor moveWithCells="1">
              <from>
                <xdr:col>4</xdr:col>
                <xdr:colOff>161925</xdr:colOff>
                <xdr:row>302</xdr:row>
                <xdr:rowOff>142875</xdr:rowOff>
              </from>
              <to>
                <xdr:col>5</xdr:col>
                <xdr:colOff>457200</xdr:colOff>
                <xdr:row>303</xdr:row>
                <xdr:rowOff>161925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" id="{00000000-000E-0000-0800-00000A000000}">
            <xm:f>IF(Unformatted!H160&gt;Tolerances!W3,1,0)</xm:f>
            <x14:dxf>
              <font>
                <b/>
                <i val="0"/>
                <color rgb="FFFF0000"/>
              </font>
            </x14:dxf>
          </x14:cfRule>
          <xm:sqref>F108</xm:sqref>
        </x14:conditionalFormatting>
        <x14:conditionalFormatting xmlns:xm="http://schemas.microsoft.com/office/excel/2006/main">
          <x14:cfRule type="expression" priority="83" id="{24F44DA1-3C49-467C-8213-4A383FAE0495}">
            <xm:f>Unformatted!$M$180&gt;0</xm:f>
            <x14:dxf>
              <font>
                <b/>
                <i val="0"/>
                <color rgb="FFFF0000"/>
              </font>
            </x14:dxf>
          </x14:cfRule>
          <xm:sqref>B128</xm:sqref>
        </x14:conditionalFormatting>
        <x14:conditionalFormatting xmlns:xm="http://schemas.microsoft.com/office/excel/2006/main">
          <x14:cfRule type="expression" priority="82" id="{042A1F4C-0772-4AF2-9E21-0FE5491847E5}">
            <xm:f>AND(F124&lt;&gt;"N/A",F124&gt;Tolerances!$AE$2)</xm:f>
            <x14:dxf>
              <font>
                <b/>
                <i val="0"/>
                <color rgb="FFFF0000"/>
              </font>
            </x14:dxf>
          </x14:cfRule>
          <xm:sqref>F124:G125</xm:sqref>
        </x14:conditionalFormatting>
        <x14:conditionalFormatting xmlns:xm="http://schemas.microsoft.com/office/excel/2006/main">
          <x14:cfRule type="expression" priority="80" id="{6EA02223-8BBD-45B2-9A12-EE945747D600}">
            <xm:f>OR(Unformatted!$E$190,Unformatted!$E$191,Unformatted!$E$192,Unformatted!$E$193,Unformatted!$E$194,Unformatted!$E$195)</xm:f>
            <x14:dxf>
              <font>
                <b/>
                <i val="0"/>
                <color rgb="FFFF0000"/>
              </font>
            </x14:dxf>
          </x14:cfRule>
          <xm:sqref>A279</xm:sqref>
        </x14:conditionalFormatting>
        <x14:conditionalFormatting xmlns:xm="http://schemas.microsoft.com/office/excel/2006/main">
          <x14:cfRule type="expression" priority="71" id="{3695387D-6C66-49C1-92E2-D4D04F27762D}">
            <xm:f>AND($E$169&lt;&gt;"N/A",$E$169&gt;Tolerances!$Z$7)</xm:f>
            <x14:dxf>
              <font>
                <b/>
                <i val="0"/>
                <color rgb="FFFF0000"/>
              </font>
            </x14:dxf>
          </x14:cfRule>
          <xm:sqref>D169</xm:sqref>
        </x14:conditionalFormatting>
        <x14:conditionalFormatting xmlns:xm="http://schemas.microsoft.com/office/excel/2006/main">
          <x14:cfRule type="expression" priority="70" id="{DEAAB9D0-F800-4901-95D4-BEF2B73E24CD}">
            <xm:f>RIGHT(Unformatted!$E$308,4)="Fail"</xm:f>
            <x14:dxf>
              <font>
                <b/>
                <i val="0"/>
                <color rgb="FFFF0000"/>
              </font>
            </x14:dxf>
          </x14:cfRule>
          <xm:sqref>B276</xm:sqref>
        </x14:conditionalFormatting>
        <x14:conditionalFormatting xmlns:xm="http://schemas.microsoft.com/office/excel/2006/main">
          <x14:cfRule type="expression" priority="91" id="{6D1CB857-B5FE-4209-AA19-57F5DEA1B913}">
            <xm:f>AND(Unformatted!$E$186&lt;&gt;"N/A",Unformatted!$E$186&gt;Tolerances!$AE$2)</xm:f>
            <x14:dxf>
              <font>
                <b/>
                <i val="0"/>
                <color rgb="FFFF0000"/>
              </font>
            </x14:dxf>
          </x14:cfRule>
          <xm:sqref>H124</xm:sqref>
        </x14:conditionalFormatting>
        <x14:conditionalFormatting xmlns:xm="http://schemas.microsoft.com/office/excel/2006/main">
          <x14:cfRule type="expression" priority="93" id="{BC7867EC-8F33-46DD-8BB4-72CD9D269D9F}">
            <xm:f>IF(Unformatted!$F$232=2,1)</xm:f>
            <x14:dxf>
              <font>
                <b/>
                <i val="0"/>
                <color rgb="FFFF0000"/>
              </font>
            </x14:dxf>
          </x14:cfRule>
          <xm:sqref>F188</xm:sqref>
        </x14:conditionalFormatting>
        <x14:conditionalFormatting xmlns:xm="http://schemas.microsoft.com/office/excel/2006/main">
          <x14:cfRule type="expression" priority="95" id="{A4ED7608-EF7E-46AB-859F-04C1CAABA3FD}">
            <xm:f>Unformatted!$M$212="Bad"</xm:f>
            <x14:dxf>
              <font>
                <b/>
                <i val="0"/>
                <color rgb="FFFF0000"/>
              </font>
            </x14:dxf>
          </x14:cfRule>
          <xm:sqref>F174</xm:sqref>
        </x14:conditionalFormatting>
        <x14:conditionalFormatting xmlns:xm="http://schemas.microsoft.com/office/excel/2006/main">
          <x14:cfRule type="expression" priority="96" id="{4B8684C2-FB00-4E32-BD4B-BA98B123B998}">
            <xm:f>Unformatted!$M$214="Bad"</xm:f>
            <x14:dxf>
              <font>
                <b/>
                <i val="0"/>
                <color rgb="FFFF0000"/>
              </font>
            </x14:dxf>
          </x14:cfRule>
          <xm:sqref>F181</xm:sqref>
        </x14:conditionalFormatting>
        <x14:conditionalFormatting xmlns:xm="http://schemas.microsoft.com/office/excel/2006/main">
          <x14:cfRule type="expression" priority="97" id="{CB5C24B5-D7A5-414D-B92C-B205D709B6A5}">
            <xm:f>Unformatted!$M$213="Bad"</xm:f>
            <x14:dxf>
              <font>
                <b/>
                <i val="0"/>
                <color rgb="FFFF0000"/>
              </font>
            </x14:dxf>
          </x14:cfRule>
          <xm:sqref>F177:F178</xm:sqref>
        </x14:conditionalFormatting>
        <x14:conditionalFormatting xmlns:xm="http://schemas.microsoft.com/office/excel/2006/main">
          <x14:cfRule type="expression" priority="98" id="{EBEB7084-6F1D-4394-B9FD-EBA361A244E6}">
            <xm:f>Unformatted!$M$215="Bad"</xm:f>
            <x14:dxf>
              <font>
                <b/>
                <i val="0"/>
                <color rgb="FFFF0000"/>
              </font>
            </x14:dxf>
          </x14:cfRule>
          <xm:sqref>F184</xm:sqref>
        </x14:conditionalFormatting>
        <x14:conditionalFormatting xmlns:xm="http://schemas.microsoft.com/office/excel/2006/main">
          <x14:cfRule type="expression" priority="57" id="{D857D5A1-26AB-4755-BFD0-D0577F1CEB22}">
            <xm:f>Unformatted!$L$215=2</xm:f>
            <x14:dxf>
              <font>
                <b/>
                <i val="0"/>
                <color rgb="FFFF0000"/>
              </font>
            </x14:dxf>
          </x14:cfRule>
          <xm:sqref>G186</xm:sqref>
        </x14:conditionalFormatting>
        <x14:conditionalFormatting xmlns:xm="http://schemas.microsoft.com/office/excel/2006/main">
          <x14:cfRule type="expression" priority="56" id="{71ECE456-35D2-4E53-9085-D0FBA4777FB6}">
            <xm:f>AND($B$190&lt;&gt;"N/A",OR(Unformatted!$I$228&gt;=0.0005,Unformatted!$I$228&lt;=-0.002))</xm:f>
            <x14:dxf>
              <font>
                <b/>
                <i val="0"/>
                <color rgb="FFFF0000"/>
              </font>
            </x14:dxf>
          </x14:cfRule>
          <xm:sqref>A190</xm:sqref>
        </x14:conditionalFormatting>
        <x14:conditionalFormatting xmlns:xm="http://schemas.microsoft.com/office/excel/2006/main">
          <x14:cfRule type="expression" priority="100" id="{7DB9C6C4-80A3-4AFC-A9D3-F1319771DC17}">
            <xm:f>Unformatted!$F$219&lt;0.001</xm:f>
            <x14:dxf>
              <font>
                <b/>
                <i val="0"/>
                <color rgb="FFFF0000"/>
              </font>
            </x14:dxf>
          </x14:cfRule>
          <xm:sqref>D195</xm:sqref>
        </x14:conditionalFormatting>
        <x14:conditionalFormatting xmlns:xm="http://schemas.microsoft.com/office/excel/2006/main">
          <x14:cfRule type="expression" priority="99" id="{48D5ADCA-9B08-4FC8-A830-D35B56C489B2}">
            <xm:f>Unformatted!$F$307&gt;2</xm:f>
            <x14:dxf>
              <font>
                <b/>
                <i val="0"/>
                <color rgb="FFFF0000"/>
              </font>
            </x14:dxf>
          </x14:cfRule>
          <xm:sqref>B275</xm:sqref>
        </x14:conditionalFormatting>
        <x14:conditionalFormatting xmlns:xm="http://schemas.microsoft.com/office/excel/2006/main">
          <x14:cfRule type="expression" priority="53" id="{D5D7E07E-9E81-40A1-A8AE-8864766D4AD5}">
            <xm:f>IF(Unformatted!$F$311&gt;100,1)</xm:f>
            <x14:dxf>
              <font>
                <b/>
                <i val="0"/>
                <color rgb="FFFF0000"/>
              </font>
            </x14:dxf>
          </x14:cfRule>
          <xm:sqref>M236 G278:G279 M241</xm:sqref>
        </x14:conditionalFormatting>
        <x14:conditionalFormatting xmlns:xm="http://schemas.microsoft.com/office/excel/2006/main">
          <x14:cfRule type="expression" priority="49" id="{EEF3FE71-B5DD-4F99-BEAB-937D8D19626E}">
            <xm:f>AND($E$170&lt;&gt;"N/A",$E$170&gt;Tolerances!$Z$6)</xm:f>
            <x14:dxf>
              <font>
                <b/>
                <i val="0"/>
                <color rgb="FFFF0000"/>
              </font>
            </x14:dxf>
          </x14:cfRule>
          <xm:sqref>D170</xm:sqref>
        </x14:conditionalFormatting>
        <x14:conditionalFormatting xmlns:xm="http://schemas.microsoft.com/office/excel/2006/main">
          <x14:cfRule type="expression" priority="47" id="{43EF2AAC-8A0A-44B2-A00C-4E901E417BD3}">
            <xm:f>IF(Unformatted!$F$197=3,1)</xm:f>
            <x14:dxf>
              <font>
                <b/>
                <i val="0"/>
                <color rgb="FFFF0000"/>
              </font>
            </x14:dxf>
          </x14:cfRule>
          <xm:sqref>A165</xm:sqref>
        </x14:conditionalFormatting>
        <x14:conditionalFormatting xmlns:xm="http://schemas.microsoft.com/office/excel/2006/main">
          <x14:cfRule type="expression" priority="41" id="{0390AB05-65AF-4296-8FAA-7C653DD2FCF9}">
            <xm:f>AND(B114&gt;Tolerances!Z2,B114&lt;&gt;"N/A")</xm:f>
            <x14:dxf>
              <font>
                <b/>
                <i val="0"/>
                <color rgb="FFFF0000"/>
              </font>
            </x14:dxf>
          </x14:cfRule>
          <xm:sqref>A114</xm:sqref>
        </x14:conditionalFormatting>
        <x14:conditionalFormatting xmlns:xm="http://schemas.microsoft.com/office/excel/2006/main">
          <x14:cfRule type="expression" priority="40" id="{3EBA186F-2A54-44EE-9365-F8F55C6377B4}">
            <xm:f>AND(B116&gt;Tolerances!Y3,B116&lt;&gt;"N/A")</xm:f>
            <x14:dxf>
              <font>
                <b/>
                <i val="0"/>
                <color rgb="FFFF0000"/>
              </font>
            </x14:dxf>
          </x14:cfRule>
          <xm:sqref>A116</xm:sqref>
        </x14:conditionalFormatting>
        <x14:conditionalFormatting xmlns:xm="http://schemas.microsoft.com/office/excel/2006/main">
          <x14:cfRule type="expression" priority="39" id="{14142DC4-982C-4C97-B35C-056F4F4AC048}">
            <xm:f>AND(B118&gt;Tolerances!Y3,B118&lt;&gt;"N/A")</xm:f>
            <x14:dxf>
              <font>
                <b/>
                <i val="0"/>
                <color rgb="FFFF0000"/>
              </font>
            </x14:dxf>
          </x14:cfRule>
          <xm:sqref>A118</xm:sqref>
        </x14:conditionalFormatting>
        <x14:conditionalFormatting xmlns:xm="http://schemas.microsoft.com/office/excel/2006/main">
          <x14:cfRule type="expression" priority="37" id="{2FD6FC06-2AC3-4444-9D5A-502882D6BEBF}">
            <xm:f>AND(Unformatted!$H$157&lt;=Tolerances!$W$2,Unformatted!G$157&lt;&gt;0)</xm:f>
            <x14:dxf>
              <font>
                <b/>
                <i val="0"/>
                <color rgb="FFFF0000"/>
              </font>
            </x14:dxf>
          </x14:cfRule>
          <xm:sqref>B109:C109 A107</xm:sqref>
        </x14:conditionalFormatting>
        <x14:conditionalFormatting xmlns:xm="http://schemas.microsoft.com/office/excel/2006/main">
          <x14:cfRule type="expression" priority="3134" id="{D8D9F56A-422F-4B4A-95C1-503529097EDA}">
            <xm:f>AND(E114&gt;Tolerances!Y4,E114&lt;&gt;"N/A",E114&lt;&gt;"")</xm:f>
            <x14:dxf>
              <font>
                <b/>
                <i val="0"/>
                <color rgb="FFFF0000"/>
              </font>
            </x14:dxf>
          </x14:cfRule>
          <xm:sqref>D114</xm:sqref>
        </x14:conditionalFormatting>
        <x14:conditionalFormatting xmlns:xm="http://schemas.microsoft.com/office/excel/2006/main">
          <x14:cfRule type="expression" priority="35" id="{F9D9BD85-992B-4CCC-9E5F-398FF79C724C}">
            <xm:f>IF(Unformatted!H161&gt;Tolerances!W3,1,0)</xm:f>
            <x14:dxf>
              <font>
                <b/>
                <i val="0"/>
                <color rgb="FFFF0000"/>
              </font>
            </x14:dxf>
          </x14:cfRule>
          <xm:sqref>F109</xm:sqref>
        </x14:conditionalFormatting>
        <x14:conditionalFormatting xmlns:xm="http://schemas.microsoft.com/office/excel/2006/main">
          <x14:cfRule type="expression" priority="34" id="{02BDC610-72CE-4ED1-9003-DABEA4FAB4F3}">
            <xm:f>IF(Unformatted!H162&gt;Tolerances!W3,1,0)</xm:f>
            <x14:dxf>
              <font>
                <b/>
                <i val="0"/>
                <color rgb="FFFF0000"/>
              </font>
            </x14:dxf>
          </x14:cfRule>
          <xm:sqref>F110</xm:sqref>
        </x14:conditionalFormatting>
        <x14:conditionalFormatting xmlns:xm="http://schemas.microsoft.com/office/excel/2006/main">
          <x14:cfRule type="expression" priority="3295" id="{8016E3CA-A6E5-4BE8-B689-A63837ED6226}">
            <xm:f>OR(ROUND(100*Unformatted!J183,1)&gt;Tolerances!$AC$2,ROUND(100*Unformatted!K183,1)&gt;Tolerances!$AC$3)</xm:f>
            <x14:dxf>
              <font>
                <b/>
                <i val="0"/>
                <color rgb="FFFF0000"/>
              </font>
            </x14:dxf>
          </x14:cfRule>
          <xm:sqref>B125</xm:sqref>
        </x14:conditionalFormatting>
        <x14:conditionalFormatting xmlns:xm="http://schemas.microsoft.com/office/excel/2006/main">
          <x14:cfRule type="expression" priority="6449" id="{8016E3CA-A6E5-4BE8-B689-A63837ED6226}">
            <xm:f>OR(ROUND(100*Unformatted!J182,1)&gt;Tolerances!$AC$2,ROUND(100*Unformatted!K182,1)&gt;Tolerances!$AC$3)</xm:f>
            <x14:dxf>
              <font>
                <b/>
                <i val="0"/>
                <color rgb="FFFF0000"/>
              </font>
            </x14:dxf>
          </x14:cfRule>
          <xm:sqref>B126</xm:sqref>
        </x14:conditionalFormatting>
        <x14:conditionalFormatting xmlns:xm="http://schemas.microsoft.com/office/excel/2006/main">
          <x14:cfRule type="expression" priority="6833" id="{FC73CB11-1D4C-40AD-991D-0950FFEE81E6}">
            <xm:f>AND(Unformatted!$E$85,OR(Unformatted!#REF!="OPEN",Unformatted!$E$96&lt;&gt;"Good"))</xm:f>
            <x14:dxf>
              <font>
                <b/>
                <i val="0"/>
                <color rgb="FFFF0000"/>
              </font>
            </x14:dxf>
          </x14:cfRule>
          <xm:sqref>M33</xm:sqref>
        </x14:conditionalFormatting>
        <x14:conditionalFormatting xmlns:xm="http://schemas.microsoft.com/office/excel/2006/main">
          <x14:cfRule type="expression" priority="6840" id="{E0873896-0B7B-4D53-AF7E-A1D6B88E82B0}">
            <xm:f>AND(Unformatted!$E$99,OR(Unformatted!#REF!="OPEN",Unformatted!#REF!&lt;&gt;"Good"))</xm:f>
            <x14:dxf>
              <font>
                <b/>
                <i val="0"/>
                <color rgb="FFFF0000"/>
              </font>
            </x14:dxf>
          </x14:cfRule>
          <xm:sqref>G30</xm:sqref>
        </x14:conditionalFormatting>
        <x14:conditionalFormatting xmlns:xm="http://schemas.microsoft.com/office/excel/2006/main">
          <x14:cfRule type="expression" priority="32" id="{6B5AC32A-345A-48BF-A659-760F111AABA5}">
            <xm:f>Unformatted!$F$64=3</xm:f>
            <x14:dxf>
              <font>
                <b/>
                <i val="0"/>
                <color rgb="FFFF0000"/>
              </font>
            </x14:dxf>
          </x14:cfRule>
          <xm:sqref>A22</xm:sqref>
        </x14:conditionalFormatting>
        <x14:conditionalFormatting xmlns:xm="http://schemas.microsoft.com/office/excel/2006/main">
          <x14:cfRule type="expression" priority="31" id="{FCC0EA90-12EA-4ABB-A323-764A3306E8AD}">
            <xm:f>Unformatted!$E$145:$E$152=TRUE</xm:f>
            <x14:dxf>
              <font>
                <b/>
                <i val="0"/>
                <color rgb="FFFF0000"/>
              </font>
            </x14:dxf>
          </x14:cfRule>
          <xm:sqref>B37</xm:sqref>
        </x14:conditionalFormatting>
        <x14:conditionalFormatting xmlns:xm="http://schemas.microsoft.com/office/excel/2006/main">
          <x14:cfRule type="expression" priority="30" id="{7A90B2CE-6F8B-4CF8-ADFD-EC0267264B93}">
            <xm:f>Unformatted!$F$96=3</xm:f>
            <x14:dxf>
              <font>
                <b/>
                <i val="0"/>
                <color rgb="FFFF0000"/>
              </font>
            </x14:dxf>
          </x14:cfRule>
          <xm:sqref>A51</xm:sqref>
        </x14:conditionalFormatting>
        <x14:conditionalFormatting xmlns:xm="http://schemas.microsoft.com/office/excel/2006/main">
          <x14:cfRule type="expression" priority="29" id="{CC0B7217-1A33-4868-A86B-991FFC5838B1}">
            <xm:f>Unformatted!$F$105=3</xm:f>
            <x14:dxf>
              <font>
                <b/>
                <i val="0"/>
                <color rgb="FFFF0000"/>
              </font>
            </x14:dxf>
          </x14:cfRule>
          <xm:sqref>D48</xm:sqref>
        </x14:conditionalFormatting>
        <x14:conditionalFormatting xmlns:xm="http://schemas.microsoft.com/office/excel/2006/main">
          <x14:cfRule type="expression" priority="28" id="{E402B093-144C-4CE6-B519-D8DED8081A71}">
            <xm:f>Unformatted!$F$112=3</xm:f>
            <x14:dxf>
              <font>
                <b/>
                <i val="0"/>
                <color rgb="FFFF0000"/>
              </font>
            </x14:dxf>
          </x14:cfRule>
          <xm:sqref>G48</xm:sqref>
        </x14:conditionalFormatting>
        <x14:conditionalFormatting xmlns:xm="http://schemas.microsoft.com/office/excel/2006/main">
          <x14:cfRule type="expression" priority="27" id="{2A4C0337-A1D8-4841-ADD9-D19B6AEDB04F}">
            <xm:f>Unformatted!$F$122=3</xm:f>
            <x14:dxf>
              <font>
                <b/>
                <i val="0"/>
                <color rgb="FFFF0000"/>
              </font>
            </x14:dxf>
          </x14:cfRule>
          <xm:sqref>G52</xm:sqref>
        </x14:conditionalFormatting>
        <x14:conditionalFormatting xmlns:xm="http://schemas.microsoft.com/office/excel/2006/main">
          <x14:cfRule type="expression" priority="26" id="{6D4D7A65-923A-4C54-8FE2-41A2771AF4A8}">
            <xm:f>AND(E116&gt;Tolerances!Z4,E116&lt;&gt;"N/A",E116&lt;&gt;"")</xm:f>
            <x14:dxf>
              <font>
                <b/>
                <i val="0"/>
                <color rgb="FFFF0000"/>
              </font>
            </x14:dxf>
          </x14:cfRule>
          <xm:sqref>D116</xm:sqref>
        </x14:conditionalFormatting>
        <x14:conditionalFormatting xmlns:xm="http://schemas.microsoft.com/office/excel/2006/main">
          <x14:cfRule type="expression" priority="25" id="{0611AB41-DE46-420D-9CB5-42ECA3D8581E}">
            <xm:f>IF(Unformatted!H160&gt;Tolerances!W3,1,0)</xm:f>
            <x14:dxf>
              <font>
                <b/>
                <i val="0"/>
                <color rgb="FFFF0000"/>
              </font>
            </x14:dxf>
          </x14:cfRule>
          <xm:sqref>E108</xm:sqref>
        </x14:conditionalFormatting>
        <x14:conditionalFormatting xmlns:xm="http://schemas.microsoft.com/office/excel/2006/main">
          <x14:cfRule type="expression" priority="24" id="{E1DE6F71-A907-44F3-A4E0-28B6538AF5AC}">
            <xm:f>IF(Unformatted!H161&gt;Tolerances!W3,1,0)</xm:f>
            <x14:dxf>
              <font>
                <b/>
                <i val="0"/>
                <color rgb="FFFF0000"/>
              </font>
            </x14:dxf>
          </x14:cfRule>
          <xm:sqref>E109</xm:sqref>
        </x14:conditionalFormatting>
        <x14:conditionalFormatting xmlns:xm="http://schemas.microsoft.com/office/excel/2006/main">
          <x14:cfRule type="expression" priority="23" id="{F820DB57-3B82-4F6C-8F5A-193057B4061C}">
            <xm:f>IF(Unformatted!H162&gt;Tolerances!W3,1,0)</xm:f>
            <x14:dxf>
              <font>
                <b/>
                <i val="0"/>
                <color rgb="FFFF0000"/>
              </font>
            </x14:dxf>
          </x14:cfRule>
          <xm:sqref>E110</xm:sqref>
        </x14:conditionalFormatting>
        <x14:conditionalFormatting xmlns:xm="http://schemas.microsoft.com/office/excel/2006/main">
          <x14:cfRule type="expression" priority="20" id="{9FF4C399-CE67-4D87-8367-EE2EFA331242}">
            <xm:f>Unformatted!$F$243=2</xm:f>
            <x14:dxf>
              <font>
                <b/>
                <i val="0"/>
                <color rgb="FFFF0000"/>
              </font>
            </x14:dxf>
          </x14:cfRule>
          <xm:sqref>C219</xm:sqref>
        </x14:conditionalFormatting>
        <x14:conditionalFormatting xmlns:xm="http://schemas.microsoft.com/office/excel/2006/main">
          <x14:cfRule type="expression" priority="19" id="{F22960BF-5436-4274-92E1-2054F6A7AAC7}">
            <xm:f>Unformatted!$F$247=2</xm:f>
            <x14:dxf>
              <font>
                <b/>
                <i val="0"/>
                <color rgb="FFFF0000"/>
              </font>
            </x14:dxf>
          </x14:cfRule>
          <xm:sqref>G219</xm:sqref>
        </x14:conditionalFormatting>
        <x14:conditionalFormatting xmlns:xm="http://schemas.microsoft.com/office/excel/2006/main">
          <x14:cfRule type="expression" priority="18" id="{2BC482AD-96B3-4382-8A17-FC58470D7880}">
            <xm:f>Unformatted!$F$251=2</xm:f>
            <x14:dxf>
              <font>
                <b/>
                <i val="0"/>
                <color rgb="FFFF0000"/>
              </font>
            </x14:dxf>
          </x14:cfRule>
          <xm:sqref>C223</xm:sqref>
        </x14:conditionalFormatting>
        <x14:conditionalFormatting xmlns:xm="http://schemas.microsoft.com/office/excel/2006/main">
          <x14:cfRule type="expression" priority="17" id="{68432EF4-85C9-4DD6-BF34-46905C42DA7B}">
            <xm:f>Unformatted!$F$255=2</xm:f>
            <x14:dxf>
              <font>
                <b/>
                <i val="0"/>
                <color rgb="FFFF0000"/>
              </font>
            </x14:dxf>
          </x14:cfRule>
          <xm:sqref>G223</xm:sqref>
        </x14:conditionalFormatting>
        <x14:conditionalFormatting xmlns:xm="http://schemas.microsoft.com/office/excel/2006/main">
          <x14:cfRule type="expression" priority="16" id="{63372F60-F2DB-47C6-9EF7-4A648AA5D1D5}">
            <xm:f>Unformatted!$F$259=2</xm:f>
            <x14:dxf>
              <font>
                <b/>
                <i val="0"/>
                <color rgb="FFFF0000"/>
              </font>
            </x14:dxf>
          </x14:cfRule>
          <xm:sqref>C227</xm:sqref>
        </x14:conditionalFormatting>
        <x14:conditionalFormatting xmlns:xm="http://schemas.microsoft.com/office/excel/2006/main">
          <x14:cfRule type="expression" priority="15" id="{ED5CD0E0-210F-4E85-B78F-0F05AE9E7EF7}">
            <xm:f>Unformatted!$F$263=2</xm:f>
            <x14:dxf>
              <font>
                <b/>
                <i val="0"/>
                <color rgb="FFFF0000"/>
              </font>
            </x14:dxf>
          </x14:cfRule>
          <xm:sqref>G227</xm:sqref>
        </x14:conditionalFormatting>
        <x14:conditionalFormatting xmlns:xm="http://schemas.microsoft.com/office/excel/2006/main">
          <x14:cfRule type="expression" priority="14" id="{AC35F1A8-6BC9-4DE4-8035-C184784B9C6E}">
            <xm:f>Unformatted!$F$267=2</xm:f>
            <x14:dxf>
              <font>
                <b/>
                <i val="0"/>
                <color rgb="FFFF0000"/>
              </font>
            </x14:dxf>
          </x14:cfRule>
          <xm:sqref>C231</xm:sqref>
        </x14:conditionalFormatting>
        <x14:conditionalFormatting xmlns:xm="http://schemas.microsoft.com/office/excel/2006/main">
          <x14:cfRule type="expression" priority="13" id="{C65AF2F6-53F8-4792-BB35-44027E06261F}">
            <xm:f>Unformatted!$F$271=2</xm:f>
            <x14:dxf>
              <font>
                <b/>
                <i val="0"/>
                <color rgb="FFFF0000"/>
              </font>
            </x14:dxf>
          </x14:cfRule>
          <xm:sqref>G231</xm:sqref>
        </x14:conditionalFormatting>
        <x14:conditionalFormatting xmlns:xm="http://schemas.microsoft.com/office/excel/2006/main">
          <x14:cfRule type="expression" priority="12" id="{B043FCC1-0B7D-4D2B-BF37-A40F24754170}">
            <xm:f>Unformatted!$F$275=2</xm:f>
            <x14:dxf>
              <font>
                <b/>
                <i val="0"/>
                <color rgb="FFFF0000"/>
              </font>
            </x14:dxf>
          </x14:cfRule>
          <xm:sqref>C235</xm:sqref>
        </x14:conditionalFormatting>
        <x14:conditionalFormatting xmlns:xm="http://schemas.microsoft.com/office/excel/2006/main">
          <x14:cfRule type="expression" priority="11" id="{586ED35B-C207-4A0F-8DD9-A17BB55F0C4E}">
            <xm:f>Unformatted!$F$279=2</xm:f>
            <x14:dxf>
              <font>
                <b/>
                <i val="0"/>
                <color rgb="FFFF0000"/>
              </font>
            </x14:dxf>
          </x14:cfRule>
          <xm:sqref>G235</xm:sqref>
        </x14:conditionalFormatting>
        <x14:conditionalFormatting xmlns:xm="http://schemas.microsoft.com/office/excel/2006/main">
          <x14:cfRule type="expression" priority="5" id="{5C35B4DA-4254-440F-84A8-7ECE30BD8C64}">
            <xm:f>Unformatted!$E$312=3</xm:f>
            <x14:dxf>
              <font>
                <b/>
                <i val="0"/>
                <color rgb="FFFF0000"/>
              </font>
            </x14:dxf>
          </x14:cfRule>
          <xm:sqref>F276</xm:sqref>
        </x14:conditionalFormatting>
        <x14:conditionalFormatting xmlns:xm="http://schemas.microsoft.com/office/excel/2006/main">
          <x14:cfRule type="expression" priority="4" id="{126D74C3-ACB1-49B5-AF6D-6DBFB9197AFF}">
            <xm:f>Unformatted!$F$312=3</xm:f>
            <x14:dxf>
              <font>
                <b/>
                <i val="0"/>
                <color rgb="FFFF0000"/>
              </font>
            </x14:dxf>
          </x14:cfRule>
          <xm:sqref>F277</xm:sqref>
        </x14:conditionalFormatting>
        <x14:conditionalFormatting xmlns:xm="http://schemas.microsoft.com/office/excel/2006/main">
          <x14:cfRule type="expression" priority="3" id="{253D68BD-D842-4716-B274-214753E71EBC}">
            <xm:f>Unformatted!$F$318=3</xm:f>
            <x14:dxf>
              <font>
                <b/>
                <i val="0"/>
                <color rgb="FFFF0000"/>
              </font>
            </x14:dxf>
          </x14:cfRule>
          <xm:sqref>E283</xm:sqref>
        </x14:conditionalFormatting>
        <x14:conditionalFormatting xmlns:xm="http://schemas.microsoft.com/office/excel/2006/main">
          <x14:cfRule type="expression" priority="2" id="{F4989288-9C59-41BE-9B7C-96A83ADB30CE}">
            <xm:f>Unformatted!$F$322=3</xm:f>
            <x14:dxf>
              <font>
                <b/>
                <i val="0"/>
                <color rgb="FFFF0000"/>
              </font>
            </x14:dxf>
          </x14:cfRule>
          <xm:sqref>G283</xm:sqref>
        </x14:conditionalFormatting>
        <x14:conditionalFormatting xmlns:xm="http://schemas.microsoft.com/office/excel/2006/main">
          <x14:cfRule type="expression" priority="7624" id="{9FB1967A-723A-4EE2-B8DB-18648EFDB92F}">
            <xm:f>Unformatted!$F$287=2</xm:f>
            <x14:dxf>
              <font>
                <b/>
                <i val="0"/>
                <color rgb="FFFF0000"/>
              </font>
            </x14:dxf>
          </x14:cfRule>
          <xm:sqref>C243</xm:sqref>
        </x14:conditionalFormatting>
        <x14:conditionalFormatting xmlns:xm="http://schemas.microsoft.com/office/excel/2006/main">
          <x14:cfRule type="expression" priority="7625" id="{ACD427C8-7441-40C0-BDE0-C466C8F8C611}">
            <xm:f>Unformatted!$F$292=2</xm:f>
            <x14:dxf>
              <font>
                <b/>
                <i val="0"/>
                <color rgb="FFFF0000"/>
              </font>
            </x14:dxf>
          </x14:cfRule>
          <xm:sqref>G243</xm:sqref>
        </x14:conditionalFormatting>
        <x14:conditionalFormatting xmlns:xm="http://schemas.microsoft.com/office/excel/2006/main">
          <x14:cfRule type="expression" priority="7626" id="{E6D5A542-D65B-46E1-B48C-3B31B7B5722E}">
            <xm:f>Unformatted!$F$297=2</xm:f>
            <x14:dxf>
              <font>
                <b/>
                <i val="0"/>
                <color rgb="FFFF0000"/>
              </font>
            </x14:dxf>
          </x14:cfRule>
          <xm:sqref>C248</xm:sqref>
        </x14:conditionalFormatting>
        <x14:conditionalFormatting xmlns:xm="http://schemas.microsoft.com/office/excel/2006/main">
          <x14:cfRule type="expression" priority="7627" id="{D0D54FF4-6AF7-46E0-9EF7-78308419A0A3}">
            <xm:f>Unformatted!$F$302=2</xm:f>
            <x14:dxf>
              <font>
                <b/>
                <i val="0"/>
                <color rgb="FFFF0000"/>
              </font>
            </x14:dxf>
          </x14:cfRule>
          <xm:sqref>G248</xm:sqref>
        </x14:conditionalFormatting>
        <x14:conditionalFormatting xmlns:xm="http://schemas.microsoft.com/office/excel/2006/main">
          <x14:cfRule type="expression" priority="1" id="{058A2EAC-DE4F-4A08-AAF4-D425FE137493}">
            <xm:f>Unformatted!$F$129&gt;2</xm:f>
            <x14:dxf>
              <font>
                <b/>
                <i val="0"/>
                <color rgb="FFFF0000"/>
              </font>
            </x14:dxf>
          </x14:cfRule>
          <xm:sqref>A29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8BB44-9A3E-4379-AF64-E77BE758A8ED}">
  <sheetPr codeName="Sheet21"/>
  <dimension ref="A2:AG45"/>
  <sheetViews>
    <sheetView zoomScaleNormal="100" workbookViewId="0">
      <selection activeCell="T38" sqref="T38"/>
    </sheetView>
  </sheetViews>
  <sheetFormatPr defaultRowHeight="15" x14ac:dyDescent="0.25"/>
  <sheetData>
    <row r="2" spans="1:33" ht="15" customHeight="1" x14ac:dyDescent="0.35">
      <c r="A2" s="961" t="s">
        <v>1061</v>
      </c>
      <c r="B2" s="1220"/>
      <c r="C2" s="1220"/>
      <c r="D2" s="1220"/>
      <c r="E2" s="1220"/>
      <c r="F2" s="1220"/>
      <c r="G2" s="1220"/>
      <c r="H2" s="1220"/>
      <c r="I2" s="1220"/>
      <c r="J2" s="1220"/>
      <c r="K2" s="1220"/>
      <c r="L2" s="1220"/>
      <c r="M2" s="1220"/>
      <c r="N2" s="1220"/>
      <c r="O2" s="1220"/>
      <c r="P2" s="1220"/>
      <c r="Q2" s="1220"/>
      <c r="R2" s="1220"/>
      <c r="S2" s="1220"/>
      <c r="T2" s="1220"/>
      <c r="U2" s="1220"/>
      <c r="V2" s="1220"/>
      <c r="W2" s="1220"/>
      <c r="X2" s="1220"/>
      <c r="Y2" s="1220"/>
      <c r="Z2" s="1220"/>
      <c r="AA2" s="1220"/>
      <c r="AB2" s="1220"/>
      <c r="AC2" s="1220"/>
      <c r="AD2" s="1220"/>
      <c r="AE2" s="380"/>
      <c r="AF2" s="380"/>
      <c r="AG2" s="380"/>
    </row>
    <row r="5" spans="1:33" ht="15.75" x14ac:dyDescent="0.25">
      <c r="A5" s="1169" t="s">
        <v>316</v>
      </c>
      <c r="B5" s="1169"/>
      <c r="C5" s="1169"/>
      <c r="D5" s="1169"/>
      <c r="E5" s="1169"/>
      <c r="F5" s="1169"/>
      <c r="G5" s="1169"/>
      <c r="H5" s="1169"/>
      <c r="I5" s="1169"/>
    </row>
    <row r="6" spans="1:33" x14ac:dyDescent="0.25">
      <c r="B6" s="36" t="s">
        <v>46</v>
      </c>
      <c r="C6" s="1221" t="str">
        <f>PROPER(IF(Unformatted!E15=0,"",Unformatted!E15))</f>
        <v/>
      </c>
      <c r="D6" s="1221"/>
      <c r="F6" s="36" t="str">
        <f>Unformatted!D23</f>
        <v>Horsepower</v>
      </c>
      <c r="G6" s="10" t="str">
        <f>Unformatted!E23</f>
        <v>25</v>
      </c>
      <c r="I6" s="36" t="s">
        <v>2</v>
      </c>
      <c r="J6" s="10" t="str">
        <f>IF(Unformatted!E19=0,"",Unformatted!E19)</f>
        <v>Vertical</v>
      </c>
      <c r="L6" s="36" t="s">
        <v>55</v>
      </c>
      <c r="M6" s="10" t="str">
        <f>IF(Unformatted!E31=0,"",Unformatted!E31)</f>
        <v/>
      </c>
    </row>
    <row r="7" spans="1:33" x14ac:dyDescent="0.25">
      <c r="B7" s="36" t="str">
        <f>Unformatted!D21</f>
        <v>Enclosure:</v>
      </c>
      <c r="C7" s="1210" t="str">
        <f>UPPER(IF(Unformatted!E21=0,"",Unformatted!E21))</f>
        <v>TENV</v>
      </c>
      <c r="D7" s="1210"/>
      <c r="F7" s="36" t="s">
        <v>317</v>
      </c>
      <c r="G7" s="10" t="e">
        <f>UPPER(IF(Unformatted!#REF!=0,"",Unformatted!#REF!))</f>
        <v>#REF!</v>
      </c>
      <c r="I7" s="36" t="s">
        <v>49</v>
      </c>
      <c r="J7" t="str">
        <f>IF(Unformatted!E28=0,"",Unformatted!E28)</f>
        <v>1760</v>
      </c>
      <c r="L7" s="36" t="s">
        <v>57</v>
      </c>
      <c r="M7" s="10" t="str">
        <f>IF(Unformatted!E42=0,"",Unformatted!E42)</f>
        <v>F</v>
      </c>
    </row>
    <row r="8" spans="1:33" x14ac:dyDescent="0.25">
      <c r="B8" s="36" t="str">
        <f>Unformatted!D20</f>
        <v>Manufacturer:</v>
      </c>
      <c r="C8" s="1210" t="e">
        <f>UPPER(IF(Unformatted!#REF!=0,"",Unformatted!#REF!))</f>
        <v>#REF!</v>
      </c>
      <c r="D8" s="1210"/>
      <c r="F8" s="36" t="s">
        <v>53</v>
      </c>
      <c r="G8" t="str">
        <f>UPPER(IF(Unformatted!E30=0,"",Unformatted!E30))</f>
        <v/>
      </c>
      <c r="I8" s="36" t="s">
        <v>50</v>
      </c>
      <c r="J8" s="10" t="str">
        <f>IF(Unformatted!E24=0,"",Unformatted!E24)</f>
        <v>X250TY</v>
      </c>
      <c r="L8" s="36" t="s">
        <v>56</v>
      </c>
      <c r="M8" s="378" t="str">
        <f>UPPER(IF(Unformatted!E22=0,"",Unformatted!E22))</f>
        <v>CONTINUOUS</v>
      </c>
    </row>
    <row r="9" spans="1:33" x14ac:dyDescent="0.25">
      <c r="B9" s="36" t="str">
        <f>Unformatted!D37</f>
        <v>Weight:</v>
      </c>
      <c r="C9" s="1210" t="str">
        <f>UPPER(IF(Unformatted!E37=0,"",Unformatted!E37))</f>
        <v/>
      </c>
      <c r="D9" s="1210"/>
      <c r="F9" s="36" t="s">
        <v>72</v>
      </c>
      <c r="G9" s="10" t="str">
        <f>IF(Unformatted!E23=0,"",Unformatted!E23)</f>
        <v>25</v>
      </c>
      <c r="I9" s="36" t="s">
        <v>148</v>
      </c>
      <c r="J9" t="str">
        <f>UPPER(IF(Unformatted!E29=0,"",Unformatted!E29))</f>
        <v/>
      </c>
      <c r="L9" s="36" t="s">
        <v>520</v>
      </c>
      <c r="M9" s="10" t="str">
        <f>UPPER(IF(Unformatted!E35=0,"",Unformatted!E35))</f>
        <v>1.15</v>
      </c>
    </row>
    <row r="10" spans="1:33" x14ac:dyDescent="0.25">
      <c r="B10" s="36" t="s">
        <v>51</v>
      </c>
      <c r="C10" s="1210" t="str">
        <f>UPPER(IF(Unformatted!E17=0,"",Unformatted!E17))</f>
        <v/>
      </c>
      <c r="D10" s="1210"/>
      <c r="F10" s="36" t="s">
        <v>52</v>
      </c>
      <c r="G10">
        <f>IF(Unformatted!E26=0,"",Unformatted!E26)</f>
        <v>460</v>
      </c>
      <c r="I10" s="36" t="s">
        <v>519</v>
      </c>
      <c r="J10" s="10" t="str">
        <f>IF(Unformatted!E25=0,"",Unformatted!E25)</f>
        <v>P</v>
      </c>
      <c r="L10" s="36" t="s">
        <v>1073</v>
      </c>
      <c r="M10" s="10">
        <f>IF(Unformatted!E36=0,"",Unformatted!E36)</f>
        <v>40</v>
      </c>
    </row>
    <row r="11" spans="1:33" x14ac:dyDescent="0.25">
      <c r="B11" s="36" t="s">
        <v>47</v>
      </c>
      <c r="C11" s="1210">
        <f>IF(Unformatted!E14=0,"",Unformatted!E14)</f>
        <v>43823</v>
      </c>
      <c r="D11" s="1210"/>
      <c r="F11" s="36" t="s">
        <v>75</v>
      </c>
      <c r="G11" t="str">
        <f>IF(Unformatted!E13=0,"",Unformatted!E13)</f>
        <v/>
      </c>
      <c r="I11" s="36" t="s">
        <v>163</v>
      </c>
      <c r="J11" s="10" t="str">
        <f>Unformatted!E27</f>
        <v>64.2/32.1</v>
      </c>
      <c r="L11" s="36" t="s">
        <v>1074</v>
      </c>
      <c r="M11" t="str">
        <f>Unformatted!E34</f>
        <v>60</v>
      </c>
    </row>
    <row r="13" spans="1:33" x14ac:dyDescent="0.25">
      <c r="B13" t="s">
        <v>1131</v>
      </c>
      <c r="F13" s="36" t="s">
        <v>728</v>
      </c>
    </row>
    <row r="15" spans="1:33" x14ac:dyDescent="0.25">
      <c r="A15" t="s">
        <v>1132</v>
      </c>
    </row>
    <row r="17" spans="2:10" x14ac:dyDescent="0.25">
      <c r="B17" t="s">
        <v>1133</v>
      </c>
    </row>
    <row r="18" spans="2:10" x14ac:dyDescent="0.25">
      <c r="B18" t="s">
        <v>1134</v>
      </c>
    </row>
    <row r="19" spans="2:10" x14ac:dyDescent="0.25">
      <c r="B19" t="s">
        <v>1135</v>
      </c>
    </row>
    <row r="21" spans="2:10" x14ac:dyDescent="0.25">
      <c r="B21" t="s">
        <v>1136</v>
      </c>
    </row>
    <row r="22" spans="2:10" x14ac:dyDescent="0.25">
      <c r="B22" t="s">
        <v>1320</v>
      </c>
    </row>
    <row r="23" spans="2:10" x14ac:dyDescent="0.25">
      <c r="B23" t="s">
        <v>1137</v>
      </c>
      <c r="E23" t="s">
        <v>1319</v>
      </c>
    </row>
    <row r="25" spans="2:10" x14ac:dyDescent="0.25">
      <c r="B25" s="21" t="s">
        <v>1138</v>
      </c>
      <c r="C25" s="1222" t="s">
        <v>1139</v>
      </c>
      <c r="D25" s="1222"/>
      <c r="E25" s="1222"/>
      <c r="F25" s="1222"/>
      <c r="G25" s="1222"/>
      <c r="H25" s="1222"/>
      <c r="I25" s="1222"/>
      <c r="J25" s="1222"/>
    </row>
    <row r="26" spans="2:10" x14ac:dyDescent="0.25">
      <c r="B26" s="1104"/>
      <c r="C26" s="1105"/>
      <c r="D26" s="20"/>
      <c r="E26" s="20"/>
      <c r="F26" s="20"/>
      <c r="G26" s="20"/>
      <c r="H26" s="20"/>
      <c r="I26" s="20"/>
      <c r="J26" s="20"/>
    </row>
    <row r="27" spans="2:10" x14ac:dyDescent="0.25">
      <c r="B27" s="1104"/>
      <c r="C27" s="1105"/>
      <c r="D27" s="20"/>
      <c r="E27" s="20"/>
      <c r="F27" s="20"/>
      <c r="G27" s="20"/>
      <c r="H27" s="20"/>
      <c r="I27" s="20"/>
      <c r="J27" s="20"/>
    </row>
    <row r="28" spans="2:10" x14ac:dyDescent="0.25">
      <c r="B28" s="1104"/>
      <c r="C28" s="1105"/>
      <c r="D28" s="20"/>
      <c r="E28" s="20"/>
      <c r="F28" s="20"/>
      <c r="G28" s="20"/>
      <c r="H28" s="20"/>
      <c r="I28" s="20"/>
      <c r="J28" s="20"/>
    </row>
    <row r="29" spans="2:10" x14ac:dyDescent="0.25">
      <c r="B29" s="1104"/>
      <c r="C29" s="1105"/>
      <c r="D29" s="20"/>
      <c r="E29" s="20"/>
      <c r="F29" s="20"/>
      <c r="G29" s="20"/>
      <c r="H29" s="20"/>
      <c r="I29" s="20"/>
      <c r="J29" s="20"/>
    </row>
    <row r="30" spans="2:10" x14ac:dyDescent="0.25">
      <c r="B30" s="1104"/>
      <c r="C30" s="1105"/>
      <c r="D30" s="20"/>
      <c r="E30" s="20"/>
      <c r="F30" s="20"/>
      <c r="G30" s="20"/>
      <c r="H30" s="20"/>
      <c r="I30" s="20"/>
      <c r="J30" s="20"/>
    </row>
    <row r="32" spans="2:10" x14ac:dyDescent="0.25">
      <c r="B32" s="405"/>
      <c r="C32" s="405"/>
      <c r="D32" s="405"/>
      <c r="E32" s="405"/>
      <c r="F32" s="405"/>
      <c r="G32" s="405"/>
      <c r="H32" s="396"/>
    </row>
    <row r="33" spans="2:8" x14ac:dyDescent="0.25">
      <c r="B33" s="405"/>
      <c r="C33" s="405"/>
      <c r="D33" s="405"/>
      <c r="E33" s="405"/>
      <c r="F33" s="405"/>
      <c r="G33" s="405"/>
      <c r="H33" s="396"/>
    </row>
    <row r="34" spans="2:8" x14ac:dyDescent="0.25">
      <c r="B34" s="405"/>
      <c r="C34" s="405"/>
      <c r="D34" s="405"/>
      <c r="E34" s="405"/>
      <c r="F34" s="405"/>
      <c r="G34" s="405"/>
      <c r="H34" s="396"/>
    </row>
    <row r="35" spans="2:8" x14ac:dyDescent="0.25">
      <c r="B35" s="405"/>
      <c r="C35" s="405"/>
      <c r="D35" s="405"/>
      <c r="E35" s="405"/>
      <c r="F35" s="405"/>
      <c r="G35" s="405"/>
      <c r="H35" s="396"/>
    </row>
    <row r="36" spans="2:8" x14ac:dyDescent="0.25">
      <c r="B36" s="405"/>
      <c r="C36" s="405"/>
      <c r="D36" s="405"/>
      <c r="E36" s="405"/>
      <c r="F36" s="405"/>
      <c r="G36" s="405"/>
      <c r="H36" s="396"/>
    </row>
    <row r="38" spans="2:8" x14ac:dyDescent="0.25">
      <c r="B38" t="s">
        <v>1140</v>
      </c>
    </row>
    <row r="40" spans="2:8" x14ac:dyDescent="0.25">
      <c r="B40" s="1222" t="s">
        <v>1141</v>
      </c>
      <c r="C40" s="1222"/>
      <c r="D40" s="1222" t="s">
        <v>1142</v>
      </c>
      <c r="E40" s="1222"/>
      <c r="F40" s="1222" t="s">
        <v>1321</v>
      </c>
      <c r="G40" s="1222"/>
    </row>
    <row r="41" spans="2:8" x14ac:dyDescent="0.25">
      <c r="B41" s="1222" t="s">
        <v>1143</v>
      </c>
      <c r="C41" s="1222"/>
      <c r="D41" s="1222"/>
      <c r="E41" s="1222"/>
      <c r="F41" s="1222"/>
      <c r="G41" s="1222"/>
    </row>
    <row r="42" spans="2:8" x14ac:dyDescent="0.25">
      <c r="B42" s="1222" t="s">
        <v>739</v>
      </c>
      <c r="C42" s="1222"/>
      <c r="D42" s="1222"/>
      <c r="E42" s="1222"/>
      <c r="F42" s="1222"/>
      <c r="G42" s="1222"/>
    </row>
    <row r="43" spans="2:8" x14ac:dyDescent="0.25">
      <c r="B43" s="1222" t="s">
        <v>1144</v>
      </c>
      <c r="C43" s="1222"/>
      <c r="D43" s="1222"/>
      <c r="E43" s="1222"/>
      <c r="F43" s="1222"/>
      <c r="G43" s="1222"/>
    </row>
    <row r="44" spans="2:8" x14ac:dyDescent="0.25">
      <c r="B44" s="1222" t="s">
        <v>1145</v>
      </c>
      <c r="C44" s="1222"/>
      <c r="D44" s="1222"/>
      <c r="E44" s="1222"/>
      <c r="F44" s="1222"/>
      <c r="G44" s="1222"/>
    </row>
    <row r="45" spans="2:8" x14ac:dyDescent="0.25">
      <c r="B45" s="1222" t="s">
        <v>1146</v>
      </c>
      <c r="C45" s="1222"/>
      <c r="D45" s="1222"/>
      <c r="E45" s="1222"/>
      <c r="F45" s="1222"/>
      <c r="G45" s="1222"/>
    </row>
  </sheetData>
  <mergeCells count="32">
    <mergeCell ref="D44:E44"/>
    <mergeCell ref="B40:C40"/>
    <mergeCell ref="D40:E40"/>
    <mergeCell ref="F44:G44"/>
    <mergeCell ref="D45:E45"/>
    <mergeCell ref="F45:G45"/>
    <mergeCell ref="B44:C44"/>
    <mergeCell ref="B45:C45"/>
    <mergeCell ref="F40:G40"/>
    <mergeCell ref="B41:C41"/>
    <mergeCell ref="B42:C42"/>
    <mergeCell ref="B43:C43"/>
    <mergeCell ref="F41:G41"/>
    <mergeCell ref="F42:G42"/>
    <mergeCell ref="F43:G43"/>
    <mergeCell ref="D41:E41"/>
    <mergeCell ref="D42:E42"/>
    <mergeCell ref="D43:E43"/>
    <mergeCell ref="C25:J25"/>
    <mergeCell ref="B26:C26"/>
    <mergeCell ref="B27:C27"/>
    <mergeCell ref="B28:C28"/>
    <mergeCell ref="B29:C29"/>
    <mergeCell ref="B30:C30"/>
    <mergeCell ref="C11:D11"/>
    <mergeCell ref="A2:AD2"/>
    <mergeCell ref="A5:I5"/>
    <mergeCell ref="C6:D6"/>
    <mergeCell ref="C7:D7"/>
    <mergeCell ref="C8:D8"/>
    <mergeCell ref="C9:D9"/>
    <mergeCell ref="C10:D10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45DBC-0D5B-4D85-83B2-0B4D64669835}">
  <sheetPr codeName="Sheet22"/>
  <dimension ref="B2:Y46"/>
  <sheetViews>
    <sheetView showGridLines="0" showRowColHeaders="0" workbookViewId="0">
      <selection activeCell="B4" activeCellId="3" sqref="B27:L27 N29:X30 N4:X4 B4:L4"/>
    </sheetView>
  </sheetViews>
  <sheetFormatPr defaultRowHeight="15" x14ac:dyDescent="0.25"/>
  <cols>
    <col min="1" max="1" width="2.140625" customWidth="1"/>
    <col min="2" max="2" width="1.85546875" customWidth="1"/>
    <col min="3" max="3" width="20" customWidth="1"/>
    <col min="4" max="4" width="0.7109375" customWidth="1"/>
    <col min="11" max="11" width="18.28515625" customWidth="1"/>
    <col min="12" max="13" width="2.140625" customWidth="1"/>
    <col min="14" max="14" width="13.85546875" customWidth="1"/>
    <col min="23" max="23" width="18.28515625" customWidth="1"/>
    <col min="24" max="24" width="2.140625" customWidth="1"/>
    <col min="25" max="25" width="9.140625" customWidth="1"/>
  </cols>
  <sheetData>
    <row r="2" spans="2:25" ht="23.25" x14ac:dyDescent="0.35">
      <c r="B2" s="961" t="s">
        <v>1060</v>
      </c>
      <c r="C2" s="961"/>
      <c r="D2" s="961"/>
      <c r="E2" s="961"/>
      <c r="F2" s="961"/>
      <c r="G2" s="961"/>
      <c r="H2" s="961"/>
      <c r="I2" s="961"/>
      <c r="J2" s="961"/>
      <c r="K2" s="961"/>
      <c r="L2" s="961"/>
      <c r="M2" s="961"/>
      <c r="N2" s="961"/>
      <c r="O2" s="961"/>
      <c r="P2" s="961"/>
      <c r="Q2" s="961"/>
      <c r="R2" s="961"/>
      <c r="S2" s="961"/>
      <c r="T2" s="961"/>
      <c r="U2" s="961"/>
      <c r="V2" s="961"/>
      <c r="W2" s="961"/>
      <c r="X2" s="961"/>
    </row>
    <row r="3" spans="2:25" ht="15" customHeight="1" thickBot="1" x14ac:dyDescent="0.3"/>
    <row r="4" spans="2:25" ht="24" thickBot="1" x14ac:dyDescent="0.4">
      <c r="B4" s="992" t="s">
        <v>712</v>
      </c>
      <c r="C4" s="993"/>
      <c r="D4" s="993"/>
      <c r="E4" s="993"/>
      <c r="F4" s="993"/>
      <c r="G4" s="993"/>
      <c r="H4" s="993"/>
      <c r="I4" s="993"/>
      <c r="J4" s="993"/>
      <c r="K4" s="993"/>
      <c r="L4" s="994"/>
      <c r="M4" s="300"/>
      <c r="N4" s="992" t="s">
        <v>716</v>
      </c>
      <c r="O4" s="993"/>
      <c r="P4" s="993"/>
      <c r="Q4" s="993"/>
      <c r="R4" s="993"/>
      <c r="S4" s="993"/>
      <c r="T4" s="993"/>
      <c r="U4" s="993"/>
      <c r="V4" s="993"/>
      <c r="W4" s="993"/>
      <c r="X4" s="994"/>
      <c r="Y4" s="168"/>
    </row>
    <row r="5" spans="2:25" ht="3.75" customHeight="1" x14ac:dyDescent="0.25">
      <c r="B5" s="11"/>
      <c r="M5" s="126"/>
      <c r="N5" s="11"/>
      <c r="X5" s="4"/>
    </row>
    <row r="6" spans="2:25" ht="15" customHeight="1" x14ac:dyDescent="0.25">
      <c r="B6" s="11"/>
      <c r="C6" s="216" t="s">
        <v>692</v>
      </c>
      <c r="D6" s="216"/>
      <c r="E6" s="1142" t="str">
        <f>Unformatted!G393</f>
        <v xml:space="preserve">SHAFT RUNNING OUT: N/A   ROTOR IRON RUNNING OUT: N/A   COUPLING FACE RUNNING OUT: N/A   COUPLING RIM RUNNING OUT: N/A   </v>
      </c>
      <c r="F6" s="1143"/>
      <c r="G6" s="1143"/>
      <c r="H6" s="1143"/>
      <c r="I6" s="1143"/>
      <c r="J6" s="1143"/>
      <c r="K6" s="1144"/>
      <c r="L6" s="74"/>
      <c r="M6" s="301"/>
      <c r="N6" s="11"/>
      <c r="O6" s="216" t="s">
        <v>708</v>
      </c>
      <c r="P6" s="1230" t="str">
        <f>Unformatted!E415</f>
        <v>RESISTANCE TO GROUND READING UNRECORDED</v>
      </c>
      <c r="Q6" s="1231"/>
      <c r="R6" s="1231"/>
      <c r="S6" s="1231"/>
      <c r="T6" s="1231"/>
      <c r="U6" s="1231"/>
      <c r="V6" s="1231"/>
      <c r="W6" s="1232"/>
      <c r="X6" s="4"/>
    </row>
    <row r="7" spans="2:25" ht="3.75" customHeight="1" x14ac:dyDescent="0.25">
      <c r="B7" s="11"/>
      <c r="C7" s="1"/>
      <c r="D7" s="1"/>
      <c r="E7" s="1145"/>
      <c r="F7" s="1219"/>
      <c r="G7" s="1219"/>
      <c r="H7" s="1219"/>
      <c r="I7" s="1219"/>
      <c r="J7" s="1219"/>
      <c r="K7" s="1147"/>
      <c r="L7" s="74"/>
      <c r="M7" s="301"/>
      <c r="N7" s="11"/>
      <c r="O7" s="217"/>
      <c r="X7" s="4"/>
    </row>
    <row r="8" spans="2:25" ht="15" customHeight="1" x14ac:dyDescent="0.25">
      <c r="B8" s="11"/>
      <c r="C8" s="1"/>
      <c r="D8" s="1"/>
      <c r="E8" s="1145"/>
      <c r="F8" s="1219"/>
      <c r="G8" s="1219"/>
      <c r="H8" s="1219"/>
      <c r="I8" s="1219"/>
      <c r="J8" s="1219"/>
      <c r="K8" s="1147"/>
      <c r="L8" s="74"/>
      <c r="M8" s="301"/>
      <c r="N8" s="11"/>
      <c r="O8" s="216" t="s">
        <v>594</v>
      </c>
      <c r="P8" s="1233" t="str">
        <f>Unformatted!E416</f>
        <v>AMPS UNRECORDED</v>
      </c>
      <c r="Q8" s="1234"/>
      <c r="R8" s="1234"/>
      <c r="S8" s="1234"/>
      <c r="T8" s="1234"/>
      <c r="U8" s="1234"/>
      <c r="V8" s="1234"/>
      <c r="W8" s="1235"/>
      <c r="X8" s="4"/>
    </row>
    <row r="9" spans="2:25" ht="3.75" customHeight="1" x14ac:dyDescent="0.25">
      <c r="B9" s="11"/>
      <c r="C9" s="1"/>
      <c r="D9" s="1"/>
      <c r="E9" s="1145"/>
      <c r="F9" s="1219"/>
      <c r="G9" s="1219"/>
      <c r="H9" s="1219"/>
      <c r="I9" s="1219"/>
      <c r="J9" s="1219"/>
      <c r="K9" s="1147"/>
      <c r="L9" s="74"/>
      <c r="M9" s="301"/>
      <c r="N9" s="11"/>
      <c r="O9" s="217"/>
      <c r="X9" s="4"/>
    </row>
    <row r="10" spans="2:25" ht="15.75" x14ac:dyDescent="0.25">
      <c r="B10" s="11"/>
      <c r="C10" s="1"/>
      <c r="D10" s="1"/>
      <c r="E10" s="1148"/>
      <c r="F10" s="1149"/>
      <c r="G10" s="1149"/>
      <c r="H10" s="1149"/>
      <c r="I10" s="1149"/>
      <c r="J10" s="1149"/>
      <c r="K10" s="1150"/>
      <c r="L10" s="74"/>
      <c r="M10" s="301"/>
      <c r="N10" s="11"/>
      <c r="O10" s="216" t="s">
        <v>704</v>
      </c>
      <c r="P10" s="1227" t="str">
        <f>Unformatted!E417</f>
        <v>AMPS UNRECORDED</v>
      </c>
      <c r="Q10" s="1228"/>
      <c r="R10" s="1228"/>
      <c r="S10" s="1228"/>
      <c r="T10" s="1228"/>
      <c r="U10" s="1228"/>
      <c r="V10" s="1228"/>
      <c r="W10" s="1229"/>
      <c r="X10" s="4"/>
    </row>
    <row r="11" spans="2:25" ht="3.75" customHeight="1" x14ac:dyDescent="0.25">
      <c r="B11" s="11"/>
      <c r="C11" s="1"/>
      <c r="D11" s="1"/>
      <c r="E11" s="215"/>
      <c r="F11" s="215"/>
      <c r="G11" s="215"/>
      <c r="H11" s="215"/>
      <c r="I11" s="215"/>
      <c r="J11" s="215"/>
      <c r="K11" s="215"/>
      <c r="L11" s="74"/>
      <c r="M11" s="301"/>
      <c r="N11" s="11"/>
      <c r="O11" s="217"/>
      <c r="P11" s="218" t="str">
        <f>Unformatted!E418</f>
        <v>OHMS NOT RECORDED</v>
      </c>
      <c r="Q11" s="218"/>
      <c r="R11" s="218"/>
      <c r="S11" s="218"/>
      <c r="T11" s="218"/>
      <c r="U11" s="218"/>
      <c r="V11" s="218"/>
      <c r="W11" s="218"/>
      <c r="X11" s="4"/>
    </row>
    <row r="12" spans="2:25" ht="15.75" x14ac:dyDescent="0.25">
      <c r="B12" s="11"/>
      <c r="C12" s="216" t="s">
        <v>65</v>
      </c>
      <c r="D12" s="1"/>
      <c r="E12" s="1101" t="str">
        <f>Unformatted!E399</f>
        <v>FAN CONDITION UNRECORDED</v>
      </c>
      <c r="F12" s="1103"/>
      <c r="G12" s="1103"/>
      <c r="H12" s="1103"/>
      <c r="I12" s="1103"/>
      <c r="J12" s="1103"/>
      <c r="K12" s="1102"/>
      <c r="M12" s="126"/>
      <c r="N12" s="11"/>
      <c r="O12" s="216" t="s">
        <v>258</v>
      </c>
      <c r="P12" s="1236" t="str">
        <f>Unformatted!E418</f>
        <v>OHMS NOT RECORDED</v>
      </c>
      <c r="Q12" s="1237"/>
      <c r="R12" s="1237"/>
      <c r="S12" s="1237"/>
      <c r="T12" s="1237"/>
      <c r="U12" s="1237"/>
      <c r="V12" s="1237"/>
      <c r="W12" s="1238"/>
      <c r="X12" s="4"/>
    </row>
    <row r="13" spans="2:25" ht="3.75" customHeight="1" x14ac:dyDescent="0.25">
      <c r="B13" s="11"/>
      <c r="C13" s="216"/>
      <c r="D13" s="1"/>
      <c r="E13" s="10"/>
      <c r="F13" s="10"/>
      <c r="G13" s="10"/>
      <c r="H13" s="10"/>
      <c r="M13" s="126"/>
      <c r="N13" s="11"/>
      <c r="O13" s="217"/>
      <c r="X13" s="4"/>
    </row>
    <row r="14" spans="2:25" ht="15.75" x14ac:dyDescent="0.25">
      <c r="B14" s="11"/>
      <c r="C14" s="216" t="s">
        <v>529</v>
      </c>
      <c r="D14" s="1"/>
      <c r="E14" s="1101" t="str">
        <f>Unformatted!E400</f>
        <v>FEET CONDITION UNRECORDED</v>
      </c>
      <c r="F14" s="1103"/>
      <c r="G14" s="1103"/>
      <c r="H14" s="1103"/>
      <c r="I14" s="1103"/>
      <c r="J14" s="1103"/>
      <c r="K14" s="1102"/>
      <c r="M14" s="126"/>
      <c r="N14" s="11"/>
      <c r="O14" s="216" t="s">
        <v>707</v>
      </c>
      <c r="P14" s="1227" t="str">
        <f>Unformatted!E419</f>
        <v>OHMS NOT RECORDED</v>
      </c>
      <c r="Q14" s="1228"/>
      <c r="R14" s="1228"/>
      <c r="S14" s="1228"/>
      <c r="T14" s="1228"/>
      <c r="U14" s="1228"/>
      <c r="V14" s="1228"/>
      <c r="W14" s="1229"/>
      <c r="X14" s="4"/>
    </row>
    <row r="15" spans="2:25" ht="3.75" customHeight="1" x14ac:dyDescent="0.25">
      <c r="B15" s="11"/>
      <c r="C15" s="216"/>
      <c r="D15" s="1"/>
      <c r="E15" s="10"/>
      <c r="F15" s="10"/>
      <c r="G15" s="10"/>
      <c r="H15" s="10"/>
      <c r="M15" s="126"/>
      <c r="N15" s="11"/>
      <c r="O15" s="217"/>
      <c r="X15" s="4"/>
    </row>
    <row r="16" spans="2:25" ht="15.75" x14ac:dyDescent="0.25">
      <c r="B16" s="11"/>
      <c r="C16" s="216" t="s">
        <v>715</v>
      </c>
      <c r="D16" s="1"/>
      <c r="E16" s="1227" t="str">
        <f>Unformatted!E401</f>
        <v>NOT APPLICABLE</v>
      </c>
      <c r="F16" s="1228"/>
      <c r="G16" s="1228"/>
      <c r="H16" s="1228"/>
      <c r="I16" s="1228"/>
      <c r="J16" s="1228"/>
      <c r="K16" s="1229"/>
      <c r="M16" s="126"/>
      <c r="N16" s="11"/>
      <c r="O16" s="216" t="s">
        <v>360</v>
      </c>
      <c r="P16" s="1227" t="str">
        <f>Unformatted!E420</f>
        <v>SURGE TEST NOT RECORDED</v>
      </c>
      <c r="Q16" s="1228"/>
      <c r="R16" s="1228"/>
      <c r="S16" s="1228"/>
      <c r="T16" s="1228"/>
      <c r="U16" s="1228"/>
      <c r="V16" s="1228"/>
      <c r="W16" s="1229"/>
      <c r="X16" s="4"/>
    </row>
    <row r="17" spans="2:24" ht="3.75" customHeight="1" x14ac:dyDescent="0.25">
      <c r="B17" s="11"/>
      <c r="C17" s="216"/>
      <c r="D17" s="1"/>
      <c r="E17" s="10"/>
      <c r="F17" s="10"/>
      <c r="G17" s="10"/>
      <c r="H17" s="10"/>
      <c r="M17" s="126"/>
      <c r="N17" s="11"/>
      <c r="O17" s="217"/>
      <c r="X17" s="4"/>
    </row>
    <row r="18" spans="2:24" ht="15.75" x14ac:dyDescent="0.25">
      <c r="B18" s="11"/>
      <c r="C18" s="216" t="s">
        <v>391</v>
      </c>
      <c r="D18" s="1"/>
      <c r="E18" s="1101" t="str">
        <f>Unformatted!E402</f>
        <v>VIBRATION UNRECORDED</v>
      </c>
      <c r="F18" s="1103"/>
      <c r="G18" s="1103"/>
      <c r="H18" s="1103"/>
      <c r="I18" s="1103"/>
      <c r="J18" s="1103"/>
      <c r="K18" s="1102"/>
      <c r="M18" s="126"/>
      <c r="N18" s="11"/>
      <c r="O18" s="216" t="s">
        <v>711</v>
      </c>
      <c r="P18" s="1227" t="str">
        <f>Unformatted!E421</f>
        <v>HIPOT TEST NOT RECORDED</v>
      </c>
      <c r="Q18" s="1228"/>
      <c r="R18" s="1228"/>
      <c r="S18" s="1228"/>
      <c r="T18" s="1228"/>
      <c r="U18" s="1228"/>
      <c r="V18" s="1228"/>
      <c r="W18" s="1229"/>
      <c r="X18" s="4"/>
    </row>
    <row r="19" spans="2:24" ht="3.75" customHeight="1" x14ac:dyDescent="0.25">
      <c r="B19" s="11"/>
      <c r="C19" s="216"/>
      <c r="D19" s="1"/>
      <c r="M19" s="126"/>
      <c r="N19" s="11"/>
      <c r="X19" s="4"/>
    </row>
    <row r="20" spans="2:24" ht="15.75" x14ac:dyDescent="0.25">
      <c r="B20" s="1225" t="s">
        <v>940</v>
      </c>
      <c r="C20" s="1226"/>
      <c r="D20" s="1"/>
      <c r="M20" s="126"/>
      <c r="N20" s="11"/>
      <c r="O20" s="216" t="s">
        <v>709</v>
      </c>
      <c r="P20" s="1227" t="str">
        <f>Unformatted!E422</f>
        <v>LOW VOLTAGE ROTOR TEST NOT RECORDED</v>
      </c>
      <c r="Q20" s="1228"/>
      <c r="R20" s="1228"/>
      <c r="S20" s="1228"/>
      <c r="T20" s="1228"/>
      <c r="U20" s="1228"/>
      <c r="V20" s="1228"/>
      <c r="W20" s="1229"/>
      <c r="X20" s="4"/>
    </row>
    <row r="21" spans="2:24" ht="3.75" customHeight="1" x14ac:dyDescent="0.25">
      <c r="B21" s="1225"/>
      <c r="C21" s="1226"/>
      <c r="D21" s="1"/>
      <c r="M21" s="126"/>
      <c r="N21" s="11"/>
      <c r="X21" s="4"/>
    </row>
    <row r="22" spans="2:24" ht="15.75" x14ac:dyDescent="0.25">
      <c r="B22" s="1225"/>
      <c r="C22" s="1226"/>
      <c r="D22" s="1"/>
      <c r="M22" s="126"/>
      <c r="N22" s="11"/>
      <c r="O22" s="216" t="s">
        <v>609</v>
      </c>
      <c r="P22" s="1227" t="str">
        <f>Unformatted!E423</f>
        <v>LEAD CONDITION NOT RECORDED</v>
      </c>
      <c r="Q22" s="1228"/>
      <c r="R22" s="1228"/>
      <c r="S22" s="1228"/>
      <c r="T22" s="1228"/>
      <c r="U22" s="1228"/>
      <c r="V22" s="1228"/>
      <c r="W22" s="1229"/>
      <c r="X22" s="4"/>
    </row>
    <row r="23" spans="2:24" ht="3.75" customHeight="1" x14ac:dyDescent="0.25">
      <c r="B23" s="11"/>
      <c r="C23" s="1"/>
      <c r="D23" s="1"/>
      <c r="M23" s="126"/>
      <c r="N23" s="11"/>
      <c r="O23" s="217"/>
      <c r="X23" s="4"/>
    </row>
    <row r="24" spans="2:24" ht="15" customHeight="1" x14ac:dyDescent="0.25">
      <c r="B24" s="11"/>
      <c r="C24" s="1"/>
      <c r="D24" s="1"/>
      <c r="M24" s="126"/>
      <c r="N24" s="1223" t="s">
        <v>940</v>
      </c>
      <c r="O24" s="1224"/>
      <c r="X24" s="4"/>
    </row>
    <row r="25" spans="2:24" ht="15" customHeight="1" x14ac:dyDescent="0.25">
      <c r="B25" s="11"/>
      <c r="C25" s="1"/>
      <c r="D25" s="1"/>
      <c r="M25" s="126"/>
      <c r="N25" s="1223"/>
      <c r="O25" s="1224"/>
      <c r="X25" s="4"/>
    </row>
    <row r="26" spans="2:24" ht="15.75" thickBot="1" x14ac:dyDescent="0.3">
      <c r="B26" s="11"/>
      <c r="C26" s="1"/>
      <c r="D26" s="1"/>
      <c r="M26" s="126"/>
      <c r="N26" s="1223"/>
      <c r="O26" s="1224"/>
      <c r="X26" s="4"/>
    </row>
    <row r="27" spans="2:24" ht="24" thickBot="1" x14ac:dyDescent="0.4">
      <c r="B27" s="992" t="s">
        <v>713</v>
      </c>
      <c r="C27" s="993"/>
      <c r="D27" s="993"/>
      <c r="E27" s="993"/>
      <c r="F27" s="993"/>
      <c r="G27" s="993"/>
      <c r="H27" s="993"/>
      <c r="I27" s="993"/>
      <c r="J27" s="993"/>
      <c r="K27" s="993"/>
      <c r="L27" s="994"/>
      <c r="M27" s="300"/>
      <c r="N27" s="1223"/>
      <c r="O27" s="1224"/>
      <c r="X27" s="4"/>
    </row>
    <row r="28" spans="2:24" ht="3.75" customHeight="1" thickBot="1" x14ac:dyDescent="0.3">
      <c r="B28" s="11"/>
      <c r="C28" s="1"/>
      <c r="D28" s="1"/>
      <c r="M28" s="126"/>
      <c r="N28" s="12"/>
      <c r="O28" s="5"/>
      <c r="P28" s="5"/>
      <c r="Q28" s="5"/>
      <c r="R28" s="5"/>
      <c r="S28" s="5"/>
      <c r="T28" s="5"/>
      <c r="U28" s="5"/>
      <c r="V28" s="5"/>
      <c r="W28" s="5"/>
      <c r="X28" s="6"/>
    </row>
    <row r="29" spans="2:24" ht="15" customHeight="1" x14ac:dyDescent="0.25">
      <c r="B29" s="11"/>
      <c r="C29" s="216" t="s">
        <v>698</v>
      </c>
      <c r="D29" s="1"/>
      <c r="E29" s="1101" t="str">
        <f>Unformatted!F404</f>
        <v xml:space="preserve">IB JOURNAL UNRECORDED   OB JOURNAL UNRECORDED   </v>
      </c>
      <c r="F29" s="1103"/>
      <c r="G29" s="1103"/>
      <c r="H29" s="1103"/>
      <c r="I29" s="1103"/>
      <c r="J29" s="1103"/>
      <c r="K29" s="1102"/>
      <c r="M29" s="126"/>
      <c r="N29" s="1239" t="s">
        <v>717</v>
      </c>
      <c r="O29" s="1240"/>
      <c r="P29" s="1240"/>
      <c r="Q29" s="1240"/>
      <c r="R29" s="1240"/>
      <c r="S29" s="1240"/>
      <c r="T29" s="1240"/>
      <c r="U29" s="1240"/>
      <c r="V29" s="1240"/>
      <c r="W29" s="1240"/>
      <c r="X29" s="1241"/>
    </row>
    <row r="30" spans="2:24" ht="3.75" customHeight="1" thickBot="1" x14ac:dyDescent="0.3">
      <c r="B30" s="11"/>
      <c r="C30" s="216"/>
      <c r="D30" s="1"/>
      <c r="M30" s="126"/>
      <c r="N30" s="1242"/>
      <c r="O30" s="1243"/>
      <c r="P30" s="1243"/>
      <c r="Q30" s="1243"/>
      <c r="R30" s="1243"/>
      <c r="S30" s="1243"/>
      <c r="T30" s="1243"/>
      <c r="U30" s="1243"/>
      <c r="V30" s="1243"/>
      <c r="W30" s="1243"/>
      <c r="X30" s="1244"/>
    </row>
    <row r="31" spans="2:24" ht="15.75" x14ac:dyDescent="0.25">
      <c r="B31" s="11"/>
      <c r="C31" s="216" t="s">
        <v>699</v>
      </c>
      <c r="D31" s="1"/>
      <c r="E31" s="1245" t="str">
        <f>Unformatted!F407</f>
        <v xml:space="preserve">IB HOUSING UNRECORDED   OB HOUSING UNRECORDED   </v>
      </c>
      <c r="F31" s="1246"/>
      <c r="G31" s="1246"/>
      <c r="H31" s="1246"/>
      <c r="I31" s="1246"/>
      <c r="J31" s="1246"/>
      <c r="K31" s="1247"/>
      <c r="M31" s="126"/>
      <c r="N31" s="11"/>
      <c r="X31" s="4"/>
    </row>
    <row r="32" spans="2:24" ht="3.75" customHeight="1" x14ac:dyDescent="0.25">
      <c r="B32" s="11"/>
      <c r="C32" s="216"/>
      <c r="D32" s="1"/>
      <c r="M32" s="126"/>
      <c r="N32" s="11"/>
      <c r="X32" s="4"/>
    </row>
    <row r="33" spans="2:24" ht="15" customHeight="1" x14ac:dyDescent="0.25">
      <c r="B33" s="11"/>
      <c r="C33" s="216" t="s">
        <v>352</v>
      </c>
      <c r="D33" s="1"/>
      <c r="E33" s="1227" t="str">
        <f>Unformatted!E410</f>
        <v>SHAFT EXTENSION CONDITION UNRECORDED!</v>
      </c>
      <c r="F33" s="1228"/>
      <c r="G33" s="1228"/>
      <c r="H33" s="1228"/>
      <c r="I33" s="1228"/>
      <c r="J33" s="1228"/>
      <c r="K33" s="1229"/>
      <c r="M33" s="126"/>
      <c r="N33" s="11"/>
      <c r="X33" s="4"/>
    </row>
    <row r="34" spans="2:24" ht="3.75" customHeight="1" x14ac:dyDescent="0.25">
      <c r="B34" s="11"/>
      <c r="C34" s="216"/>
      <c r="D34" s="1"/>
      <c r="M34" s="126"/>
      <c r="N34" s="11"/>
      <c r="X34" s="4"/>
    </row>
    <row r="35" spans="2:24" ht="15.75" x14ac:dyDescent="0.25">
      <c r="B35" s="11"/>
      <c r="C35" s="216" t="s">
        <v>170</v>
      </c>
      <c r="D35" s="1"/>
      <c r="E35" s="1101" t="str">
        <f>Unformatted!E411</f>
        <v>KEYWAY CONDITION UNRECORDED</v>
      </c>
      <c r="F35" s="1103"/>
      <c r="G35" s="1103"/>
      <c r="H35" s="1103"/>
      <c r="I35" s="1103"/>
      <c r="J35" s="1103"/>
      <c r="K35" s="1102"/>
      <c r="M35" s="126"/>
      <c r="N35" s="11"/>
      <c r="X35" s="4"/>
    </row>
    <row r="36" spans="2:24" ht="3.75" customHeight="1" x14ac:dyDescent="0.25">
      <c r="B36" s="11"/>
      <c r="C36" s="216"/>
      <c r="D36" s="1"/>
      <c r="M36" s="126"/>
      <c r="N36" s="11"/>
      <c r="X36" s="4"/>
    </row>
    <row r="37" spans="2:24" ht="15.75" x14ac:dyDescent="0.25">
      <c r="B37" s="11"/>
      <c r="C37" s="216" t="s">
        <v>714</v>
      </c>
      <c r="D37" s="1"/>
      <c r="E37" s="1227" t="str">
        <f>Unformatted!E413</f>
        <v>OK</v>
      </c>
      <c r="F37" s="1228"/>
      <c r="G37" s="1228"/>
      <c r="H37" s="1228"/>
      <c r="I37" s="1228"/>
      <c r="J37" s="1228"/>
      <c r="K37" s="1229"/>
      <c r="M37" s="126"/>
      <c r="N37" s="11"/>
      <c r="X37" s="4"/>
    </row>
    <row r="38" spans="2:24" ht="3.75" customHeight="1" x14ac:dyDescent="0.25">
      <c r="B38" s="11"/>
      <c r="C38" s="216"/>
      <c r="M38" s="126"/>
      <c r="N38" s="11"/>
      <c r="X38" s="4"/>
    </row>
    <row r="39" spans="2:24" ht="15.75" x14ac:dyDescent="0.25">
      <c r="B39" s="11"/>
      <c r="C39" s="216" t="s">
        <v>700</v>
      </c>
      <c r="E39" s="1227" t="e">
        <f>Unformatted!E412</f>
        <v>#VALUE!</v>
      </c>
      <c r="F39" s="1228"/>
      <c r="G39" s="1228"/>
      <c r="H39" s="1228"/>
      <c r="I39" s="1228"/>
      <c r="J39" s="1228"/>
      <c r="K39" s="1229"/>
      <c r="M39" s="126"/>
      <c r="N39" s="11"/>
      <c r="X39" s="4"/>
    </row>
    <row r="40" spans="2:24" ht="3.75" customHeight="1" x14ac:dyDescent="0.25">
      <c r="B40" s="11"/>
      <c r="M40" s="126"/>
      <c r="N40" s="11"/>
      <c r="X40" s="4"/>
    </row>
    <row r="41" spans="2:24" ht="15" customHeight="1" x14ac:dyDescent="0.25">
      <c r="B41" s="1223" t="s">
        <v>940</v>
      </c>
      <c r="C41" s="1224"/>
      <c r="M41" s="126"/>
      <c r="N41" s="11"/>
      <c r="X41" s="4"/>
    </row>
    <row r="42" spans="2:24" ht="15" customHeight="1" x14ac:dyDescent="0.25">
      <c r="B42" s="1223"/>
      <c r="C42" s="1224"/>
      <c r="M42" s="126"/>
      <c r="N42" s="11"/>
      <c r="X42" s="4"/>
    </row>
    <row r="43" spans="2:24" x14ac:dyDescent="0.25">
      <c r="B43" s="1223"/>
      <c r="C43" s="1224"/>
      <c r="M43" s="126"/>
      <c r="N43" s="11"/>
      <c r="X43" s="4"/>
    </row>
    <row r="44" spans="2:24" x14ac:dyDescent="0.25">
      <c r="B44" s="1223"/>
      <c r="C44" s="1224"/>
      <c r="M44" s="126"/>
      <c r="N44" s="11"/>
      <c r="X44" s="4"/>
    </row>
    <row r="45" spans="2:24" x14ac:dyDescent="0.25">
      <c r="B45" s="1223"/>
      <c r="C45" s="1224"/>
      <c r="M45" s="126"/>
      <c r="N45" s="11"/>
      <c r="X45" s="4"/>
    </row>
    <row r="46" spans="2:24" ht="15.75" thickBot="1" x14ac:dyDescent="0.3">
      <c r="B46" s="12"/>
      <c r="C46" s="5"/>
      <c r="D46" s="5"/>
      <c r="E46" s="5"/>
      <c r="F46" s="5"/>
      <c r="G46" s="5"/>
      <c r="H46" s="5"/>
      <c r="I46" s="5"/>
      <c r="J46" s="5"/>
      <c r="K46" s="5"/>
      <c r="L46" s="5"/>
      <c r="M46" s="126"/>
      <c r="N46" s="12"/>
      <c r="O46" s="5"/>
      <c r="P46" s="5"/>
      <c r="Q46" s="5"/>
      <c r="R46" s="5"/>
      <c r="S46" s="5"/>
      <c r="T46" s="5"/>
      <c r="U46" s="5"/>
      <c r="V46" s="5"/>
      <c r="W46" s="5"/>
      <c r="X46" s="6"/>
    </row>
  </sheetData>
  <sheetProtection sheet="1" selectLockedCells="1"/>
  <mergeCells count="28">
    <mergeCell ref="E29:K29"/>
    <mergeCell ref="B27:L27"/>
    <mergeCell ref="P16:W16"/>
    <mergeCell ref="P18:W18"/>
    <mergeCell ref="P20:W20"/>
    <mergeCell ref="P22:W22"/>
    <mergeCell ref="E18:K18"/>
    <mergeCell ref="E39:K39"/>
    <mergeCell ref="E37:K37"/>
    <mergeCell ref="E35:K35"/>
    <mergeCell ref="E33:K33"/>
    <mergeCell ref="E31:K31"/>
    <mergeCell ref="B41:C45"/>
    <mergeCell ref="N24:O27"/>
    <mergeCell ref="B20:C22"/>
    <mergeCell ref="B2:X2"/>
    <mergeCell ref="P14:W14"/>
    <mergeCell ref="P6:W6"/>
    <mergeCell ref="P8:W8"/>
    <mergeCell ref="P10:W10"/>
    <mergeCell ref="E12:K12"/>
    <mergeCell ref="E14:K14"/>
    <mergeCell ref="N4:X4"/>
    <mergeCell ref="E6:K10"/>
    <mergeCell ref="B4:L4"/>
    <mergeCell ref="P12:W12"/>
    <mergeCell ref="N29:X30"/>
    <mergeCell ref="E16:K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4516" r:id="rId3" name="TextBox4">
          <controlPr defaultSize="0" autoLine="0" autoPict="0" linkedCell="Unformatted!E424" r:id="rId4">
            <anchor moveWithCells="1">
              <from>
                <xdr:col>13</xdr:col>
                <xdr:colOff>114300</xdr:colOff>
                <xdr:row>30</xdr:row>
                <xdr:rowOff>95250</xdr:rowOff>
              </from>
              <to>
                <xdr:col>23</xdr:col>
                <xdr:colOff>28575</xdr:colOff>
                <xdr:row>45</xdr:row>
                <xdr:rowOff>114300</xdr:rowOff>
              </to>
            </anchor>
          </controlPr>
        </control>
      </mc:Choice>
      <mc:Fallback>
        <control shapeId="64516" r:id="rId3" name="TextBox4"/>
      </mc:Fallback>
    </mc:AlternateContent>
    <mc:AlternateContent xmlns:mc="http://schemas.openxmlformats.org/markup-compatibility/2006">
      <mc:Choice Requires="x14">
        <control shapeId="64515" r:id="rId5" name="TextBox3">
          <controlPr defaultSize="0" autoLine="0" linkedCell="Unformatted!$E$358" r:id="rId6">
            <anchor moveWithCells="1">
              <from>
                <xdr:col>15</xdr:col>
                <xdr:colOff>9525</xdr:colOff>
                <xdr:row>23</xdr:row>
                <xdr:rowOff>19050</xdr:rowOff>
              </from>
              <to>
                <xdr:col>23</xdr:col>
                <xdr:colOff>9525</xdr:colOff>
                <xdr:row>26</xdr:row>
                <xdr:rowOff>266700</xdr:rowOff>
              </to>
            </anchor>
          </controlPr>
        </control>
      </mc:Choice>
      <mc:Fallback>
        <control shapeId="64515" r:id="rId5" name="TextBox3"/>
      </mc:Fallback>
    </mc:AlternateContent>
    <mc:AlternateContent xmlns:mc="http://schemas.openxmlformats.org/markup-compatibility/2006">
      <mc:Choice Requires="x14">
        <control shapeId="64514" r:id="rId7" name="TextBox2">
          <controlPr defaultSize="0" autoLine="0" linkedCell="Unformatted!$E$355" r:id="rId8">
            <anchor moveWithCells="1">
              <from>
                <xdr:col>4</xdr:col>
                <xdr:colOff>9525</xdr:colOff>
                <xdr:row>40</xdr:row>
                <xdr:rowOff>9525</xdr:rowOff>
              </from>
              <to>
                <xdr:col>11</xdr:col>
                <xdr:colOff>9525</xdr:colOff>
                <xdr:row>45</xdr:row>
                <xdr:rowOff>114300</xdr:rowOff>
              </to>
            </anchor>
          </controlPr>
        </control>
      </mc:Choice>
      <mc:Fallback>
        <control shapeId="64514" r:id="rId7" name="TextBox2"/>
      </mc:Fallback>
    </mc:AlternateContent>
    <mc:AlternateContent xmlns:mc="http://schemas.openxmlformats.org/markup-compatibility/2006">
      <mc:Choice Requires="x14">
        <control shapeId="64513" r:id="rId9" name="TextBox1">
          <controlPr defaultSize="0" autoLine="0" linkedCell="Unformatted!$E$341" r:id="rId10">
            <anchor moveWithCells="1">
              <from>
                <xdr:col>4</xdr:col>
                <xdr:colOff>0</xdr:colOff>
                <xdr:row>19</xdr:row>
                <xdr:rowOff>9525</xdr:rowOff>
              </from>
              <to>
                <xdr:col>11</xdr:col>
                <xdr:colOff>19050</xdr:colOff>
                <xdr:row>25</xdr:row>
                <xdr:rowOff>76200</xdr:rowOff>
              </to>
            </anchor>
          </controlPr>
        </control>
      </mc:Choice>
      <mc:Fallback>
        <control shapeId="64513" r:id="rId9" name="Text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" id="{055B8A73-4B30-4577-9E77-0DC9AA282D7E}">
            <xm:f>Unformatted!$E$392&lt;&gt;"ALL RUN OUTS OK"</xm:f>
            <x14:dxf>
              <font>
                <b/>
                <i val="0"/>
                <color rgb="FFFF0000"/>
              </font>
            </x14:dxf>
          </x14:cfRule>
          <xm:sqref>E6:K10</xm:sqref>
        </x14:conditionalFormatting>
        <x14:conditionalFormatting xmlns:xm="http://schemas.microsoft.com/office/excel/2006/main">
          <x14:cfRule type="expression" priority="37" id="{C1E6EB84-EDA5-4BBD-96BD-BED7F9364C47}">
            <xm:f>Unformatted!$E$399&lt;&gt;"OK"</xm:f>
            <x14:dxf>
              <font>
                <b/>
                <i val="0"/>
                <color rgb="FFFF0000"/>
              </font>
            </x14:dxf>
          </x14:cfRule>
          <xm:sqref>E12</xm:sqref>
        </x14:conditionalFormatting>
        <x14:conditionalFormatting xmlns:xm="http://schemas.microsoft.com/office/excel/2006/main">
          <x14:cfRule type="expression" priority="36" id="{2D0BD237-D852-4841-9570-391D9C7F6673}">
            <xm:f>Unformatted!$E$400&lt;&gt;"OK"</xm:f>
            <x14:dxf>
              <font>
                <b/>
                <i val="0"/>
                <color rgb="FFFF0000"/>
              </font>
            </x14:dxf>
          </x14:cfRule>
          <xm:sqref>E14</xm:sqref>
        </x14:conditionalFormatting>
        <x14:conditionalFormatting xmlns:xm="http://schemas.microsoft.com/office/excel/2006/main">
          <x14:cfRule type="expression" priority="29" id="{732878AA-0580-483D-8D74-B1F08A5E40D6}">
            <xm:f>Unformatted!$E$401="OK"</xm:f>
            <x14:dxf>
              <font>
                <b val="0"/>
                <i val="0"/>
                <color auto="1"/>
              </font>
            </x14:dxf>
          </x14:cfRule>
          <x14:cfRule type="expression" priority="30" id="{589A2B93-C230-4ECB-AA78-CDB783512274}">
            <xm:f>Unformatted!E218&lt;&gt;FALSE</xm:f>
            <x14:dxf>
              <font>
                <b/>
                <i val="0"/>
                <color rgb="FFFF0000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28" id="{8C61CFBC-E319-4060-9475-4874C623FCDD}">
            <xm:f>Unformatted!$E$402&lt;&gt;"OK"</xm:f>
            <x14:dxf>
              <font>
                <b/>
                <i val="0"/>
                <color rgb="FFFF0000"/>
              </font>
            </x14:dxf>
          </x14:cfRule>
          <xm:sqref>E18</xm:sqref>
        </x14:conditionalFormatting>
        <x14:conditionalFormatting xmlns:xm="http://schemas.microsoft.com/office/excel/2006/main">
          <x14:cfRule type="expression" priority="27" id="{F2CCA5F1-27B9-49A0-9033-4F2E7743718A}">
            <xm:f>Unformatted!$E$403&lt;&gt;"ALL JOURNAL FITS OK"</xm:f>
            <x14:dxf>
              <font>
                <b/>
                <i val="0"/>
                <color rgb="FFFF0000"/>
              </font>
            </x14:dxf>
          </x14:cfRule>
          <xm:sqref>E29</xm:sqref>
        </x14:conditionalFormatting>
        <x14:conditionalFormatting xmlns:xm="http://schemas.microsoft.com/office/excel/2006/main">
          <x14:cfRule type="expression" priority="26" id="{36069C69-07C4-47C2-B815-9E5BE82D66D3}">
            <xm:f>Unformatted!$E$406&lt;&gt;"ALL HOUSING FITS OK"</xm:f>
            <x14:dxf>
              <font>
                <b/>
                <i val="0"/>
                <color rgb="FFFF0000"/>
              </font>
            </x14:dxf>
          </x14:cfRule>
          <xm:sqref>E31</xm:sqref>
        </x14:conditionalFormatting>
        <x14:conditionalFormatting xmlns:xm="http://schemas.microsoft.com/office/excel/2006/main">
          <x14:cfRule type="expression" priority="25" id="{B63E7141-46DF-4018-9899-F8D99939C52A}">
            <xm:f>Unformatted!$E$410="SHAFT EXTENSION FIT OK"</xm:f>
            <x14:dxf>
              <font>
                <b val="0"/>
                <i val="0"/>
                <color theme="1"/>
              </font>
            </x14:dxf>
          </x14:cfRule>
          <xm:sqref>E33</xm:sqref>
        </x14:conditionalFormatting>
        <x14:conditionalFormatting xmlns:xm="http://schemas.microsoft.com/office/excel/2006/main">
          <x14:cfRule type="expression" priority="16" id="{6B876494-2B4F-45D4-97A1-2D1668FA9280}">
            <xm:f>Unformatted!$E$413="OK"</xm:f>
            <x14:dxf>
              <font>
                <b val="0"/>
                <i val="0"/>
                <color theme="1"/>
              </font>
            </x14:dxf>
          </x14:cfRule>
          <x14:cfRule type="expression" priority="17" id="{BB683D6E-1EC8-4187-9EC5-53350394C98C}">
            <xm:f>Unformatted!$E$413="NO COUPLING"</xm:f>
            <x14:dxf>
              <font>
                <b val="0"/>
                <i val="0"/>
                <color theme="1"/>
              </font>
            </x14:dxf>
          </x14:cfRule>
          <xm:sqref>E37</xm:sqref>
        </x14:conditionalFormatting>
        <x14:conditionalFormatting xmlns:xm="http://schemas.microsoft.com/office/excel/2006/main">
          <x14:cfRule type="expression" priority="14" id="{29EDCB29-5293-4ED5-B6C2-5CBADAB5B125}">
            <xm:f>Unformatted!$E$412="NO COUPLING"</xm:f>
            <x14:dxf>
              <font>
                <b val="0"/>
                <i val="0"/>
                <color theme="1"/>
              </font>
            </x14:dxf>
          </x14:cfRule>
          <x14:cfRule type="expression" priority="15" id="{DAD98ADA-241E-4E56-B137-F157FD77F627}">
            <xm:f>Unformatted!$E$412="OK"</xm:f>
            <x14:dxf>
              <font>
                <b val="0"/>
                <i val="0"/>
                <color theme="1"/>
              </font>
            </x14:dxf>
          </x14:cfRule>
          <xm:sqref>E39</xm:sqref>
        </x14:conditionalFormatting>
        <x14:conditionalFormatting xmlns:xm="http://schemas.microsoft.com/office/excel/2006/main">
          <x14:cfRule type="expression" priority="13" id="{54834151-6DBF-4EB2-924A-1105DC15429A}">
            <xm:f>Unformatted!$E$415="OK"</xm:f>
            <x14:dxf>
              <font>
                <b val="0"/>
                <i val="0"/>
                <color theme="1"/>
              </font>
            </x14:dxf>
          </x14:cfRule>
          <xm:sqref>P6</xm:sqref>
        </x14:conditionalFormatting>
        <x14:conditionalFormatting xmlns:xm="http://schemas.microsoft.com/office/excel/2006/main">
          <x14:cfRule type="expression" priority="12" id="{938D4512-7DD5-469E-AB6B-5A42DB352E10}">
            <xm:f>Unformatted!$E$416="OK"</xm:f>
            <x14:dxf>
              <font>
                <b val="0"/>
                <i val="0"/>
                <color theme="1"/>
              </font>
            </x14:dxf>
          </x14:cfRule>
          <xm:sqref>P8</xm:sqref>
        </x14:conditionalFormatting>
        <x14:conditionalFormatting xmlns:xm="http://schemas.microsoft.com/office/excel/2006/main">
          <x14:cfRule type="expression" priority="11" id="{811D1BAC-B5ED-4193-9A29-F8D18A561012}">
            <xm:f>Unformatted!$E$417="OK"</xm:f>
            <x14:dxf>
              <font>
                <b val="0"/>
                <i val="0"/>
                <color theme="1"/>
              </font>
            </x14:dxf>
          </x14:cfRule>
          <xm:sqref>P10</xm:sqref>
        </x14:conditionalFormatting>
        <x14:conditionalFormatting xmlns:xm="http://schemas.microsoft.com/office/excel/2006/main">
          <x14:cfRule type="expression" priority="10" id="{49579700-A2CC-4DEB-A9F3-7C08A80EBD34}">
            <xm:f>Unformatted!$E$418="OK"</xm:f>
            <x14:dxf>
              <font>
                <b val="0"/>
                <i val="0"/>
                <color theme="1"/>
              </font>
            </x14:dxf>
          </x14:cfRule>
          <xm:sqref>P11</xm:sqref>
        </x14:conditionalFormatting>
        <x14:conditionalFormatting xmlns:xm="http://schemas.microsoft.com/office/excel/2006/main">
          <x14:cfRule type="expression" priority="9" id="{91C38513-AD4D-4678-BAF9-1B3B32E30969}">
            <xm:f>Unformatted!$E$419="OK"</xm:f>
            <x14:dxf>
              <font>
                <b val="0"/>
                <i val="0"/>
                <color theme="1"/>
              </font>
            </x14:dxf>
          </x14:cfRule>
          <xm:sqref>P14</xm:sqref>
        </x14:conditionalFormatting>
        <x14:conditionalFormatting xmlns:xm="http://schemas.microsoft.com/office/excel/2006/main">
          <x14:cfRule type="expression" priority="8" id="{788212C1-1093-4680-8163-1D602BD29D82}">
            <xm:f>Unformatted!$E$420="OK"</xm:f>
            <x14:dxf>
              <font>
                <b val="0"/>
                <i val="0"/>
                <color theme="1"/>
              </font>
            </x14:dxf>
          </x14:cfRule>
          <xm:sqref>P16</xm:sqref>
        </x14:conditionalFormatting>
        <x14:conditionalFormatting xmlns:xm="http://schemas.microsoft.com/office/excel/2006/main">
          <x14:cfRule type="expression" priority="7" id="{F52A0A29-FAFB-48FE-990D-15D636949081}">
            <xm:f>Unformatted!$E$421="OK"</xm:f>
            <x14:dxf>
              <font>
                <b val="0"/>
                <i val="0"/>
                <color theme="1"/>
              </font>
            </x14:dxf>
          </x14:cfRule>
          <xm:sqref>P18</xm:sqref>
        </x14:conditionalFormatting>
        <x14:conditionalFormatting xmlns:xm="http://schemas.microsoft.com/office/excel/2006/main">
          <x14:cfRule type="expression" priority="6" id="{A3D502B6-B40E-4FFE-A201-DF1F7A894799}">
            <xm:f>Unformatted!$E$422="OK"</xm:f>
            <x14:dxf>
              <font>
                <b val="0"/>
                <i val="0"/>
                <color theme="1"/>
              </font>
            </x14:dxf>
          </x14:cfRule>
          <xm:sqref>P20</xm:sqref>
        </x14:conditionalFormatting>
        <x14:conditionalFormatting xmlns:xm="http://schemas.microsoft.com/office/excel/2006/main">
          <x14:cfRule type="expression" priority="5" id="{E48690EE-6991-4029-921F-C16892187BF2}">
            <xm:f>Unformatted!$E$418="OK"</xm:f>
            <x14:dxf>
              <font>
                <b val="0"/>
                <i val="0"/>
                <color theme="1"/>
              </font>
            </x14:dxf>
          </x14:cfRule>
          <xm:sqref>P12:W12</xm:sqref>
        </x14:conditionalFormatting>
        <x14:conditionalFormatting xmlns:xm="http://schemas.microsoft.com/office/excel/2006/main">
          <x14:cfRule type="expression" priority="4" id="{01A4B1D9-DD84-44B3-A792-8D7A25B3479C}">
            <xm:f>Unformatted!$E$422="OK"</xm:f>
            <x14:dxf>
              <font>
                <b val="0"/>
                <i val="0"/>
                <color theme="1"/>
              </font>
            </x14:dxf>
          </x14:cfRule>
          <xm:sqref>P22</xm:sqref>
        </x14:conditionalFormatting>
        <x14:conditionalFormatting xmlns:xm="http://schemas.microsoft.com/office/excel/2006/main">
          <x14:cfRule type="expression" priority="3" id="{FDEA371B-72EA-4B9D-970F-38652BE6243A}">
            <xm:f>IF(OR(Unformatted!$F$129=1,Unformatted!$F$129=3,Unformatted!$F$129=4,Unformatted!$F$129=5),1,0)</xm:f>
            <x14:dxf>
              <font>
                <b/>
                <i val="0"/>
                <color rgb="FFFF0000"/>
              </font>
            </x14:dxf>
          </x14:cfRule>
          <xm:sqref>P22:W22</xm:sqref>
        </x14:conditionalFormatting>
        <x14:conditionalFormatting xmlns:xm="http://schemas.microsoft.com/office/excel/2006/main">
          <x14:cfRule type="expression" priority="1" id="{879F53D6-28B4-4F0D-A519-47C89108D8B9}">
            <xm:f>IF(Unformatted!E411&lt;&gt;"OK",1,0)</xm:f>
            <x14:dxf>
              <font>
                <b/>
                <i val="0"/>
                <color rgb="FFFF0000"/>
              </font>
            </x14:dxf>
          </x14:cfRule>
          <xm:sqref>E35:K35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3AEAE-2B33-4EF5-BAC6-8C3004EF1D67}">
  <sheetPr codeName="Sheet18"/>
  <dimension ref="B2:AL49"/>
  <sheetViews>
    <sheetView showGridLines="0" showRowColHeaders="0" zoomScaleNormal="100" workbookViewId="0">
      <selection activeCell="G8" sqref="G8"/>
    </sheetView>
  </sheetViews>
  <sheetFormatPr defaultColWidth="9.140625" defaultRowHeight="15" x14ac:dyDescent="0.25"/>
  <cols>
    <col min="1" max="2" width="2.140625" style="798" customWidth="1"/>
    <col min="3" max="3" width="9.140625" style="798"/>
    <col min="4" max="4" width="2.140625" style="798" customWidth="1"/>
    <col min="5" max="5" width="10" style="798" customWidth="1"/>
    <col min="6" max="6" width="2.140625" style="798" customWidth="1"/>
    <col min="7" max="7" width="10" style="798" customWidth="1"/>
    <col min="8" max="8" width="2.140625" style="798" customWidth="1"/>
    <col min="9" max="9" width="10" style="798" customWidth="1"/>
    <col min="10" max="10" width="1.42578125" style="798" customWidth="1"/>
    <col min="11" max="11" width="11.28515625" style="798" customWidth="1"/>
    <col min="12" max="13" width="2.140625" style="798" customWidth="1"/>
    <col min="14" max="14" width="17.7109375" style="798" customWidth="1"/>
    <col min="15" max="15" width="10" style="798" customWidth="1"/>
    <col min="16" max="16" width="10.28515625" style="798" customWidth="1"/>
    <col min="17" max="17" width="3.5703125" style="798" customWidth="1"/>
    <col min="18" max="18" width="8.5703125" style="798" customWidth="1"/>
    <col min="19" max="19" width="10.28515625" style="798" customWidth="1"/>
    <col min="20" max="20" width="2.140625" style="798" customWidth="1"/>
    <col min="21" max="21" width="14.140625" style="798" customWidth="1"/>
    <col min="22" max="22" width="10" style="798" customWidth="1"/>
    <col min="23" max="23" width="1.42578125" style="798" customWidth="1"/>
    <col min="24" max="24" width="1" style="798" customWidth="1"/>
    <col min="25" max="27" width="12.85546875" style="798" customWidth="1"/>
    <col min="28" max="28" width="14.28515625" style="798" customWidth="1"/>
    <col min="29" max="29" width="1" style="798" customWidth="1"/>
    <col min="30" max="16384" width="9.140625" style="798"/>
  </cols>
  <sheetData>
    <row r="2" spans="2:34" ht="23.25" x14ac:dyDescent="0.35">
      <c r="B2" s="846"/>
      <c r="C2" s="846"/>
      <c r="D2" s="846"/>
      <c r="E2" s="846"/>
      <c r="F2" s="846"/>
      <c r="G2" s="846"/>
      <c r="H2" s="846"/>
      <c r="I2" s="846"/>
      <c r="J2" s="846"/>
      <c r="K2" s="846"/>
      <c r="L2" s="847" t="s">
        <v>1061</v>
      </c>
      <c r="M2" s="846"/>
      <c r="N2" s="846"/>
      <c r="O2" s="846"/>
      <c r="P2" s="846"/>
      <c r="Q2" s="846"/>
      <c r="R2" s="846"/>
      <c r="T2" s="846"/>
      <c r="U2" s="846"/>
      <c r="V2" s="846"/>
    </row>
    <row r="3" spans="2:34" ht="15.75" thickBot="1" x14ac:dyDescent="0.3"/>
    <row r="4" spans="2:34" ht="24" thickBot="1" x14ac:dyDescent="0.3">
      <c r="B4" s="1248" t="s">
        <v>652</v>
      </c>
      <c r="C4" s="1249"/>
      <c r="D4" s="1249"/>
      <c r="E4" s="1249"/>
      <c r="F4" s="1249"/>
      <c r="G4" s="1249"/>
      <c r="H4" s="1249"/>
      <c r="I4" s="1249"/>
      <c r="J4" s="1249"/>
      <c r="K4" s="1249"/>
      <c r="L4" s="1250"/>
      <c r="M4" s="844"/>
      <c r="N4" s="1248" t="s">
        <v>941</v>
      </c>
      <c r="O4" s="1249"/>
      <c r="P4" s="1249"/>
      <c r="Q4" s="1249"/>
      <c r="R4" s="1249"/>
      <c r="S4" s="1249"/>
      <c r="T4" s="1249"/>
      <c r="U4" s="1249"/>
      <c r="V4" s="1250"/>
      <c r="W4" s="641"/>
      <c r="X4" s="1248" t="s">
        <v>1549</v>
      </c>
      <c r="Y4" s="1249"/>
      <c r="Z4" s="1249"/>
      <c r="AA4" s="1249"/>
      <c r="AB4" s="1249"/>
      <c r="AC4" s="1250"/>
    </row>
    <row r="5" spans="2:34" ht="3.75" customHeight="1" thickBot="1" x14ac:dyDescent="0.3">
      <c r="B5" s="796"/>
      <c r="C5" s="641"/>
      <c r="D5" s="641"/>
      <c r="E5" s="641"/>
      <c r="F5" s="641"/>
      <c r="G5" s="641"/>
      <c r="H5" s="641"/>
      <c r="I5" s="641"/>
      <c r="J5" s="641"/>
      <c r="K5" s="641"/>
      <c r="L5" s="803"/>
      <c r="M5" s="844"/>
      <c r="N5" s="796"/>
      <c r="O5" s="641"/>
      <c r="P5" s="641"/>
      <c r="Q5" s="641"/>
      <c r="R5" s="641"/>
      <c r="S5" s="641"/>
      <c r="T5" s="641"/>
      <c r="U5" s="641"/>
      <c r="V5" s="827"/>
      <c r="W5" s="641"/>
      <c r="X5" s="796"/>
      <c r="Y5" s="641"/>
      <c r="Z5" s="641"/>
      <c r="AA5" s="641"/>
      <c r="AB5" s="641"/>
      <c r="AC5" s="803"/>
    </row>
    <row r="6" spans="2:34" ht="18.75" customHeight="1" thickBot="1" x14ac:dyDescent="0.3">
      <c r="B6" s="796"/>
      <c r="C6" s="1032" t="s">
        <v>631</v>
      </c>
      <c r="D6" s="1032"/>
      <c r="E6" s="1032"/>
      <c r="F6" s="1032"/>
      <c r="G6" s="1032"/>
      <c r="H6" s="1032"/>
      <c r="I6" s="1032"/>
      <c r="J6" s="1032"/>
      <c r="K6" s="1032"/>
      <c r="L6" s="816"/>
      <c r="M6" s="844"/>
      <c r="N6" s="1257" t="s">
        <v>1535</v>
      </c>
      <c r="O6" s="1258"/>
      <c r="P6" s="1258"/>
      <c r="Q6" s="802"/>
      <c r="R6" s="1258" t="s">
        <v>1535</v>
      </c>
      <c r="S6" s="1258"/>
      <c r="T6" s="802"/>
      <c r="U6" s="802"/>
      <c r="V6" s="827"/>
      <c r="W6" s="641"/>
      <c r="X6" s="796"/>
      <c r="Y6" s="848" t="s">
        <v>1344</v>
      </c>
      <c r="Z6" s="848" t="s">
        <v>1345</v>
      </c>
      <c r="AA6" s="849" t="s">
        <v>1346</v>
      </c>
      <c r="AB6" s="1260" t="str">
        <f>"Wire Gauge:         "&amp;Unformatted!E140&amp;" AWG"</f>
        <v>Wire Gauge:         N/A AWG</v>
      </c>
      <c r="AC6" s="803"/>
    </row>
    <row r="7" spans="2:34" ht="3.75" customHeight="1" thickBot="1" x14ac:dyDescent="0.3">
      <c r="B7" s="796"/>
      <c r="C7" s="749"/>
      <c r="D7" s="749"/>
      <c r="E7" s="749"/>
      <c r="F7" s="749"/>
      <c r="G7" s="749"/>
      <c r="H7" s="749"/>
      <c r="I7" s="749"/>
      <c r="J7" s="749"/>
      <c r="K7" s="749"/>
      <c r="L7" s="816"/>
      <c r="M7" s="844"/>
      <c r="N7" s="796"/>
      <c r="O7" s="641"/>
      <c r="P7" s="802"/>
      <c r="Q7" s="802"/>
      <c r="R7" s="802"/>
      <c r="S7" s="802"/>
      <c r="T7" s="802"/>
      <c r="U7" s="802"/>
      <c r="V7" s="827"/>
      <c r="W7" s="641"/>
      <c r="X7" s="796"/>
      <c r="Y7" s="641"/>
      <c r="Z7" s="641"/>
      <c r="AA7" s="641"/>
      <c r="AB7" s="1261"/>
      <c r="AC7" s="803"/>
    </row>
    <row r="8" spans="2:34" ht="18.75" customHeight="1" thickBot="1" x14ac:dyDescent="0.3">
      <c r="B8" s="796"/>
      <c r="C8" s="1251" t="s">
        <v>610</v>
      </c>
      <c r="D8" s="1251"/>
      <c r="E8" s="1251"/>
      <c r="F8" s="641"/>
      <c r="G8" s="86"/>
      <c r="H8" s="641"/>
      <c r="I8" s="641"/>
      <c r="J8" s="641"/>
      <c r="K8" s="641"/>
      <c r="L8" s="803"/>
      <c r="M8" s="844"/>
      <c r="N8" s="828" t="s">
        <v>1526</v>
      </c>
      <c r="O8" s="845"/>
      <c r="P8" s="641"/>
      <c r="Q8" s="802"/>
      <c r="R8" s="830" t="s">
        <v>1534</v>
      </c>
      <c r="S8" s="845"/>
      <c r="T8" s="641"/>
      <c r="U8" s="802"/>
      <c r="V8" s="827"/>
      <c r="W8" s="641"/>
      <c r="X8" s="796"/>
      <c r="Y8" s="832" t="str">
        <f>Unformatted!E137</f>
        <v>N/A</v>
      </c>
      <c r="Z8" s="832" t="str">
        <f>Unformatted!F137</f>
        <v>N/A</v>
      </c>
      <c r="AA8" s="832" t="str">
        <f>Unformatted!G137</f>
        <v>N/A</v>
      </c>
      <c r="AB8" s="1261"/>
      <c r="AC8" s="803"/>
    </row>
    <row r="9" spans="2:34" ht="3.75" customHeight="1" thickBot="1" x14ac:dyDescent="0.3">
      <c r="B9" s="796"/>
      <c r="C9" s="641"/>
      <c r="D9" s="843"/>
      <c r="E9" s="641"/>
      <c r="F9" s="641"/>
      <c r="G9" s="641"/>
      <c r="H9" s="641"/>
      <c r="I9" s="641"/>
      <c r="J9" s="641"/>
      <c r="K9" s="641"/>
      <c r="L9" s="803"/>
      <c r="M9" s="844"/>
      <c r="N9" s="825"/>
      <c r="O9" s="641"/>
      <c r="P9" s="641"/>
      <c r="Q9" s="641"/>
      <c r="R9" s="826"/>
      <c r="S9" s="641"/>
      <c r="T9" s="641"/>
      <c r="U9" s="641"/>
      <c r="V9" s="827"/>
      <c r="W9" s="641"/>
      <c r="X9" s="796"/>
      <c r="Y9" s="641"/>
      <c r="Z9" s="641"/>
      <c r="AA9" s="641"/>
      <c r="AB9" s="641"/>
      <c r="AC9" s="803"/>
    </row>
    <row r="10" spans="2:34" ht="18.75" customHeight="1" thickBot="1" x14ac:dyDescent="0.3">
      <c r="B10" s="796"/>
      <c r="C10" s="1251" t="s">
        <v>649</v>
      </c>
      <c r="D10" s="1251"/>
      <c r="E10" s="1251"/>
      <c r="F10" s="641"/>
      <c r="G10" s="86" t="str">
        <f>Unformatted!E158</f>
        <v/>
      </c>
      <c r="H10" s="641"/>
      <c r="I10" s="641"/>
      <c r="J10" s="641"/>
      <c r="K10" s="641"/>
      <c r="L10" s="803"/>
      <c r="M10" s="824"/>
      <c r="N10" s="828" t="s">
        <v>1531</v>
      </c>
      <c r="O10" s="829"/>
      <c r="P10" s="641"/>
      <c r="Q10" s="641"/>
      <c r="R10" s="830" t="s">
        <v>1529</v>
      </c>
      <c r="S10" s="829"/>
      <c r="T10" s="641"/>
      <c r="U10" s="840" t="s">
        <v>1536</v>
      </c>
      <c r="V10" s="841"/>
      <c r="W10" s="797"/>
      <c r="X10" s="842"/>
      <c r="Y10" s="1252" t="s">
        <v>1548</v>
      </c>
      <c r="Z10" s="1252"/>
      <c r="AA10" s="1252"/>
      <c r="AB10" s="1252"/>
      <c r="AC10" s="803"/>
    </row>
    <row r="11" spans="2:34" ht="3.75" customHeight="1" thickBot="1" x14ac:dyDescent="0.3">
      <c r="B11" s="796"/>
      <c r="C11" s="815"/>
      <c r="D11" s="815"/>
      <c r="E11" s="815"/>
      <c r="F11" s="641"/>
      <c r="G11" s="823"/>
      <c r="H11" s="641"/>
      <c r="I11" s="641"/>
      <c r="J11" s="641"/>
      <c r="K11" s="641"/>
      <c r="L11" s="803"/>
      <c r="M11" s="824"/>
      <c r="N11" s="825"/>
      <c r="O11" s="641"/>
      <c r="P11" s="641"/>
      <c r="Q11" s="641"/>
      <c r="R11" s="826"/>
      <c r="S11" s="641"/>
      <c r="T11" s="641"/>
      <c r="U11" s="641"/>
      <c r="V11" s="827"/>
      <c r="W11" s="641"/>
      <c r="X11" s="796"/>
      <c r="Y11" s="641"/>
      <c r="Z11" s="641"/>
      <c r="AA11" s="641"/>
      <c r="AB11" s="641"/>
      <c r="AC11" s="803"/>
    </row>
    <row r="12" spans="2:34" ht="18.75" customHeight="1" thickBot="1" x14ac:dyDescent="0.3">
      <c r="B12" s="1248" t="s">
        <v>819</v>
      </c>
      <c r="C12" s="1249"/>
      <c r="D12" s="1249"/>
      <c r="E12" s="1249"/>
      <c r="F12" s="1249"/>
      <c r="G12" s="1249"/>
      <c r="H12" s="1249"/>
      <c r="I12" s="1249"/>
      <c r="J12" s="1249"/>
      <c r="K12" s="1249"/>
      <c r="L12" s="1250"/>
      <c r="M12" s="824"/>
      <c r="N12" s="828" t="s">
        <v>1533</v>
      </c>
      <c r="O12" s="829"/>
      <c r="P12" s="641"/>
      <c r="Q12" s="641"/>
      <c r="R12" s="830" t="s">
        <v>1528</v>
      </c>
      <c r="S12" s="829"/>
      <c r="T12" s="641"/>
      <c r="U12" s="830" t="s">
        <v>1248</v>
      </c>
      <c r="V12" s="803"/>
      <c r="X12" s="796"/>
      <c r="Y12" s="831" t="str">
        <f>Unformatted!I137</f>
        <v>N/A</v>
      </c>
      <c r="Z12" s="832" t="str">
        <f>Unformatted!J137</f>
        <v>N/A</v>
      </c>
      <c r="AA12" s="832" t="str">
        <f>Unformatted!K137</f>
        <v>N/A</v>
      </c>
      <c r="AB12" s="832" t="str">
        <f>Unformatted!L137</f>
        <v>N/A</v>
      </c>
      <c r="AC12" s="833"/>
      <c r="AE12" s="641"/>
      <c r="AH12" s="834"/>
    </row>
    <row r="13" spans="2:34" ht="3.75" customHeight="1" thickBot="1" x14ac:dyDescent="0.3">
      <c r="B13" s="796"/>
      <c r="C13" s="815"/>
      <c r="D13" s="815"/>
      <c r="E13" s="815"/>
      <c r="F13" s="641"/>
      <c r="G13" s="823"/>
      <c r="H13" s="641"/>
      <c r="I13" s="641"/>
      <c r="J13" s="641"/>
      <c r="K13" s="641"/>
      <c r="L13" s="803"/>
      <c r="M13" s="824"/>
      <c r="N13" s="825"/>
      <c r="O13" s="641"/>
      <c r="P13" s="641"/>
      <c r="Q13" s="641"/>
      <c r="R13" s="826"/>
      <c r="S13" s="641"/>
      <c r="T13" s="641"/>
      <c r="U13" s="641"/>
      <c r="V13" s="827"/>
      <c r="W13" s="641"/>
      <c r="X13" s="796"/>
      <c r="Y13" s="641"/>
      <c r="Z13" s="641"/>
      <c r="AA13" s="641"/>
      <c r="AB13" s="641"/>
      <c r="AC13" s="803"/>
    </row>
    <row r="14" spans="2:34" ht="18.75" customHeight="1" thickBot="1" x14ac:dyDescent="0.3">
      <c r="B14" s="796"/>
      <c r="C14" s="1032" t="s">
        <v>647</v>
      </c>
      <c r="D14" s="1032"/>
      <c r="E14" s="1032"/>
      <c r="F14" s="1032"/>
      <c r="G14" s="1032"/>
      <c r="H14" s="1032"/>
      <c r="I14" s="1032"/>
      <c r="J14" s="1032"/>
      <c r="K14" s="1032"/>
      <c r="L14" s="803"/>
      <c r="M14" s="824"/>
      <c r="N14" s="828" t="s">
        <v>1527</v>
      </c>
      <c r="O14" s="829"/>
      <c r="P14" s="641"/>
      <c r="Q14" s="641"/>
      <c r="R14" s="830" t="s">
        <v>1532</v>
      </c>
      <c r="S14" s="829"/>
      <c r="T14" s="641"/>
      <c r="U14" s="641"/>
      <c r="V14" s="827"/>
      <c r="W14" s="641"/>
      <c r="X14" s="796"/>
      <c r="Y14" s="835"/>
      <c r="Z14" s="835"/>
      <c r="AA14" s="835"/>
      <c r="AB14" s="835"/>
      <c r="AC14" s="803"/>
    </row>
    <row r="15" spans="2:34" ht="3.75" customHeight="1" thickBot="1" x14ac:dyDescent="0.3">
      <c r="B15" s="796"/>
      <c r="C15" s="749"/>
      <c r="D15" s="749"/>
      <c r="E15" s="749"/>
      <c r="F15" s="749"/>
      <c r="G15" s="749"/>
      <c r="H15" s="749"/>
      <c r="I15" s="749"/>
      <c r="J15" s="749"/>
      <c r="K15" s="749"/>
      <c r="L15" s="803"/>
      <c r="M15" s="824"/>
      <c r="N15" s="836"/>
      <c r="O15" s="793"/>
      <c r="P15" s="793"/>
      <c r="Q15" s="793"/>
      <c r="R15" s="837"/>
      <c r="S15" s="793"/>
      <c r="T15" s="793"/>
      <c r="U15" s="793"/>
      <c r="V15" s="795"/>
      <c r="W15" s="641"/>
      <c r="X15" s="792"/>
      <c r="Y15" s="793"/>
      <c r="Z15" s="793"/>
      <c r="AA15" s="793"/>
      <c r="AB15" s="793"/>
      <c r="AC15" s="795"/>
    </row>
    <row r="16" spans="2:34" ht="3.75" customHeight="1" thickBot="1" x14ac:dyDescent="0.3">
      <c r="B16" s="796"/>
      <c r="C16" s="641"/>
      <c r="D16" s="641"/>
      <c r="E16" s="641"/>
      <c r="F16" s="641"/>
      <c r="G16" s="641"/>
      <c r="H16" s="641"/>
      <c r="I16" s="641"/>
      <c r="J16" s="641"/>
      <c r="K16" s="641"/>
      <c r="L16" s="803"/>
      <c r="M16" s="796"/>
      <c r="N16" s="838"/>
      <c r="O16" s="839"/>
      <c r="P16" s="839"/>
      <c r="Q16" s="641"/>
      <c r="R16" s="641"/>
      <c r="S16" s="641"/>
      <c r="T16" s="641"/>
      <c r="U16" s="641"/>
      <c r="V16" s="641"/>
      <c r="W16" s="641"/>
      <c r="X16" s="641"/>
      <c r="Y16" s="641"/>
      <c r="Z16" s="641"/>
      <c r="AA16" s="641"/>
      <c r="AB16" s="641"/>
      <c r="AC16" s="641"/>
      <c r="AD16" s="641"/>
    </row>
    <row r="17" spans="2:38" ht="18.75" customHeight="1" thickBot="1" x14ac:dyDescent="0.35">
      <c r="B17" s="822"/>
      <c r="C17" s="641"/>
      <c r="D17" s="641"/>
      <c r="E17" s="815" t="s">
        <v>610</v>
      </c>
      <c r="F17" s="641"/>
      <c r="G17" s="86"/>
      <c r="H17" s="641"/>
      <c r="I17" s="641"/>
      <c r="J17" s="641"/>
      <c r="K17" s="641"/>
      <c r="L17" s="816"/>
      <c r="M17" s="525"/>
      <c r="N17" s="817" t="s">
        <v>1043</v>
      </c>
      <c r="O17" s="818"/>
      <c r="P17" s="818"/>
      <c r="Q17" s="818"/>
      <c r="R17" s="818"/>
      <c r="S17" s="819"/>
      <c r="T17" s="818"/>
      <c r="U17" s="820" t="s">
        <v>177</v>
      </c>
      <c r="V17" s="821" t="s">
        <v>178</v>
      </c>
      <c r="W17" s="641"/>
      <c r="X17" s="1253" t="s">
        <v>792</v>
      </c>
      <c r="Y17" s="1254"/>
      <c r="Z17" s="1254"/>
      <c r="AA17" s="1254"/>
      <c r="AB17" s="1254"/>
      <c r="AC17" s="1255"/>
      <c r="AD17" s="641"/>
    </row>
    <row r="18" spans="2:38" ht="3.75" customHeight="1" thickBot="1" x14ac:dyDescent="0.3">
      <c r="B18" s="796"/>
      <c r="C18" s="641"/>
      <c r="D18" s="641"/>
      <c r="E18" s="641"/>
      <c r="F18" s="641"/>
      <c r="G18" s="641"/>
      <c r="H18" s="641"/>
      <c r="I18" s="641"/>
      <c r="J18" s="641"/>
      <c r="K18" s="641"/>
      <c r="L18" s="803"/>
      <c r="M18" s="796"/>
      <c r="N18" s="641"/>
      <c r="O18" s="641"/>
      <c r="P18" s="641"/>
      <c r="Q18" s="641"/>
      <c r="R18" s="641"/>
      <c r="S18" s="641"/>
      <c r="T18" s="641"/>
      <c r="U18" s="641"/>
      <c r="V18" s="641"/>
      <c r="W18" s="641"/>
      <c r="X18" s="641"/>
      <c r="Y18" s="641"/>
      <c r="Z18" s="641"/>
      <c r="AA18" s="641"/>
      <c r="AB18" s="641"/>
      <c r="AC18" s="641"/>
      <c r="AD18" s="641"/>
    </row>
    <row r="19" spans="2:38" ht="18.75" customHeight="1" thickBot="1" x14ac:dyDescent="0.3">
      <c r="B19" s="796"/>
      <c r="C19" s="641"/>
      <c r="D19" s="641"/>
      <c r="E19" s="815" t="s">
        <v>295</v>
      </c>
      <c r="F19" s="641"/>
      <c r="G19" s="86" t="str">
        <f>Unformatted!E158</f>
        <v/>
      </c>
      <c r="H19" s="641"/>
      <c r="I19" s="1032" t="s">
        <v>729</v>
      </c>
      <c r="J19" s="1032"/>
      <c r="K19" s="1032"/>
      <c r="L19" s="803"/>
      <c r="M19" s="525"/>
      <c r="N19" s="814" t="s">
        <v>790</v>
      </c>
      <c r="U19" s="799"/>
      <c r="W19" s="641"/>
      <c r="X19" s="1256"/>
      <c r="Y19" s="1256"/>
      <c r="Z19" s="1256"/>
      <c r="AA19" s="1256"/>
      <c r="AB19" s="1256"/>
      <c r="AC19" s="1256"/>
      <c r="AD19" s="641"/>
      <c r="AL19" s="797"/>
    </row>
    <row r="20" spans="2:38" ht="3.75" customHeight="1" x14ac:dyDescent="0.25">
      <c r="B20" s="796"/>
      <c r="C20" s="641"/>
      <c r="D20" s="641"/>
      <c r="E20" s="641"/>
      <c r="F20" s="641"/>
      <c r="G20" s="641"/>
      <c r="H20" s="641"/>
      <c r="I20" s="641"/>
      <c r="J20" s="641"/>
      <c r="K20" s="641"/>
      <c r="L20" s="803"/>
      <c r="M20" s="796"/>
      <c r="N20" s="641"/>
      <c r="O20" s="641"/>
      <c r="P20" s="641"/>
      <c r="Q20" s="641"/>
      <c r="R20" s="641"/>
      <c r="S20" s="641"/>
      <c r="T20" s="641"/>
      <c r="U20" s="641"/>
      <c r="V20" s="641"/>
      <c r="W20" s="641"/>
      <c r="X20" s="853"/>
      <c r="Y20" s="853"/>
      <c r="Z20" s="853"/>
      <c r="AA20" s="853"/>
      <c r="AB20" s="853"/>
      <c r="AC20" s="853"/>
      <c r="AD20" s="641"/>
      <c r="AL20" s="797"/>
    </row>
    <row r="21" spans="2:38" ht="18.75" customHeight="1" x14ac:dyDescent="0.25">
      <c r="B21" s="796"/>
      <c r="C21" s="1032" t="s">
        <v>375</v>
      </c>
      <c r="D21" s="1032"/>
      <c r="E21" s="1032"/>
      <c r="F21" s="1032"/>
      <c r="G21" s="1032"/>
      <c r="H21" s="1032"/>
      <c r="I21" s="641"/>
      <c r="J21" s="641"/>
      <c r="K21" s="641"/>
      <c r="L21" s="803"/>
      <c r="M21" s="796"/>
      <c r="N21" s="814" t="s">
        <v>773</v>
      </c>
      <c r="U21" s="799"/>
      <c r="W21" s="641"/>
      <c r="X21" s="1256"/>
      <c r="Y21" s="1256"/>
      <c r="Z21" s="1256"/>
      <c r="AA21" s="1256"/>
      <c r="AB21" s="1256"/>
      <c r="AC21" s="1256"/>
      <c r="AD21" s="641"/>
      <c r="AL21" s="797"/>
    </row>
    <row r="22" spans="2:38" ht="3.75" customHeight="1" thickBot="1" x14ac:dyDescent="0.3">
      <c r="B22" s="796"/>
      <c r="C22" s="749"/>
      <c r="D22" s="749"/>
      <c r="E22" s="749"/>
      <c r="F22" s="749"/>
      <c r="G22" s="749"/>
      <c r="H22" s="749"/>
      <c r="I22" s="641"/>
      <c r="J22" s="641"/>
      <c r="K22" s="641"/>
      <c r="L22" s="803"/>
      <c r="M22" s="796"/>
      <c r="N22" s="641"/>
      <c r="O22" s="641"/>
      <c r="P22" s="641"/>
      <c r="Q22" s="641"/>
      <c r="R22" s="641"/>
      <c r="S22" s="641"/>
      <c r="T22" s="641"/>
      <c r="U22" s="641"/>
      <c r="V22" s="641"/>
      <c r="W22" s="641"/>
      <c r="X22" s="853"/>
      <c r="Y22" s="853"/>
      <c r="Z22" s="853"/>
      <c r="AA22" s="853"/>
      <c r="AB22" s="853"/>
      <c r="AC22" s="853"/>
      <c r="AD22" s="797"/>
      <c r="AE22" s="797"/>
      <c r="AF22" s="797"/>
      <c r="AG22" s="797"/>
      <c r="AH22" s="797"/>
      <c r="AI22" s="797"/>
      <c r="AJ22" s="797"/>
      <c r="AK22" s="797"/>
      <c r="AL22" s="797"/>
    </row>
    <row r="23" spans="2:38" ht="18.75" customHeight="1" thickBot="1" x14ac:dyDescent="0.3">
      <c r="B23" s="796"/>
      <c r="C23" s="813" t="s">
        <v>602</v>
      </c>
      <c r="D23" s="641"/>
      <c r="E23" s="949"/>
      <c r="F23" s="641"/>
      <c r="G23" s="641"/>
      <c r="H23" s="641"/>
      <c r="I23" s="641"/>
      <c r="J23" s="641"/>
      <c r="K23" s="641"/>
      <c r="L23" s="803"/>
      <c r="M23" s="796"/>
      <c r="N23" s="814" t="s">
        <v>789</v>
      </c>
      <c r="U23" s="799"/>
      <c r="W23" s="641"/>
      <c r="X23" s="1256"/>
      <c r="Y23" s="1256"/>
      <c r="Z23" s="1256"/>
      <c r="AA23" s="1256"/>
      <c r="AB23" s="1256"/>
      <c r="AC23" s="1256"/>
      <c r="AD23" s="797"/>
      <c r="AE23" s="797"/>
      <c r="AF23" s="797"/>
      <c r="AG23" s="797"/>
      <c r="AH23" s="797"/>
      <c r="AI23" s="797"/>
      <c r="AJ23" s="797"/>
      <c r="AK23" s="797"/>
      <c r="AL23" s="797"/>
    </row>
    <row r="24" spans="2:38" ht="3.75" customHeight="1" thickBot="1" x14ac:dyDescent="0.3">
      <c r="B24" s="796"/>
      <c r="C24" s="641"/>
      <c r="D24" s="641"/>
      <c r="E24" s="641"/>
      <c r="F24" s="641"/>
      <c r="G24" s="641"/>
      <c r="H24" s="641"/>
      <c r="I24" s="641"/>
      <c r="J24" s="749"/>
      <c r="K24" s="749"/>
      <c r="L24" s="803"/>
      <c r="M24" s="796"/>
      <c r="N24" s="641"/>
      <c r="O24" s="641"/>
      <c r="P24" s="641"/>
      <c r="Q24" s="641"/>
      <c r="R24" s="641"/>
      <c r="S24" s="641"/>
      <c r="T24" s="641"/>
      <c r="U24" s="641"/>
      <c r="V24" s="641"/>
      <c r="W24" s="641"/>
      <c r="X24" s="853"/>
      <c r="Y24" s="853"/>
      <c r="Z24" s="853"/>
      <c r="AA24" s="853"/>
      <c r="AB24" s="853"/>
      <c r="AC24" s="853"/>
      <c r="AD24" s="797"/>
      <c r="AE24" s="797"/>
      <c r="AF24" s="797"/>
      <c r="AG24" s="797"/>
      <c r="AH24" s="797"/>
      <c r="AI24" s="797"/>
      <c r="AJ24" s="797"/>
      <c r="AK24" s="797"/>
      <c r="AL24" s="797"/>
    </row>
    <row r="25" spans="2:38" ht="18.75" customHeight="1" thickBot="1" x14ac:dyDescent="0.3">
      <c r="B25" s="796"/>
      <c r="C25" s="813" t="s">
        <v>604</v>
      </c>
      <c r="D25" s="641"/>
      <c r="E25" s="949"/>
      <c r="F25" s="641"/>
      <c r="G25" s="641"/>
      <c r="H25" s="641"/>
      <c r="I25" s="641"/>
      <c r="J25" s="641"/>
      <c r="K25" s="641"/>
      <c r="L25" s="803"/>
      <c r="M25" s="796"/>
      <c r="N25" s="814" t="s">
        <v>791</v>
      </c>
      <c r="U25" s="799"/>
      <c r="W25" s="641"/>
      <c r="X25" s="1256"/>
      <c r="Y25" s="1256"/>
      <c r="Z25" s="1256"/>
      <c r="AA25" s="1256"/>
      <c r="AB25" s="1256"/>
      <c r="AC25" s="1256"/>
      <c r="AD25" s="797"/>
      <c r="AE25" s="797"/>
      <c r="AF25" s="797"/>
      <c r="AG25" s="797"/>
      <c r="AH25" s="797"/>
      <c r="AI25" s="797"/>
      <c r="AJ25" s="797"/>
      <c r="AK25" s="797"/>
      <c r="AL25" s="797"/>
    </row>
    <row r="26" spans="2:38" ht="3.75" customHeight="1" thickBot="1" x14ac:dyDescent="0.3">
      <c r="B26" s="796"/>
      <c r="C26" s="641"/>
      <c r="D26" s="641"/>
      <c r="E26" s="641"/>
      <c r="F26" s="641"/>
      <c r="G26" s="641"/>
      <c r="H26" s="641"/>
      <c r="I26" s="641"/>
      <c r="J26" s="641"/>
      <c r="K26" s="641"/>
      <c r="L26" s="803"/>
      <c r="M26" s="796"/>
      <c r="N26" s="641"/>
      <c r="O26" s="641"/>
      <c r="P26" s="641"/>
      <c r="Q26" s="641"/>
      <c r="R26" s="641"/>
      <c r="S26" s="641"/>
      <c r="T26" s="641"/>
      <c r="U26" s="641"/>
      <c r="V26" s="641"/>
      <c r="W26" s="641"/>
      <c r="X26" s="641"/>
      <c r="Y26" s="641"/>
      <c r="Z26" s="641"/>
      <c r="AA26" s="641"/>
      <c r="AB26" s="797"/>
      <c r="AC26" s="797"/>
      <c r="AD26" s="797"/>
      <c r="AE26" s="797"/>
      <c r="AF26" s="797"/>
      <c r="AG26" s="797"/>
      <c r="AH26" s="797"/>
      <c r="AI26" s="797"/>
      <c r="AJ26" s="797"/>
      <c r="AK26" s="797"/>
      <c r="AL26" s="797"/>
    </row>
    <row r="27" spans="2:38" ht="18.75" customHeight="1" thickBot="1" x14ac:dyDescent="0.35">
      <c r="B27" s="796"/>
      <c r="C27" s="813" t="s">
        <v>603</v>
      </c>
      <c r="D27" s="641"/>
      <c r="E27" s="949"/>
      <c r="F27" s="641"/>
      <c r="G27" s="641"/>
      <c r="H27" s="641"/>
      <c r="I27" s="807"/>
      <c r="J27" s="807"/>
      <c r="K27" s="807"/>
      <c r="L27" s="803"/>
      <c r="M27" s="796"/>
      <c r="N27" s="808" t="s">
        <v>749</v>
      </c>
      <c r="O27" s="809"/>
      <c r="P27" s="810"/>
      <c r="Q27" s="810"/>
      <c r="R27" s="810"/>
      <c r="S27" s="810"/>
      <c r="T27" s="810"/>
      <c r="U27" s="811" t="s">
        <v>177</v>
      </c>
      <c r="V27" s="812" t="s">
        <v>178</v>
      </c>
      <c r="W27" s="641"/>
      <c r="X27" s="1262" t="s">
        <v>746</v>
      </c>
      <c r="Y27" s="1263"/>
      <c r="Z27" s="1263"/>
      <c r="AA27" s="1263"/>
      <c r="AB27" s="1263"/>
      <c r="AC27" s="1264"/>
      <c r="AD27" s="797"/>
      <c r="AE27" s="797"/>
      <c r="AF27" s="797"/>
      <c r="AG27" s="797"/>
      <c r="AH27" s="797"/>
      <c r="AI27" s="797"/>
      <c r="AJ27" s="797"/>
      <c r="AK27" s="797"/>
      <c r="AL27" s="797"/>
    </row>
    <row r="28" spans="2:38" ht="3.75" customHeight="1" x14ac:dyDescent="0.25">
      <c r="B28" s="796"/>
      <c r="C28" s="641"/>
      <c r="D28" s="641"/>
      <c r="E28" s="641"/>
      <c r="F28" s="641"/>
      <c r="G28" s="641"/>
      <c r="H28" s="641"/>
      <c r="I28" s="641"/>
      <c r="J28" s="641"/>
      <c r="K28" s="641"/>
      <c r="L28" s="803"/>
      <c r="M28" s="796"/>
      <c r="N28" s="641"/>
      <c r="O28" s="641"/>
      <c r="P28" s="641"/>
      <c r="Q28" s="641"/>
      <c r="R28" s="641"/>
      <c r="S28" s="641"/>
      <c r="T28" s="641"/>
      <c r="U28" s="641"/>
      <c r="V28" s="641"/>
      <c r="W28" s="641"/>
      <c r="X28" s="641"/>
      <c r="Y28" s="641"/>
      <c r="Z28" s="641"/>
      <c r="AA28" s="641"/>
      <c r="AB28" s="797"/>
      <c r="AC28" s="797"/>
      <c r="AD28" s="797"/>
      <c r="AE28" s="797"/>
      <c r="AF28" s="797"/>
      <c r="AG28" s="797"/>
      <c r="AH28" s="797"/>
      <c r="AI28" s="797"/>
      <c r="AJ28" s="797"/>
      <c r="AK28" s="797"/>
      <c r="AL28" s="797"/>
    </row>
    <row r="29" spans="2:38" ht="18.75" customHeight="1" x14ac:dyDescent="0.25">
      <c r="B29" s="796"/>
      <c r="C29" s="642" t="s">
        <v>1537</v>
      </c>
      <c r="D29" s="641"/>
      <c r="E29" s="641"/>
      <c r="F29" s="641"/>
      <c r="G29" s="641"/>
      <c r="H29" s="641"/>
      <c r="I29" s="804"/>
      <c r="J29" s="804"/>
      <c r="K29" s="804"/>
      <c r="L29" s="803"/>
      <c r="M29" s="796"/>
      <c r="N29" s="1259" t="s">
        <v>844</v>
      </c>
      <c r="O29" s="1259"/>
      <c r="P29" s="1259"/>
      <c r="Q29" s="1259"/>
      <c r="R29" s="1259"/>
      <c r="S29" s="1259"/>
      <c r="T29" s="1259"/>
      <c r="W29" s="641"/>
      <c r="X29" s="1256"/>
      <c r="Y29" s="1256"/>
      <c r="Z29" s="1256"/>
      <c r="AA29" s="1256"/>
      <c r="AB29" s="1256"/>
      <c r="AC29" s="1256"/>
      <c r="AD29" s="797"/>
      <c r="AE29" s="797"/>
      <c r="AF29" s="797"/>
      <c r="AG29" s="797"/>
      <c r="AH29" s="797"/>
      <c r="AI29" s="797"/>
      <c r="AJ29" s="797"/>
      <c r="AK29" s="797"/>
      <c r="AL29" s="797"/>
    </row>
    <row r="30" spans="2:38" ht="3.75" customHeight="1" x14ac:dyDescent="0.25">
      <c r="B30" s="796"/>
      <c r="C30" s="641"/>
      <c r="D30" s="641"/>
      <c r="E30" s="641"/>
      <c r="F30" s="641"/>
      <c r="G30" s="641"/>
      <c r="H30" s="641"/>
      <c r="I30" s="749"/>
      <c r="J30" s="749"/>
      <c r="K30" s="749"/>
      <c r="L30" s="803"/>
      <c r="M30" s="796"/>
      <c r="N30" s="641"/>
      <c r="O30" s="641"/>
      <c r="P30" s="641"/>
      <c r="Q30" s="641"/>
      <c r="R30" s="641"/>
      <c r="S30" s="641"/>
      <c r="T30" s="641"/>
      <c r="U30" s="641"/>
      <c r="V30" s="641"/>
      <c r="W30" s="641"/>
      <c r="X30" s="853"/>
      <c r="Y30" s="853"/>
      <c r="Z30" s="853"/>
      <c r="AA30" s="853"/>
      <c r="AB30" s="853"/>
      <c r="AC30" s="853"/>
      <c r="AD30" s="797"/>
      <c r="AE30" s="797"/>
      <c r="AF30" s="797"/>
      <c r="AG30" s="797"/>
      <c r="AH30" s="797"/>
      <c r="AI30" s="797"/>
      <c r="AJ30" s="797"/>
      <c r="AK30" s="797"/>
      <c r="AL30" s="797"/>
    </row>
    <row r="31" spans="2:38" ht="18.75" customHeight="1" x14ac:dyDescent="0.25">
      <c r="B31" s="796"/>
      <c r="C31" s="641"/>
      <c r="D31" s="641"/>
      <c r="E31" s="641"/>
      <c r="F31" s="641"/>
      <c r="G31" s="641"/>
      <c r="H31" s="641"/>
      <c r="I31" s="641"/>
      <c r="J31" s="641"/>
      <c r="K31" s="641"/>
      <c r="L31" s="803"/>
      <c r="M31" s="806"/>
      <c r="N31" s="1259" t="s">
        <v>721</v>
      </c>
      <c r="O31" s="1259"/>
      <c r="P31" s="1259"/>
      <c r="Q31" s="1259"/>
      <c r="R31" s="1259"/>
      <c r="S31" s="1259"/>
      <c r="T31" s="1259"/>
      <c r="W31" s="641"/>
      <c r="X31" s="1256"/>
      <c r="Y31" s="1256"/>
      <c r="Z31" s="1256"/>
      <c r="AA31" s="1256"/>
      <c r="AB31" s="1256"/>
      <c r="AC31" s="1256"/>
      <c r="AD31" s="797"/>
      <c r="AH31" s="797"/>
      <c r="AI31" s="797"/>
      <c r="AJ31" s="797"/>
      <c r="AK31" s="797"/>
      <c r="AL31" s="797"/>
    </row>
    <row r="32" spans="2:38" ht="3.75" customHeight="1" x14ac:dyDescent="0.25">
      <c r="B32" s="796"/>
      <c r="C32" s="641"/>
      <c r="D32" s="641"/>
      <c r="E32" s="641"/>
      <c r="F32" s="641"/>
      <c r="G32" s="641"/>
      <c r="H32" s="641"/>
      <c r="I32" s="641"/>
      <c r="J32" s="641"/>
      <c r="K32" s="641"/>
      <c r="L32" s="803"/>
      <c r="M32" s="806"/>
      <c r="N32" s="641"/>
      <c r="O32" s="641"/>
      <c r="P32" s="641"/>
      <c r="Q32" s="641"/>
      <c r="R32" s="641"/>
      <c r="S32" s="641"/>
      <c r="T32" s="641"/>
      <c r="U32" s="641"/>
      <c r="V32" s="641"/>
      <c r="W32" s="641"/>
      <c r="X32" s="853"/>
      <c r="Y32" s="853"/>
      <c r="Z32" s="853"/>
      <c r="AA32" s="853"/>
      <c r="AB32" s="853"/>
      <c r="AC32" s="853"/>
      <c r="AD32" s="797"/>
      <c r="AE32" s="797"/>
      <c r="AF32" s="797"/>
      <c r="AG32" s="797"/>
      <c r="AH32" s="797"/>
      <c r="AI32" s="797"/>
      <c r="AJ32" s="797"/>
      <c r="AK32" s="797"/>
      <c r="AL32" s="797"/>
    </row>
    <row r="33" spans="2:38" ht="18.75" customHeight="1" x14ac:dyDescent="0.35">
      <c r="B33" s="796"/>
      <c r="C33" s="641"/>
      <c r="D33" s="641"/>
      <c r="E33" s="641"/>
      <c r="F33" s="641"/>
      <c r="G33" s="641"/>
      <c r="H33" s="641"/>
      <c r="I33" s="641"/>
      <c r="J33" s="641"/>
      <c r="K33" s="641"/>
      <c r="L33" s="805"/>
      <c r="M33" s="796"/>
      <c r="N33" s="1259" t="s">
        <v>722</v>
      </c>
      <c r="O33" s="1259"/>
      <c r="P33" s="1259"/>
      <c r="Q33" s="1259"/>
      <c r="R33" s="1259"/>
      <c r="S33" s="1259"/>
      <c r="T33" s="1259"/>
      <c r="W33" s="641"/>
      <c r="X33" s="1256"/>
      <c r="Y33" s="1256"/>
      <c r="Z33" s="1256"/>
      <c r="AA33" s="1256"/>
      <c r="AB33" s="1256"/>
      <c r="AC33" s="1256"/>
      <c r="AD33" s="797"/>
      <c r="AE33" s="797"/>
      <c r="AF33" s="797"/>
      <c r="AG33" s="797"/>
      <c r="AH33" s="797"/>
      <c r="AI33" s="797"/>
      <c r="AJ33" s="797"/>
      <c r="AK33" s="797"/>
      <c r="AL33" s="797"/>
    </row>
    <row r="34" spans="2:38" ht="3.75" customHeight="1" x14ac:dyDescent="0.25">
      <c r="B34" s="796"/>
      <c r="C34" s="641"/>
      <c r="D34" s="641"/>
      <c r="E34" s="641"/>
      <c r="F34" s="641"/>
      <c r="G34" s="641"/>
      <c r="H34" s="641"/>
      <c r="I34" s="641"/>
      <c r="J34" s="641"/>
      <c r="K34" s="641"/>
      <c r="L34" s="803"/>
      <c r="M34" s="796"/>
      <c r="N34" s="641"/>
      <c r="O34" s="641"/>
      <c r="P34" s="641"/>
      <c r="Q34" s="641"/>
      <c r="R34" s="641"/>
      <c r="S34" s="641"/>
      <c r="T34" s="641"/>
      <c r="U34" s="641"/>
      <c r="V34" s="641"/>
      <c r="W34" s="641"/>
      <c r="X34" s="853"/>
      <c r="Y34" s="853"/>
      <c r="Z34" s="853"/>
      <c r="AA34" s="853"/>
      <c r="AB34" s="853"/>
      <c r="AC34" s="853"/>
      <c r="AD34" s="797"/>
      <c r="AE34" s="797"/>
      <c r="AF34" s="797"/>
      <c r="AG34" s="797"/>
      <c r="AH34" s="797"/>
      <c r="AI34" s="797"/>
      <c r="AJ34" s="797"/>
      <c r="AK34" s="797"/>
      <c r="AL34" s="797"/>
    </row>
    <row r="35" spans="2:38" ht="18.75" customHeight="1" x14ac:dyDescent="0.25">
      <c r="B35" s="796"/>
      <c r="C35" s="641"/>
      <c r="D35" s="641"/>
      <c r="E35" s="641"/>
      <c r="F35" s="641"/>
      <c r="G35" s="641"/>
      <c r="H35" s="641"/>
      <c r="I35" s="641"/>
      <c r="J35" s="641"/>
      <c r="K35" s="641"/>
      <c r="L35" s="803"/>
      <c r="M35" s="796"/>
      <c r="N35" s="1259" t="s">
        <v>750</v>
      </c>
      <c r="O35" s="1259"/>
      <c r="P35" s="1259"/>
      <c r="Q35" s="1259"/>
      <c r="R35" s="1259"/>
      <c r="S35" s="1259"/>
      <c r="T35" s="1259"/>
      <c r="W35" s="641"/>
      <c r="X35" s="1256"/>
      <c r="Y35" s="1256"/>
      <c r="Z35" s="1256"/>
      <c r="AA35" s="1256"/>
      <c r="AB35" s="1256"/>
      <c r="AC35" s="1256"/>
      <c r="AD35" s="797"/>
      <c r="AE35" s="797"/>
      <c r="AF35" s="797"/>
      <c r="AG35" s="797"/>
      <c r="AH35" s="797"/>
      <c r="AI35" s="797"/>
      <c r="AJ35" s="797"/>
      <c r="AK35" s="797"/>
      <c r="AL35" s="797"/>
    </row>
    <row r="36" spans="2:38" ht="3.75" customHeight="1" x14ac:dyDescent="0.25">
      <c r="B36" s="796"/>
      <c r="C36" s="641"/>
      <c r="D36" s="641"/>
      <c r="E36" s="641"/>
      <c r="F36" s="641"/>
      <c r="G36" s="641"/>
      <c r="H36" s="641"/>
      <c r="I36" s="641"/>
      <c r="J36" s="641"/>
      <c r="K36" s="641"/>
      <c r="L36" s="803"/>
      <c r="M36" s="796"/>
      <c r="N36" s="641"/>
      <c r="O36" s="641"/>
      <c r="P36" s="641"/>
      <c r="Q36" s="641"/>
      <c r="R36" s="641"/>
      <c r="S36" s="641"/>
      <c r="T36" s="641"/>
      <c r="U36" s="641"/>
      <c r="V36" s="641"/>
      <c r="W36" s="641"/>
      <c r="X36" s="853"/>
      <c r="Y36" s="853"/>
      <c r="Z36" s="853"/>
      <c r="AA36" s="853"/>
      <c r="AB36" s="853"/>
      <c r="AC36" s="853"/>
      <c r="AD36" s="797"/>
      <c r="AE36" s="797"/>
      <c r="AF36" s="797"/>
      <c r="AG36" s="797"/>
      <c r="AH36" s="797"/>
      <c r="AI36" s="797"/>
      <c r="AJ36" s="797"/>
      <c r="AK36" s="797"/>
      <c r="AL36" s="797"/>
    </row>
    <row r="37" spans="2:38" ht="18.75" customHeight="1" x14ac:dyDescent="0.25">
      <c r="B37" s="796"/>
      <c r="C37" s="641"/>
      <c r="D37" s="641"/>
      <c r="E37" s="641"/>
      <c r="F37" s="641"/>
      <c r="G37" s="641"/>
      <c r="H37" s="641"/>
      <c r="I37" s="641"/>
      <c r="J37" s="641"/>
      <c r="K37" s="641"/>
      <c r="L37" s="803"/>
      <c r="M37" s="796"/>
      <c r="N37" s="1259" t="s">
        <v>843</v>
      </c>
      <c r="O37" s="1259"/>
      <c r="P37" s="1259"/>
      <c r="Q37" s="1259"/>
      <c r="R37" s="1259"/>
      <c r="S37" s="1259"/>
      <c r="T37" s="1259"/>
      <c r="W37" s="641"/>
      <c r="X37" s="1256"/>
      <c r="Y37" s="1256"/>
      <c r="Z37" s="1256"/>
      <c r="AA37" s="1256"/>
      <c r="AB37" s="1256"/>
      <c r="AC37" s="1256"/>
      <c r="AD37" s="797"/>
      <c r="AE37" s="797"/>
      <c r="AF37" s="797"/>
      <c r="AG37" s="797"/>
      <c r="AH37" s="797"/>
      <c r="AI37" s="797"/>
      <c r="AJ37" s="797"/>
      <c r="AK37" s="797"/>
      <c r="AL37" s="797"/>
    </row>
    <row r="38" spans="2:38" ht="3.75" customHeight="1" x14ac:dyDescent="0.25">
      <c r="B38" s="796"/>
      <c r="C38" s="641"/>
      <c r="D38" s="641"/>
      <c r="E38" s="641"/>
      <c r="F38" s="641"/>
      <c r="G38" s="641"/>
      <c r="H38" s="641"/>
      <c r="I38" s="802"/>
      <c r="J38" s="802"/>
      <c r="K38" s="802"/>
      <c r="L38" s="803"/>
      <c r="M38" s="796"/>
      <c r="N38" s="641"/>
      <c r="O38" s="641"/>
      <c r="P38" s="641"/>
      <c r="Q38" s="641"/>
      <c r="R38" s="641"/>
      <c r="S38" s="641"/>
      <c r="T38" s="641"/>
      <c r="U38" s="641"/>
      <c r="V38" s="641"/>
      <c r="W38" s="641"/>
      <c r="X38" s="853"/>
      <c r="Y38" s="853"/>
      <c r="Z38" s="853"/>
      <c r="AA38" s="853"/>
      <c r="AB38" s="853"/>
      <c r="AC38" s="853"/>
      <c r="AD38" s="797"/>
      <c r="AE38" s="797"/>
      <c r="AF38" s="797"/>
      <c r="AG38" s="797"/>
      <c r="AH38" s="797"/>
      <c r="AI38" s="797"/>
      <c r="AJ38" s="797"/>
      <c r="AK38" s="797"/>
      <c r="AL38" s="797"/>
    </row>
    <row r="39" spans="2:38" ht="18.75" customHeight="1" x14ac:dyDescent="0.25">
      <c r="B39" s="796"/>
      <c r="C39" s="641"/>
      <c r="D39" s="804"/>
      <c r="E39" s="804"/>
      <c r="F39" s="804"/>
      <c r="G39" s="804"/>
      <c r="H39" s="641"/>
      <c r="I39" s="802"/>
      <c r="J39" s="802"/>
      <c r="K39" s="802"/>
      <c r="L39" s="803"/>
      <c r="M39" s="796"/>
      <c r="N39" s="1259" t="s">
        <v>724</v>
      </c>
      <c r="O39" s="1259"/>
      <c r="P39" s="1259"/>
      <c r="Q39" s="1259"/>
      <c r="R39" s="1259"/>
      <c r="S39" s="1259"/>
      <c r="T39" s="1259"/>
      <c r="W39" s="641"/>
      <c r="X39" s="1256"/>
      <c r="Y39" s="1256"/>
      <c r="Z39" s="1256"/>
      <c r="AA39" s="1256"/>
      <c r="AB39" s="1256"/>
      <c r="AC39" s="1256"/>
      <c r="AD39" s="797"/>
      <c r="AE39" s="797"/>
      <c r="AF39" s="797"/>
      <c r="AG39" s="797"/>
      <c r="AH39" s="797"/>
      <c r="AI39" s="797"/>
      <c r="AJ39" s="797"/>
      <c r="AK39" s="797"/>
      <c r="AL39" s="797"/>
    </row>
    <row r="40" spans="2:38" ht="3.75" customHeight="1" x14ac:dyDescent="0.25">
      <c r="B40" s="796"/>
      <c r="C40" s="641"/>
      <c r="D40" s="641"/>
      <c r="E40" s="641"/>
      <c r="F40" s="641"/>
      <c r="G40" s="641"/>
      <c r="H40" s="641"/>
      <c r="I40" s="802"/>
      <c r="J40" s="802"/>
      <c r="K40" s="802"/>
      <c r="L40" s="803"/>
      <c r="M40" s="796"/>
      <c r="N40" s="641"/>
      <c r="O40" s="641"/>
      <c r="P40" s="641"/>
      <c r="Q40" s="641"/>
      <c r="R40" s="641"/>
      <c r="S40" s="641"/>
      <c r="T40" s="641"/>
      <c r="U40" s="641"/>
      <c r="V40" s="641"/>
      <c r="W40" s="641"/>
      <c r="X40" s="853"/>
      <c r="Y40" s="853"/>
      <c r="Z40" s="853"/>
      <c r="AA40" s="853"/>
      <c r="AB40" s="853"/>
      <c r="AC40" s="853"/>
      <c r="AD40" s="797"/>
      <c r="AE40" s="797"/>
      <c r="AF40" s="797"/>
      <c r="AG40" s="797"/>
      <c r="AH40" s="797"/>
      <c r="AI40" s="797"/>
      <c r="AJ40" s="797"/>
      <c r="AK40" s="797"/>
      <c r="AL40" s="797"/>
    </row>
    <row r="41" spans="2:38" ht="18.75" customHeight="1" x14ac:dyDescent="0.25">
      <c r="B41" s="796"/>
      <c r="C41" s="641"/>
      <c r="D41" s="641"/>
      <c r="E41" s="641"/>
      <c r="F41" s="641"/>
      <c r="G41" s="641"/>
      <c r="H41" s="641"/>
      <c r="I41" s="802"/>
      <c r="J41" s="802"/>
      <c r="K41" s="802"/>
      <c r="L41" s="803"/>
      <c r="M41" s="796"/>
      <c r="N41" s="1259" t="s">
        <v>845</v>
      </c>
      <c r="O41" s="1259"/>
      <c r="P41" s="1259"/>
      <c r="Q41" s="1259"/>
      <c r="R41" s="1259"/>
      <c r="S41" s="1259"/>
      <c r="T41" s="1259"/>
      <c r="W41" s="641"/>
      <c r="X41" s="1256"/>
      <c r="Y41" s="1256"/>
      <c r="Z41" s="1256"/>
      <c r="AA41" s="1256"/>
      <c r="AB41" s="1256"/>
      <c r="AC41" s="1256"/>
      <c r="AD41" s="797"/>
      <c r="AE41" s="797"/>
      <c r="AF41" s="797"/>
      <c r="AG41" s="797"/>
      <c r="AH41" s="797"/>
      <c r="AI41" s="797"/>
      <c r="AJ41" s="797"/>
      <c r="AK41" s="797"/>
      <c r="AL41" s="797"/>
    </row>
    <row r="42" spans="2:38" ht="3.75" customHeight="1" thickBot="1" x14ac:dyDescent="0.3">
      <c r="B42" s="792"/>
      <c r="C42" s="793"/>
      <c r="D42" s="793"/>
      <c r="E42" s="793"/>
      <c r="F42" s="793"/>
      <c r="G42" s="793"/>
      <c r="H42" s="793"/>
      <c r="I42" s="794"/>
      <c r="J42" s="794"/>
      <c r="K42" s="794"/>
      <c r="L42" s="795"/>
      <c r="M42" s="796"/>
      <c r="N42" s="641"/>
      <c r="O42" s="641"/>
      <c r="P42" s="641"/>
      <c r="Q42" s="641"/>
      <c r="R42" s="641"/>
      <c r="S42" s="641"/>
      <c r="T42" s="641"/>
      <c r="U42" s="641"/>
      <c r="V42" s="641"/>
      <c r="W42" s="641"/>
      <c r="X42" s="641"/>
      <c r="Y42" s="641"/>
      <c r="Z42" s="641"/>
      <c r="AA42" s="641"/>
      <c r="AB42" s="797"/>
      <c r="AC42" s="797"/>
      <c r="AD42" s="797"/>
      <c r="AE42" s="797"/>
      <c r="AF42" s="797"/>
      <c r="AG42" s="797"/>
      <c r="AH42" s="797"/>
      <c r="AI42" s="797"/>
      <c r="AJ42" s="797"/>
      <c r="AK42" s="797"/>
      <c r="AL42" s="797"/>
    </row>
    <row r="43" spans="2:38" x14ac:dyDescent="0.25">
      <c r="N43" s="641"/>
      <c r="O43" s="641"/>
      <c r="P43" s="641"/>
      <c r="Q43" s="641"/>
      <c r="R43" s="641"/>
      <c r="S43" s="641"/>
      <c r="T43" s="641"/>
      <c r="U43" s="641"/>
      <c r="V43" s="641"/>
      <c r="W43" s="641"/>
      <c r="X43" s="641"/>
      <c r="Y43" s="797"/>
      <c r="Z43" s="797"/>
      <c r="AA43" s="797"/>
      <c r="AB43" s="797"/>
      <c r="AC43" s="797"/>
      <c r="AD43" s="797"/>
      <c r="AE43" s="797"/>
      <c r="AF43" s="797"/>
      <c r="AG43" s="797"/>
      <c r="AH43" s="797"/>
      <c r="AI43" s="797"/>
      <c r="AJ43" s="797"/>
      <c r="AK43" s="797"/>
      <c r="AL43" s="797"/>
    </row>
    <row r="44" spans="2:38" x14ac:dyDescent="0.25">
      <c r="N44" s="799"/>
      <c r="O44" s="799"/>
      <c r="P44" s="799"/>
      <c r="Y44" s="797"/>
      <c r="Z44" s="797"/>
      <c r="AA44" s="797"/>
      <c r="AB44" s="797"/>
      <c r="AC44" s="797"/>
      <c r="AD44" s="797"/>
      <c r="AE44" s="797"/>
      <c r="AF44" s="797"/>
      <c r="AG44" s="797"/>
      <c r="AH44" s="797"/>
      <c r="AI44" s="797"/>
      <c r="AJ44" s="797"/>
      <c r="AK44" s="797"/>
      <c r="AL44" s="797"/>
    </row>
    <row r="45" spans="2:38" x14ac:dyDescent="0.25">
      <c r="N45" s="799"/>
      <c r="O45" s="799"/>
      <c r="P45" s="799"/>
      <c r="Y45" s="797"/>
      <c r="Z45" s="797"/>
      <c r="AA45" s="797"/>
      <c r="AB45" s="797"/>
      <c r="AC45" s="797"/>
      <c r="AD45" s="797"/>
      <c r="AE45" s="797"/>
      <c r="AF45" s="797"/>
      <c r="AG45" s="797"/>
      <c r="AH45" s="797"/>
      <c r="AI45" s="797"/>
      <c r="AJ45" s="797"/>
      <c r="AK45" s="797"/>
      <c r="AL45" s="797"/>
    </row>
    <row r="46" spans="2:38" x14ac:dyDescent="0.25">
      <c r="N46" s="800"/>
      <c r="O46" s="800"/>
      <c r="P46" s="800"/>
    </row>
    <row r="47" spans="2:38" x14ac:dyDescent="0.25">
      <c r="N47" s="801"/>
      <c r="O47" s="801"/>
      <c r="P47" s="801"/>
    </row>
    <row r="48" spans="2:38" x14ac:dyDescent="0.25">
      <c r="N48" s="799"/>
      <c r="O48" s="799"/>
      <c r="P48" s="799"/>
    </row>
    <row r="49" spans="14:16" x14ac:dyDescent="0.25">
      <c r="N49" s="800"/>
      <c r="O49" s="800"/>
      <c r="P49" s="800"/>
    </row>
  </sheetData>
  <sheetProtection sheet="1" selectLockedCells="1"/>
  <mergeCells count="34">
    <mergeCell ref="AB6:AB8"/>
    <mergeCell ref="X21:AC21"/>
    <mergeCell ref="X19:AC19"/>
    <mergeCell ref="X27:AC27"/>
    <mergeCell ref="X33:AC33"/>
    <mergeCell ref="X31:AC31"/>
    <mergeCell ref="X29:AC29"/>
    <mergeCell ref="X25:AC25"/>
    <mergeCell ref="X23:AC23"/>
    <mergeCell ref="X4:AC4"/>
    <mergeCell ref="Y10:AB10"/>
    <mergeCell ref="X17:AC17"/>
    <mergeCell ref="X41:AC41"/>
    <mergeCell ref="N6:P6"/>
    <mergeCell ref="R6:S6"/>
    <mergeCell ref="X39:AC39"/>
    <mergeCell ref="X37:AC37"/>
    <mergeCell ref="X35:AC35"/>
    <mergeCell ref="N41:T41"/>
    <mergeCell ref="N29:T29"/>
    <mergeCell ref="N31:T31"/>
    <mergeCell ref="N33:T33"/>
    <mergeCell ref="N35:T35"/>
    <mergeCell ref="N37:T37"/>
    <mergeCell ref="N39:T39"/>
    <mergeCell ref="C14:K14"/>
    <mergeCell ref="B12:L12"/>
    <mergeCell ref="C21:H21"/>
    <mergeCell ref="I19:K19"/>
    <mergeCell ref="N4:V4"/>
    <mergeCell ref="B4:L4"/>
    <mergeCell ref="C6:K6"/>
    <mergeCell ref="C8:E8"/>
    <mergeCell ref="C10:E10"/>
  </mergeCells>
  <conditionalFormatting sqref="I22:J22">
    <cfRule type="expression" dxfId="168" priority="217">
      <formula>$F$108="FAIL"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39" r:id="rId3" name="TextBox3">
          <controlPr defaultSize="0" autoLine="0" linkedCell="Unformatted!E510" r:id="rId4">
            <anchor moveWithCells="1">
              <from>
                <xdr:col>1</xdr:col>
                <xdr:colOff>85725</xdr:colOff>
                <xdr:row>29</xdr:row>
                <xdr:rowOff>28575</xdr:rowOff>
              </from>
              <to>
                <xdr:col>11</xdr:col>
                <xdr:colOff>66675</xdr:colOff>
                <xdr:row>41</xdr:row>
                <xdr:rowOff>9525</xdr:rowOff>
              </to>
            </anchor>
          </controlPr>
        </control>
      </mc:Choice>
      <mc:Fallback>
        <control shapeId="61539" r:id="rId3" name="TextBox3"/>
      </mc:Fallback>
    </mc:AlternateContent>
    <mc:AlternateContent xmlns:mc="http://schemas.openxmlformats.org/markup-compatibility/2006">
      <mc:Choice Requires="x14">
        <control shapeId="61487" r:id="rId5" name="Drop Down 47">
          <controlPr defaultSize="0" autoLine="0" autoPict="0">
            <anchor moveWithCells="1">
              <from>
                <xdr:col>8</xdr:col>
                <xdr:colOff>0</xdr:colOff>
                <xdr:row>7</xdr:row>
                <xdr:rowOff>0</xdr:rowOff>
              </from>
              <to>
                <xdr:col>10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88" r:id="rId6" name="Drop Down 48">
          <controlPr defaultSize="0" autoLine="0" autoPict="0">
            <anchor moveWithCells="1">
              <from>
                <xdr:col>8</xdr:col>
                <xdr:colOff>0</xdr:colOff>
                <xdr:row>16</xdr:row>
                <xdr:rowOff>0</xdr:rowOff>
              </from>
              <to>
                <xdr:col>10</xdr:col>
                <xdr:colOff>0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95" r:id="rId7" name="Group Box 55">
          <controlPr defaultSize="0" autoFill="0" autoPict="0">
            <anchor moveWithCells="1">
              <from>
                <xdr:col>2</xdr:col>
                <xdr:colOff>9525</xdr:colOff>
                <xdr:row>20</xdr:row>
                <xdr:rowOff>0</xdr:rowOff>
              </from>
              <to>
                <xdr:col>8</xdr:col>
                <xdr:colOff>0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07" r:id="rId8" name="Drop Down 67">
          <controlPr defaultSize="0" autoLine="0" autoPict="0">
            <anchor moveWithCells="1">
              <from>
                <xdr:col>6</xdr:col>
                <xdr:colOff>9525</xdr:colOff>
                <xdr:row>21</xdr:row>
                <xdr:rowOff>38100</xdr:rowOff>
              </from>
              <to>
                <xdr:col>7</xdr:col>
                <xdr:colOff>76200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09" r:id="rId9" name="Drop Down 69">
          <controlPr defaultSize="0" autoLine="0" autoPict="0">
            <anchor moveWithCells="1">
              <from>
                <xdr:col>6</xdr:col>
                <xdr:colOff>9525</xdr:colOff>
                <xdr:row>26</xdr:row>
                <xdr:rowOff>9525</xdr:rowOff>
              </from>
              <to>
                <xdr:col>7</xdr:col>
                <xdr:colOff>76200</xdr:colOff>
                <xdr:row>27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10" r:id="rId10" name="Drop Down 70">
          <controlPr defaultSize="0" autoLine="0" autoPict="0">
            <anchor moveWithCells="1">
              <from>
                <xdr:col>6</xdr:col>
                <xdr:colOff>9525</xdr:colOff>
                <xdr:row>23</xdr:row>
                <xdr:rowOff>38100</xdr:rowOff>
              </from>
              <to>
                <xdr:col>7</xdr:col>
                <xdr:colOff>76200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20" r:id="rId11" name="Check Box 80">
          <controlPr defaultSize="0" autoFill="0" autoLine="0" autoPict="0">
            <anchor moveWithCells="1">
              <from>
                <xdr:col>8</xdr:col>
                <xdr:colOff>295275</xdr:colOff>
                <xdr:row>19</xdr:row>
                <xdr:rowOff>9525</xdr:rowOff>
              </from>
              <to>
                <xdr:col>10</xdr:col>
                <xdr:colOff>609600</xdr:colOff>
                <xdr:row>20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21" r:id="rId12" name="Check Box 81">
          <controlPr defaultSize="0" autoFill="0" autoLine="0" autoPict="0">
            <anchor moveWithCells="1">
              <from>
                <xdr:col>8</xdr:col>
                <xdr:colOff>295275</xdr:colOff>
                <xdr:row>26</xdr:row>
                <xdr:rowOff>76200</xdr:rowOff>
              </from>
              <to>
                <xdr:col>10</xdr:col>
                <xdr:colOff>400050</xdr:colOff>
                <xdr:row>27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22" r:id="rId13" name="Check Box 82">
          <controlPr defaultSize="0" autoFill="0" autoLine="0" autoPict="0">
            <anchor moveWithCells="1">
              <from>
                <xdr:col>8</xdr:col>
                <xdr:colOff>295275</xdr:colOff>
                <xdr:row>20</xdr:row>
                <xdr:rowOff>180975</xdr:rowOff>
              </from>
              <to>
                <xdr:col>10</xdr:col>
                <xdr:colOff>400050</xdr:colOff>
                <xdr:row>22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23" r:id="rId14" name="Check Box 83">
          <controlPr defaultSize="0" autoFill="0" autoLine="0" autoPict="0">
            <anchor moveWithCells="1">
              <from>
                <xdr:col>8</xdr:col>
                <xdr:colOff>295275</xdr:colOff>
                <xdr:row>24</xdr:row>
                <xdr:rowOff>0</xdr:rowOff>
              </from>
              <to>
                <xdr:col>10</xdr:col>
                <xdr:colOff>400050</xdr:colOff>
                <xdr:row>24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24" r:id="rId15" name="Group Box 84">
          <controlPr defaultSize="0" autoFill="0" autoPict="0">
            <anchor moveWithCells="1">
              <from>
                <xdr:col>8</xdr:col>
                <xdr:colOff>142875</xdr:colOff>
                <xdr:row>18</xdr:row>
                <xdr:rowOff>9525</xdr:rowOff>
              </from>
              <to>
                <xdr:col>10</xdr:col>
                <xdr:colOff>695325</xdr:colOff>
                <xdr:row>28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44" r:id="rId16" name="Check Box 104">
          <controlPr defaultSize="0" autoFill="0" autoLine="0" autoPict="0">
            <anchor moveWithCells="1">
              <from>
                <xdr:col>8</xdr:col>
                <xdr:colOff>295275</xdr:colOff>
                <xdr:row>22</xdr:row>
                <xdr:rowOff>85725</xdr:rowOff>
              </from>
              <to>
                <xdr:col>10</xdr:col>
                <xdr:colOff>400050</xdr:colOff>
                <xdr:row>23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45" r:id="rId17" name="Check Box 105">
          <controlPr defaultSize="0" autoFill="0" autoLine="0" autoPict="0">
            <anchor moveWithCells="1">
              <from>
                <xdr:col>8</xdr:col>
                <xdr:colOff>295275</xdr:colOff>
                <xdr:row>24</xdr:row>
                <xdr:rowOff>180975</xdr:rowOff>
              </from>
              <to>
                <xdr:col>10</xdr:col>
                <xdr:colOff>457200</xdr:colOff>
                <xdr:row>26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11" r:id="rId18" name="Check Box 271">
          <controlPr defaultSize="0" autoFill="0" autoLine="0" autoPict="0">
            <anchor moveWithCells="1">
              <from>
                <xdr:col>14</xdr:col>
                <xdr:colOff>247650</xdr:colOff>
                <xdr:row>7</xdr:row>
                <xdr:rowOff>19050</xdr:rowOff>
              </from>
              <to>
                <xdr:col>15</xdr:col>
                <xdr:colOff>19050</xdr:colOff>
                <xdr:row>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12" r:id="rId19" name="Check Box 272">
          <controlPr defaultSize="0" autoFill="0" autoLine="0" autoPict="0">
            <anchor moveWithCells="1">
              <from>
                <xdr:col>14</xdr:col>
                <xdr:colOff>247650</xdr:colOff>
                <xdr:row>9</xdr:row>
                <xdr:rowOff>19050</xdr:rowOff>
              </from>
              <to>
                <xdr:col>15</xdr:col>
                <xdr:colOff>19050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13" r:id="rId20" name="Check Box 273">
          <controlPr defaultSize="0" autoFill="0" autoLine="0" autoPict="0">
            <anchor moveWithCells="1">
              <from>
                <xdr:col>14</xdr:col>
                <xdr:colOff>247650</xdr:colOff>
                <xdr:row>11</xdr:row>
                <xdr:rowOff>19050</xdr:rowOff>
              </from>
              <to>
                <xdr:col>15</xdr:col>
                <xdr:colOff>19050</xdr:colOff>
                <xdr:row>11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14" r:id="rId21" name="Check Box 274">
          <controlPr defaultSize="0" autoFill="0" autoLine="0" autoPict="0">
            <anchor moveWithCells="1">
              <from>
                <xdr:col>14</xdr:col>
                <xdr:colOff>247650</xdr:colOff>
                <xdr:row>13</xdr:row>
                <xdr:rowOff>19050</xdr:rowOff>
              </from>
              <to>
                <xdr:col>15</xdr:col>
                <xdr:colOff>19050</xdr:colOff>
                <xdr:row>13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15" r:id="rId22" name="Check Box 275">
          <controlPr defaultSize="0" autoFill="0" autoLine="0" autoPict="0">
            <anchor moveWithCells="1">
              <from>
                <xdr:col>18</xdr:col>
                <xdr:colOff>247650</xdr:colOff>
                <xdr:row>7</xdr:row>
                <xdr:rowOff>19050</xdr:rowOff>
              </from>
              <to>
                <xdr:col>19</xdr:col>
                <xdr:colOff>19050</xdr:colOff>
                <xdr:row>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17" r:id="rId23" name="Check Box 277">
          <controlPr defaultSize="0" autoFill="0" autoLine="0" autoPict="0">
            <anchor moveWithCells="1">
              <from>
                <xdr:col>18</xdr:col>
                <xdr:colOff>247650</xdr:colOff>
                <xdr:row>9</xdr:row>
                <xdr:rowOff>19050</xdr:rowOff>
              </from>
              <to>
                <xdr:col>19</xdr:col>
                <xdr:colOff>9525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18" r:id="rId24" name="Check Box 278">
          <controlPr defaultSize="0" autoFill="0" autoLine="0" autoPict="0">
            <anchor moveWithCells="1">
              <from>
                <xdr:col>18</xdr:col>
                <xdr:colOff>247650</xdr:colOff>
                <xdr:row>11</xdr:row>
                <xdr:rowOff>28575</xdr:rowOff>
              </from>
              <to>
                <xdr:col>19</xdr:col>
                <xdr:colOff>9525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20" r:id="rId25" name="Check Box 280">
          <controlPr defaultSize="0" autoFill="0" autoLine="0" autoPict="0">
            <anchor moveWithCells="1">
              <from>
                <xdr:col>18</xdr:col>
                <xdr:colOff>247650</xdr:colOff>
                <xdr:row>13</xdr:row>
                <xdr:rowOff>19050</xdr:rowOff>
              </from>
              <to>
                <xdr:col>19</xdr:col>
                <xdr:colOff>19050</xdr:colOff>
                <xdr:row>13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21" r:id="rId26" name="Drop Down 281">
          <controlPr defaultSize="0" autoLine="0" autoPict="0">
            <anchor moveWithCells="1">
              <from>
                <xdr:col>21</xdr:col>
                <xdr:colOff>19050</xdr:colOff>
                <xdr:row>10</xdr:row>
                <xdr:rowOff>47625</xdr:rowOff>
              </from>
              <to>
                <xdr:col>21</xdr:col>
                <xdr:colOff>628650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22" r:id="rId27" name="Drop Down 282">
          <controlPr defaultSize="0" autoLine="0" autoPict="0">
            <anchor moveWithCells="1">
              <from>
                <xdr:col>21</xdr:col>
                <xdr:colOff>19050</xdr:colOff>
                <xdr:row>9</xdr:row>
                <xdr:rowOff>0</xdr:rowOff>
              </from>
              <to>
                <xdr:col>21</xdr:col>
                <xdr:colOff>628650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28" r:id="rId28" name="Group Box 288">
          <controlPr defaultSize="0" autoFill="0" autoPict="0">
            <anchor moveWithCells="1">
              <from>
                <xdr:col>13</xdr:col>
                <xdr:colOff>0</xdr:colOff>
                <xdr:row>28</xdr:row>
                <xdr:rowOff>0</xdr:rowOff>
              </from>
              <to>
                <xdr:col>22</xdr:col>
                <xdr:colOff>0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29" r:id="rId29" name="Option Button 289">
          <controlPr defaultSize="0" autoFill="0" autoLine="0" autoPict="0">
            <anchor moveWithCells="1">
              <from>
                <xdr:col>20</xdr:col>
                <xdr:colOff>361950</xdr:colOff>
                <xdr:row>28</xdr:row>
                <xdr:rowOff>9525</xdr:rowOff>
              </from>
              <to>
                <xdr:col>20</xdr:col>
                <xdr:colOff>914400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30" r:id="rId30" name="Option Button 290">
          <controlPr defaultSize="0" autoFill="0" autoLine="0" autoPict="0">
            <anchor moveWithCells="1">
              <from>
                <xdr:col>21</xdr:col>
                <xdr:colOff>9525</xdr:colOff>
                <xdr:row>28</xdr:row>
                <xdr:rowOff>9525</xdr:rowOff>
              </from>
              <to>
                <xdr:col>21</xdr:col>
                <xdr:colOff>552450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31" r:id="rId31" name="Group Box 291">
          <controlPr defaultSize="0" autoFill="0" autoPict="0">
            <anchor moveWithCells="1">
              <from>
                <xdr:col>13</xdr:col>
                <xdr:colOff>0</xdr:colOff>
                <xdr:row>30</xdr:row>
                <xdr:rowOff>0</xdr:rowOff>
              </from>
              <to>
                <xdr:col>22</xdr:col>
                <xdr:colOff>0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32" r:id="rId32" name="Option Button 292">
          <controlPr defaultSize="0" autoFill="0" autoLine="0" autoPict="0">
            <anchor moveWithCells="1">
              <from>
                <xdr:col>20</xdr:col>
                <xdr:colOff>361950</xdr:colOff>
                <xdr:row>30</xdr:row>
                <xdr:rowOff>9525</xdr:rowOff>
              </from>
              <to>
                <xdr:col>20</xdr:col>
                <xdr:colOff>914400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33" r:id="rId33" name="Option Button 293">
          <controlPr defaultSize="0" autoFill="0" autoLine="0" autoPict="0">
            <anchor moveWithCells="1">
              <from>
                <xdr:col>21</xdr:col>
                <xdr:colOff>9525</xdr:colOff>
                <xdr:row>30</xdr:row>
                <xdr:rowOff>9525</xdr:rowOff>
              </from>
              <to>
                <xdr:col>21</xdr:col>
                <xdr:colOff>552450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34" r:id="rId34" name="Group Box 294">
          <controlPr defaultSize="0" autoFill="0" autoPict="0">
            <anchor moveWithCells="1">
              <from>
                <xdr:col>13</xdr:col>
                <xdr:colOff>0</xdr:colOff>
                <xdr:row>32</xdr:row>
                <xdr:rowOff>0</xdr:rowOff>
              </from>
              <to>
                <xdr:col>22</xdr:col>
                <xdr:colOff>0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35" r:id="rId35" name="Option Button 295">
          <controlPr defaultSize="0" autoFill="0" autoLine="0" autoPict="0">
            <anchor moveWithCells="1">
              <from>
                <xdr:col>20</xdr:col>
                <xdr:colOff>361950</xdr:colOff>
                <xdr:row>32</xdr:row>
                <xdr:rowOff>9525</xdr:rowOff>
              </from>
              <to>
                <xdr:col>20</xdr:col>
                <xdr:colOff>914400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36" r:id="rId36" name="Option Button 296">
          <controlPr defaultSize="0" autoFill="0" autoLine="0" autoPict="0">
            <anchor moveWithCells="1">
              <from>
                <xdr:col>21</xdr:col>
                <xdr:colOff>9525</xdr:colOff>
                <xdr:row>32</xdr:row>
                <xdr:rowOff>9525</xdr:rowOff>
              </from>
              <to>
                <xdr:col>21</xdr:col>
                <xdr:colOff>552450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37" r:id="rId37" name="Group Box 297">
          <controlPr defaultSize="0" autoFill="0" autoPict="0">
            <anchor moveWithCells="1">
              <from>
                <xdr:col>13</xdr:col>
                <xdr:colOff>0</xdr:colOff>
                <xdr:row>34</xdr:row>
                <xdr:rowOff>0</xdr:rowOff>
              </from>
              <to>
                <xdr:col>22</xdr:col>
                <xdr:colOff>0</xdr:colOff>
                <xdr:row>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38" r:id="rId38" name="Option Button 298">
          <controlPr defaultSize="0" autoFill="0" autoLine="0" autoPict="0">
            <anchor moveWithCells="1">
              <from>
                <xdr:col>20</xdr:col>
                <xdr:colOff>361950</xdr:colOff>
                <xdr:row>34</xdr:row>
                <xdr:rowOff>9525</xdr:rowOff>
              </from>
              <to>
                <xdr:col>20</xdr:col>
                <xdr:colOff>914400</xdr:colOff>
                <xdr:row>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39" r:id="rId39" name="Option Button 299">
          <controlPr defaultSize="0" autoFill="0" autoLine="0" autoPict="0">
            <anchor moveWithCells="1">
              <from>
                <xdr:col>21</xdr:col>
                <xdr:colOff>9525</xdr:colOff>
                <xdr:row>34</xdr:row>
                <xdr:rowOff>9525</xdr:rowOff>
              </from>
              <to>
                <xdr:col>21</xdr:col>
                <xdr:colOff>552450</xdr:colOff>
                <xdr:row>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40" r:id="rId40" name="Group Box 300">
          <controlPr defaultSize="0" autoFill="0" autoPict="0">
            <anchor moveWithCells="1">
              <from>
                <xdr:col>13</xdr:col>
                <xdr:colOff>0</xdr:colOff>
                <xdr:row>36</xdr:row>
                <xdr:rowOff>0</xdr:rowOff>
              </from>
              <to>
                <xdr:col>22</xdr:col>
                <xdr:colOff>0</xdr:colOff>
                <xdr:row>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41" r:id="rId41" name="Option Button 301">
          <controlPr defaultSize="0" autoFill="0" autoLine="0" autoPict="0">
            <anchor moveWithCells="1">
              <from>
                <xdr:col>20</xdr:col>
                <xdr:colOff>361950</xdr:colOff>
                <xdr:row>36</xdr:row>
                <xdr:rowOff>9525</xdr:rowOff>
              </from>
              <to>
                <xdr:col>20</xdr:col>
                <xdr:colOff>914400</xdr:colOff>
                <xdr:row>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42" r:id="rId42" name="Option Button 302">
          <controlPr defaultSize="0" autoFill="0" autoLine="0" autoPict="0">
            <anchor moveWithCells="1">
              <from>
                <xdr:col>21</xdr:col>
                <xdr:colOff>9525</xdr:colOff>
                <xdr:row>36</xdr:row>
                <xdr:rowOff>9525</xdr:rowOff>
              </from>
              <to>
                <xdr:col>21</xdr:col>
                <xdr:colOff>552450</xdr:colOff>
                <xdr:row>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43" r:id="rId43" name="Group Box 303">
          <controlPr defaultSize="0" autoFill="0" autoPict="0">
            <anchor moveWithCells="1">
              <from>
                <xdr:col>13</xdr:col>
                <xdr:colOff>0</xdr:colOff>
                <xdr:row>38</xdr:row>
                <xdr:rowOff>0</xdr:rowOff>
              </from>
              <to>
                <xdr:col>22</xdr:col>
                <xdr:colOff>0</xdr:colOff>
                <xdr:row>39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44" r:id="rId44" name="Option Button 304">
          <controlPr defaultSize="0" autoFill="0" autoLine="0" autoPict="0">
            <anchor moveWithCells="1">
              <from>
                <xdr:col>20</xdr:col>
                <xdr:colOff>361950</xdr:colOff>
                <xdr:row>38</xdr:row>
                <xdr:rowOff>9525</xdr:rowOff>
              </from>
              <to>
                <xdr:col>20</xdr:col>
                <xdr:colOff>914400</xdr:colOff>
                <xdr:row>39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45" r:id="rId45" name="Option Button 305">
          <controlPr defaultSize="0" autoFill="0" autoLine="0" autoPict="0">
            <anchor moveWithCells="1">
              <from>
                <xdr:col>21</xdr:col>
                <xdr:colOff>9525</xdr:colOff>
                <xdr:row>38</xdr:row>
                <xdr:rowOff>9525</xdr:rowOff>
              </from>
              <to>
                <xdr:col>21</xdr:col>
                <xdr:colOff>552450</xdr:colOff>
                <xdr:row>39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46" r:id="rId46" name="Group Box 306">
          <controlPr defaultSize="0" autoFill="0" autoPict="0">
            <anchor moveWithCells="1">
              <from>
                <xdr:col>13</xdr:col>
                <xdr:colOff>0</xdr:colOff>
                <xdr:row>40</xdr:row>
                <xdr:rowOff>0</xdr:rowOff>
              </from>
              <to>
                <xdr:col>22</xdr:col>
                <xdr:colOff>0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47" r:id="rId47" name="Option Button 307">
          <controlPr defaultSize="0" autoFill="0" autoLine="0" autoPict="0">
            <anchor moveWithCells="1">
              <from>
                <xdr:col>20</xdr:col>
                <xdr:colOff>361950</xdr:colOff>
                <xdr:row>40</xdr:row>
                <xdr:rowOff>9525</xdr:rowOff>
              </from>
              <to>
                <xdr:col>20</xdr:col>
                <xdr:colOff>914400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48" r:id="rId48" name="Option Button 308">
          <controlPr defaultSize="0" autoFill="0" autoLine="0" autoPict="0">
            <anchor moveWithCells="1">
              <from>
                <xdr:col>21</xdr:col>
                <xdr:colOff>9525</xdr:colOff>
                <xdr:row>40</xdr:row>
                <xdr:rowOff>9525</xdr:rowOff>
              </from>
              <to>
                <xdr:col>22</xdr:col>
                <xdr:colOff>9525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49" r:id="rId49" name="Group Box 309">
          <controlPr defaultSize="0" autoFill="0" autoPict="0">
            <anchor moveWithCells="1">
              <from>
                <xdr:col>13</xdr:col>
                <xdr:colOff>0</xdr:colOff>
                <xdr:row>18</xdr:row>
                <xdr:rowOff>0</xdr:rowOff>
              </from>
              <to>
                <xdr:col>22</xdr:col>
                <xdr:colOff>0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50" r:id="rId50" name="Option Button 310">
          <controlPr defaultSize="0" autoFill="0" autoLine="0" autoPict="0">
            <anchor moveWithCells="1">
              <from>
                <xdr:col>20</xdr:col>
                <xdr:colOff>390525</xdr:colOff>
                <xdr:row>18</xdr:row>
                <xdr:rowOff>19050</xdr:rowOff>
              </from>
              <to>
                <xdr:col>21</xdr:col>
                <xdr:colOff>0</xdr:colOff>
                <xdr:row>18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51" r:id="rId51" name="Option Button 311">
          <controlPr defaultSize="0" autoFill="0" autoLine="0" autoPict="0">
            <anchor moveWithCells="1">
              <from>
                <xdr:col>21</xdr:col>
                <xdr:colOff>9525</xdr:colOff>
                <xdr:row>18</xdr:row>
                <xdr:rowOff>19050</xdr:rowOff>
              </from>
              <to>
                <xdr:col>21</xdr:col>
                <xdr:colOff>600075</xdr:colOff>
                <xdr:row>18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52" r:id="rId52" name="Group Box 312">
          <controlPr defaultSize="0" autoFill="0" autoPict="0">
            <anchor moveWithCells="1">
              <from>
                <xdr:col>13</xdr:col>
                <xdr:colOff>0</xdr:colOff>
                <xdr:row>20</xdr:row>
                <xdr:rowOff>0</xdr:rowOff>
              </from>
              <to>
                <xdr:col>22</xdr:col>
                <xdr:colOff>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53" r:id="rId53" name="Option Button 313">
          <controlPr defaultSize="0" autoFill="0" autoLine="0" autoPict="0">
            <anchor moveWithCells="1">
              <from>
                <xdr:col>20</xdr:col>
                <xdr:colOff>390525</xdr:colOff>
                <xdr:row>20</xdr:row>
                <xdr:rowOff>19050</xdr:rowOff>
              </from>
              <to>
                <xdr:col>21</xdr:col>
                <xdr:colOff>0</xdr:colOff>
                <xdr:row>20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54" r:id="rId54" name="Option Button 314">
          <controlPr defaultSize="0" autoFill="0" autoLine="0" autoPict="0">
            <anchor moveWithCells="1">
              <from>
                <xdr:col>21</xdr:col>
                <xdr:colOff>9525</xdr:colOff>
                <xdr:row>20</xdr:row>
                <xdr:rowOff>19050</xdr:rowOff>
              </from>
              <to>
                <xdr:col>21</xdr:col>
                <xdr:colOff>600075</xdr:colOff>
                <xdr:row>20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55" r:id="rId55" name="Group Box 315">
          <controlPr defaultSize="0" autoFill="0" autoPict="0">
            <anchor moveWithCells="1">
              <from>
                <xdr:col>13</xdr:col>
                <xdr:colOff>0</xdr:colOff>
                <xdr:row>22</xdr:row>
                <xdr:rowOff>0</xdr:rowOff>
              </from>
              <to>
                <xdr:col>22</xdr:col>
                <xdr:colOff>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56" r:id="rId56" name="Option Button 316">
          <controlPr defaultSize="0" autoFill="0" autoLine="0" autoPict="0">
            <anchor moveWithCells="1">
              <from>
                <xdr:col>20</xdr:col>
                <xdr:colOff>390525</xdr:colOff>
                <xdr:row>22</xdr:row>
                <xdr:rowOff>19050</xdr:rowOff>
              </from>
              <to>
                <xdr:col>21</xdr:col>
                <xdr:colOff>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57" r:id="rId57" name="Option Button 317">
          <controlPr defaultSize="0" autoFill="0" autoLine="0" autoPict="0">
            <anchor moveWithCells="1">
              <from>
                <xdr:col>21</xdr:col>
                <xdr:colOff>9525</xdr:colOff>
                <xdr:row>22</xdr:row>
                <xdr:rowOff>19050</xdr:rowOff>
              </from>
              <to>
                <xdr:col>21</xdr:col>
                <xdr:colOff>600075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58" r:id="rId58" name="Group Box 318">
          <controlPr defaultSize="0" autoFill="0" autoPict="0">
            <anchor moveWithCells="1">
              <from>
                <xdr:col>13</xdr:col>
                <xdr:colOff>0</xdr:colOff>
                <xdr:row>24</xdr:row>
                <xdr:rowOff>0</xdr:rowOff>
              </from>
              <to>
                <xdr:col>22</xdr:col>
                <xdr:colOff>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59" r:id="rId59" name="Option Button 319">
          <controlPr defaultSize="0" autoFill="0" autoLine="0" autoPict="0">
            <anchor moveWithCells="1">
              <from>
                <xdr:col>20</xdr:col>
                <xdr:colOff>390525</xdr:colOff>
                <xdr:row>24</xdr:row>
                <xdr:rowOff>19050</xdr:rowOff>
              </from>
              <to>
                <xdr:col>21</xdr:col>
                <xdr:colOff>0</xdr:colOff>
                <xdr:row>24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60" r:id="rId60" name="Option Button 320">
          <controlPr defaultSize="0" autoFill="0" autoLine="0" autoPict="0">
            <anchor moveWithCells="1">
              <from>
                <xdr:col>21</xdr:col>
                <xdr:colOff>9525</xdr:colOff>
                <xdr:row>24</xdr:row>
                <xdr:rowOff>19050</xdr:rowOff>
              </from>
              <to>
                <xdr:col>21</xdr:col>
                <xdr:colOff>600075</xdr:colOff>
                <xdr:row>24</xdr:row>
                <xdr:rowOff>228600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087" id="{67D4C427-F0AC-4F4E-939A-2A0BA7AD9094}">
            <xm:f>AND(Unformatted!$F$132=5,#REF!&lt;&gt;"")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N48:P48</xm:sqref>
        </x14:conditionalFormatting>
        <x14:conditionalFormatting xmlns:xm="http://schemas.microsoft.com/office/excel/2006/main">
          <x14:cfRule type="expression" priority="5088" id="{FCA8C820-96DA-45AE-8665-3B0C435574C8}">
            <xm:f>AND(Unformatted!$F$132=6,#REF!&lt;&gt;"")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N49:P49</xm:sqref>
        </x14:conditionalFormatting>
        <x14:conditionalFormatting xmlns:xm="http://schemas.microsoft.com/office/excel/2006/main">
          <x14:cfRule type="expression" priority="5089" id="{69C42415-5EBF-4E27-8CBA-E2ADDE36691C}">
            <xm:f>AND(Unformatted!$F$132=1,$K$32&lt;&gt;"")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N44:P44</xm:sqref>
        </x14:conditionalFormatting>
        <x14:conditionalFormatting xmlns:xm="http://schemas.microsoft.com/office/excel/2006/main">
          <x14:cfRule type="expression" priority="5090" id="{4A6BDE88-F03B-4356-8C68-907068DC9BFF}">
            <xm:f>AND(Unformatted!$F$132=2,$K$33&lt;&gt;"")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N45:P45</xm:sqref>
        </x14:conditionalFormatting>
        <x14:conditionalFormatting xmlns:xm="http://schemas.microsoft.com/office/excel/2006/main">
          <x14:cfRule type="expression" priority="5091" id="{CDEF3518-3796-4498-9C01-24E29B3A47F6}">
            <xm:f>AND(Unformatted!$F$132=3,$K$34&lt;&gt;"")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N46:P46</xm:sqref>
        </x14:conditionalFormatting>
        <x14:conditionalFormatting xmlns:xm="http://schemas.microsoft.com/office/excel/2006/main">
          <x14:cfRule type="expression" priority="5092" id="{C070B427-2B24-46F9-A38D-839F179DDCE6}">
            <xm:f>AND(Unformatted!$F$132=4,$K$35&lt;&gt;"")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N47:P47</xm:sqref>
        </x14:conditionalFormatting>
        <x14:conditionalFormatting xmlns:xm="http://schemas.microsoft.com/office/excel/2006/main">
          <x14:cfRule type="expression" priority="32" id="{A5A26B4C-70DE-427C-8FAB-DA08DBC25505}">
            <xm:f>Unformatted!E135="PURPLE"</xm:f>
            <x14:dxf>
              <fill>
                <patternFill>
                  <bgColor rgb="FF7030A0"/>
                </patternFill>
              </fill>
            </x14:dxf>
          </x14:cfRule>
          <x14:cfRule type="expression" priority="33" id="{D711CCA3-C171-47EB-8540-98A5696D0250}">
            <xm:f>Unformatted!E135="BLACK"</xm:f>
            <x14:dxf>
              <font>
                <color theme="0"/>
              </font>
              <fill>
                <patternFill>
                  <bgColor theme="1"/>
                </patternFill>
              </fill>
            </x14:dxf>
          </x14:cfRule>
          <x14:cfRule type="expression" priority="34" id="{8A5B6C4C-899D-4F9C-AAAB-F3FB9084CAAF}">
            <xm:f>Unformatted!E135="YELLOW"</xm:f>
            <x14:dxf>
              <fill>
                <patternFill>
                  <bgColor rgb="FFFFFF00"/>
                </patternFill>
              </fill>
            </x14:dxf>
          </x14:cfRule>
          <x14:cfRule type="expression" priority="35" id="{01E81F2C-B9DA-40ED-B26B-5FAE8C0D5C62}">
            <xm:f>Unformatted!E135="ORANGE"</xm:f>
            <x14:dxf>
              <fill>
                <patternFill>
                  <bgColor theme="5"/>
                </patternFill>
              </fill>
            </x14:dxf>
          </x14:cfRule>
          <x14:cfRule type="expression" priority="36" id="{1B7D6364-1F20-44A9-AA54-DCE9F68A69DF}">
            <xm:f>Unformatted!E135="BROWN"</xm:f>
            <x14:dxf>
              <font>
                <color theme="0"/>
              </font>
              <fill>
                <patternFill>
                  <bgColor theme="5" tint="-0.499984740745262"/>
                </patternFill>
              </fill>
            </x14:dxf>
          </x14:cfRule>
          <x14:cfRule type="expression" priority="37" id="{CF942B33-6D56-4BD8-9FE6-B95E299B1F4F}">
            <xm:f>Unformatted!E135="RED"</xm:f>
            <x14:dxf>
              <fill>
                <patternFill>
                  <bgColor rgb="FFFF0000"/>
                </patternFill>
              </fill>
            </x14:dxf>
          </x14:cfRule>
          <x14:cfRule type="expression" priority="38" id="{9C1DD950-4F64-4FF6-B00F-ED8687E3478C}">
            <xm:f>Unformatted!E135="BLUE"</xm:f>
            <x14:dxf>
              <fill>
                <patternFill>
                  <bgColor rgb="FF0070C0"/>
                </patternFill>
              </fill>
            </x14:dxf>
          </x14:cfRule>
          <xm:sqref>Y6:AA6</xm:sqref>
        </x14:conditionalFormatting>
        <x14:conditionalFormatting xmlns:xm="http://schemas.microsoft.com/office/excel/2006/main">
          <x14:cfRule type="expression" priority="18" id="{3B24FF23-D703-4EAE-9DC4-64A9FA1179E3}">
            <xm:f>Unformatted!I135="PURPLE"</xm:f>
            <x14:dxf>
              <fill>
                <patternFill>
                  <bgColor rgb="FF7030A0"/>
                </patternFill>
              </fill>
            </x14:dxf>
          </x14:cfRule>
          <x14:cfRule type="expression" priority="19" id="{A354A919-8918-4B55-A878-444C38C5AF8D}">
            <xm:f>Unformatted!I135="BLACK"</xm:f>
            <x14:dxf>
              <font>
                <color theme="0"/>
              </font>
              <fill>
                <patternFill>
                  <bgColor theme="1"/>
                </patternFill>
              </fill>
            </x14:dxf>
          </x14:cfRule>
          <x14:cfRule type="expression" priority="20" id="{E9B56A57-962D-4AD9-BF5A-ACC9EAE0F6FB}">
            <xm:f>Unformatted!I135="YELLOW"</xm:f>
            <x14:dxf>
              <fill>
                <patternFill>
                  <bgColor rgb="FFFFFF00"/>
                </patternFill>
              </fill>
            </x14:dxf>
          </x14:cfRule>
          <x14:cfRule type="expression" priority="21" id="{9621DFB1-3C82-483F-A36A-FF0020683AE9}">
            <xm:f>Unformatted!I135="ORANGE"</xm:f>
            <x14:dxf>
              <fill>
                <patternFill>
                  <bgColor theme="5"/>
                </patternFill>
              </fill>
            </x14:dxf>
          </x14:cfRule>
          <x14:cfRule type="expression" priority="22" id="{637A00DB-644F-4DFA-836D-267FA1D0B93B}">
            <xm:f>Unformatted!I135="BROWN"</xm:f>
            <x14:dxf>
              <fill>
                <patternFill>
                  <bgColor theme="5" tint="-0.499984740745262"/>
                </patternFill>
              </fill>
            </x14:dxf>
          </x14:cfRule>
          <x14:cfRule type="expression" priority="23" id="{7BE06449-D67E-461A-9DB0-4205F56E6332}">
            <xm:f>Unformatted!I135="RED"</xm:f>
            <x14:dxf>
              <fill>
                <patternFill>
                  <bgColor rgb="FFFF0000"/>
                </patternFill>
              </fill>
            </x14:dxf>
          </x14:cfRule>
          <x14:cfRule type="expression" priority="24" id="{D26C4B00-A56C-4D7A-8747-D1D3E74B69E9}">
            <xm:f>Unformatted!I135="BLUE"</xm:f>
            <x14:dxf>
              <fill>
                <patternFill>
                  <bgColor rgb="FF0070C0"/>
                </patternFill>
              </fill>
            </x14:dxf>
          </x14:cfRule>
          <xm:sqref>Y14:AB14</xm:sqref>
        </x14:conditionalFormatting>
        <x14:conditionalFormatting xmlns:xm="http://schemas.microsoft.com/office/excel/2006/main">
          <x14:cfRule type="expression" priority="10" id="{7920EBBC-07DD-4BCA-9492-8BAB0B903D80}">
            <xm:f>Unformatted!$C$501=1</xm:f>
            <x14:dxf>
              <font>
                <b/>
                <i val="0"/>
                <color rgb="FFFF0000"/>
              </font>
            </x14:dxf>
          </x14:cfRule>
          <xm:sqref>N8</xm:sqref>
        </x14:conditionalFormatting>
        <x14:conditionalFormatting xmlns:xm="http://schemas.microsoft.com/office/excel/2006/main">
          <x14:cfRule type="expression" priority="9" id="{B2E507A3-0FDF-4508-815E-5204E63CEFBE}">
            <xm:f>Unformatted!$C$506=1</xm:f>
            <x14:dxf>
              <font>
                <b/>
                <i val="0"/>
                <color rgb="FFFF0000"/>
              </font>
            </x14:dxf>
          </x14:cfRule>
          <xm:sqref>N10</xm:sqref>
        </x14:conditionalFormatting>
        <x14:conditionalFormatting xmlns:xm="http://schemas.microsoft.com/office/excel/2006/main">
          <x14:cfRule type="expression" priority="8" id="{88F1EDEC-6B90-416B-9BF6-3F8DB1F59012}">
            <xm:f>Unformatted!$C$508=1</xm:f>
            <x14:dxf>
              <font>
                <b/>
                <i val="0"/>
                <color rgb="FFFF0000"/>
              </font>
            </x14:dxf>
          </x14:cfRule>
          <xm:sqref>N12</xm:sqref>
        </x14:conditionalFormatting>
        <x14:conditionalFormatting xmlns:xm="http://schemas.microsoft.com/office/excel/2006/main">
          <x14:cfRule type="expression" priority="7" id="{FE6832F3-18FA-40AC-A47B-FFDC27E06612}">
            <xm:f>Unformatted!$C$502</xm:f>
            <x14:dxf>
              <font>
                <b/>
                <i val="0"/>
                <color rgb="FFFF0000"/>
              </font>
            </x14:dxf>
          </x14:cfRule>
          <xm:sqref>N14</xm:sqref>
        </x14:conditionalFormatting>
        <x14:conditionalFormatting xmlns:xm="http://schemas.microsoft.com/office/excel/2006/main">
          <x14:cfRule type="expression" priority="6" id="{A2AA57E3-BA76-4FE3-83E4-52AA92A15EB1}">
            <xm:f>Unformatted!$C$505</xm:f>
            <x14:dxf>
              <font>
                <b/>
                <i val="0"/>
                <color rgb="FFFF0000"/>
              </font>
            </x14:dxf>
          </x14:cfRule>
          <xm:sqref>R8</xm:sqref>
        </x14:conditionalFormatting>
        <x14:conditionalFormatting xmlns:xm="http://schemas.microsoft.com/office/excel/2006/main">
          <x14:cfRule type="expression" priority="5" id="{5F351DFB-1C1B-463D-B2E2-B28E106AB4CC}">
            <xm:f>Unformatted!$C$504</xm:f>
            <x14:dxf>
              <font>
                <b/>
                <i val="0"/>
                <color rgb="FFFF0000"/>
              </font>
            </x14:dxf>
          </x14:cfRule>
          <xm:sqref>R10</xm:sqref>
        </x14:conditionalFormatting>
        <x14:conditionalFormatting xmlns:xm="http://schemas.microsoft.com/office/excel/2006/main">
          <x14:cfRule type="expression" priority="4" id="{E7DCF040-0291-4C42-B4BC-3C50762E2B70}">
            <xm:f>Unformatted!$C$503=1</xm:f>
            <x14:dxf>
              <font>
                <b/>
                <i val="0"/>
                <color rgb="FFFF0000"/>
              </font>
            </x14:dxf>
          </x14:cfRule>
          <xm:sqref>R12</xm:sqref>
        </x14:conditionalFormatting>
        <x14:conditionalFormatting xmlns:xm="http://schemas.microsoft.com/office/excel/2006/main">
          <x14:cfRule type="expression" priority="3" id="{2666E278-5BC5-4800-8007-DFC02BBEB41C}">
            <xm:f>Unformatted!$C$507=1</xm:f>
            <x14:dxf>
              <font>
                <b/>
                <i val="0"/>
                <color rgb="FFFF0000"/>
              </font>
            </x14:dxf>
          </x14:cfRule>
          <xm:sqref>R14</xm:sqref>
        </x14:conditionalFormatting>
        <x14:conditionalFormatting xmlns:xm="http://schemas.microsoft.com/office/excel/2006/main">
          <x14:cfRule type="expression" priority="2" id="{A1BD8E04-A5A9-4313-9720-9676C083C8D0}">
            <xm:f>Unformatted!$G$504</xm:f>
            <x14:dxf>
              <font>
                <b/>
                <i val="0"/>
                <color rgb="FFFF0000"/>
              </font>
            </x14:dxf>
          </x14:cfRule>
          <xm:sqref>U10</xm:sqref>
        </x14:conditionalFormatting>
        <x14:conditionalFormatting xmlns:xm="http://schemas.microsoft.com/office/excel/2006/main">
          <x14:cfRule type="expression" priority="1" id="{2FC48B19-63AD-440E-8AFB-15D4F6861C95}">
            <xm:f>Unformatted!G503</xm:f>
            <x14:dxf>
              <font>
                <b/>
                <i val="0"/>
                <color rgb="FFFF0000"/>
              </font>
            </x14:dxf>
          </x14:cfRule>
          <xm:sqref>U12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1D3DE-131C-4526-9AFB-F5C0D5B01EE7}">
  <sheetPr codeName="Sheet29"/>
  <dimension ref="A1:AI43"/>
  <sheetViews>
    <sheetView showGridLines="0" showRowColHeaders="0" zoomScaleNormal="100" workbookViewId="0">
      <selection activeCell="G8" sqref="G8:J8"/>
    </sheetView>
  </sheetViews>
  <sheetFormatPr defaultColWidth="9.140625" defaultRowHeight="15" x14ac:dyDescent="0.25"/>
  <cols>
    <col min="1" max="1" width="2.28515625" style="611" customWidth="1"/>
    <col min="2" max="2" width="1.42578125" style="611" customWidth="1"/>
    <col min="3" max="3" width="12.7109375" style="611" customWidth="1"/>
    <col min="4" max="4" width="9.140625" style="611" customWidth="1"/>
    <col min="5" max="5" width="6" style="611" customWidth="1"/>
    <col min="6" max="6" width="1.42578125" style="611" customWidth="1"/>
    <col min="7" max="7" width="14" style="611" customWidth="1"/>
    <col min="8" max="9" width="9.140625" style="611"/>
    <col min="10" max="10" width="2.140625" style="611" customWidth="1"/>
    <col min="11" max="13" width="2.85546875" style="611" customWidth="1"/>
    <col min="14" max="14" width="9.7109375" style="611" customWidth="1"/>
    <col min="15" max="15" width="10.7109375" style="611" customWidth="1"/>
    <col min="16" max="17" width="1.42578125" style="611" customWidth="1"/>
    <col min="18" max="18" width="8.42578125" style="611" customWidth="1"/>
    <col min="19" max="21" width="9.140625" style="611"/>
    <col min="22" max="22" width="2.85546875" style="611" customWidth="1"/>
    <col min="23" max="25" width="9.140625" style="611"/>
    <col min="26" max="26" width="1.42578125" style="611" customWidth="1"/>
    <col min="27" max="16384" width="9.140625" style="611"/>
  </cols>
  <sheetData>
    <row r="1" spans="1:35" x14ac:dyDescent="0.25">
      <c r="C1" s="2"/>
      <c r="D1" s="2"/>
      <c r="E1" s="2"/>
      <c r="F1" s="2"/>
      <c r="G1" s="2"/>
      <c r="K1" s="2"/>
      <c r="L1" s="2"/>
      <c r="M1" s="2"/>
    </row>
    <row r="2" spans="1:35" ht="23.25" x14ac:dyDescent="0.25">
      <c r="A2" s="107"/>
      <c r="B2" s="107"/>
      <c r="C2" s="107"/>
      <c r="D2" s="107"/>
      <c r="E2" s="107"/>
      <c r="F2" s="107"/>
      <c r="G2" s="107"/>
      <c r="H2" s="107"/>
      <c r="I2" s="107"/>
      <c r="J2" s="107" t="s">
        <v>1493</v>
      </c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</row>
    <row r="3" spans="1:35" ht="15.75" thickBot="1" x14ac:dyDescent="0.3">
      <c r="C3" s="429"/>
      <c r="E3" s="409"/>
      <c r="F3" s="409"/>
      <c r="G3" s="419"/>
      <c r="I3" s="430"/>
      <c r="J3" s="430"/>
      <c r="K3" s="419"/>
      <c r="L3" s="396"/>
      <c r="M3" s="410"/>
      <c r="N3" s="419"/>
      <c r="O3" s="396"/>
      <c r="P3" s="396"/>
      <c r="Q3" s="396"/>
      <c r="R3" s="410"/>
      <c r="S3" s="409"/>
      <c r="T3" s="419"/>
    </row>
    <row r="4" spans="1:35" ht="24" customHeight="1" thickBot="1" x14ac:dyDescent="0.4">
      <c r="B4" s="962" t="s">
        <v>728</v>
      </c>
      <c r="C4" s="963"/>
      <c r="D4" s="963"/>
      <c r="E4" s="963"/>
      <c r="F4" s="963"/>
      <c r="G4" s="963"/>
      <c r="H4" s="963"/>
      <c r="I4" s="963"/>
      <c r="J4" s="963"/>
      <c r="K4" s="964"/>
      <c r="L4" s="462"/>
      <c r="M4" s="962" t="s">
        <v>1349</v>
      </c>
      <c r="N4" s="963"/>
      <c r="O4" s="963"/>
      <c r="P4" s="963"/>
      <c r="Q4" s="963"/>
      <c r="R4" s="963"/>
      <c r="S4" s="963"/>
      <c r="T4" s="963"/>
      <c r="U4" s="963"/>
      <c r="V4" s="963"/>
      <c r="W4" s="963"/>
      <c r="X4" s="963"/>
      <c r="Y4" s="963"/>
      <c r="Z4" s="963"/>
      <c r="AA4" s="963"/>
      <c r="AB4" s="963"/>
      <c r="AC4" s="964"/>
    </row>
    <row r="5" spans="1:35" x14ac:dyDescent="0.25">
      <c r="B5" s="11"/>
      <c r="C5" s="396"/>
      <c r="D5" s="396"/>
      <c r="E5" s="396"/>
      <c r="F5" s="396"/>
      <c r="G5" s="396"/>
      <c r="H5" s="396"/>
      <c r="I5" s="396"/>
      <c r="J5" s="396"/>
      <c r="K5" s="4"/>
      <c r="L5" s="438"/>
      <c r="M5" s="11"/>
      <c r="N5" s="396"/>
      <c r="O5" s="396"/>
      <c r="P5" s="396"/>
      <c r="Q5" s="396"/>
      <c r="R5" s="396"/>
      <c r="S5" s="396"/>
      <c r="T5" s="396"/>
      <c r="U5" s="396"/>
      <c r="V5" s="396"/>
      <c r="W5" s="454" t="s">
        <v>1203</v>
      </c>
      <c r="X5" s="396"/>
      <c r="Y5" s="396"/>
      <c r="Z5" s="396"/>
      <c r="AA5" s="396"/>
      <c r="AB5" s="396"/>
      <c r="AC5" s="4"/>
    </row>
    <row r="6" spans="1:35" ht="18.75" customHeight="1" x14ac:dyDescent="0.25">
      <c r="B6" s="11"/>
      <c r="C6" s="396"/>
      <c r="E6" s="460" t="s">
        <v>1196</v>
      </c>
      <c r="F6" s="438"/>
      <c r="K6" s="424"/>
      <c r="L6" s="643"/>
      <c r="M6" s="1017" t="s">
        <v>1198</v>
      </c>
      <c r="N6" s="1018"/>
      <c r="O6" s="1018"/>
      <c r="P6" s="1018"/>
      <c r="Q6" s="1018"/>
      <c r="R6" s="1018"/>
      <c r="S6" s="1018"/>
      <c r="T6" s="1018"/>
      <c r="U6" s="1018"/>
      <c r="V6" s="1018"/>
      <c r="W6" s="396"/>
      <c r="X6" s="644"/>
      <c r="Y6" s="396"/>
      <c r="Z6" s="396"/>
      <c r="AA6" s="396"/>
      <c r="AB6" s="396"/>
      <c r="AC6" s="4"/>
      <c r="AD6" s="396"/>
    </row>
    <row r="7" spans="1:35" ht="5.25" customHeight="1" thickBot="1" x14ac:dyDescent="0.3">
      <c r="B7" s="11"/>
      <c r="C7" s="396"/>
      <c r="D7" s="396"/>
      <c r="E7" s="396"/>
      <c r="F7" s="396"/>
      <c r="G7" s="396"/>
      <c r="H7" s="396" t="s">
        <v>1027</v>
      </c>
      <c r="I7" s="396"/>
      <c r="J7" s="396"/>
      <c r="K7" s="4"/>
      <c r="L7" s="438"/>
      <c r="M7" s="11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  <c r="Z7" s="396"/>
      <c r="AA7" s="396"/>
      <c r="AB7" s="396"/>
      <c r="AC7" s="4"/>
    </row>
    <row r="8" spans="1:35" ht="18.75" customHeight="1" thickBot="1" x14ac:dyDescent="0.4">
      <c r="B8" s="11"/>
      <c r="D8" s="396"/>
      <c r="F8" s="457" t="s">
        <v>1204</v>
      </c>
      <c r="G8" s="1012" t="str">
        <f>Unformatted!F442</f>
        <v/>
      </c>
      <c r="H8" s="1013"/>
      <c r="I8" s="1013"/>
      <c r="J8" s="1014"/>
      <c r="K8" s="4"/>
      <c r="L8" s="438"/>
      <c r="M8" s="11"/>
      <c r="N8" s="396"/>
      <c r="R8" s="460" t="s">
        <v>1196</v>
      </c>
      <c r="S8" s="396"/>
      <c r="T8" s="396"/>
      <c r="W8" s="396"/>
      <c r="X8" s="396"/>
      <c r="Y8" s="396"/>
      <c r="Z8" s="396"/>
      <c r="AA8" s="396"/>
      <c r="AB8" s="396"/>
      <c r="AC8" s="4"/>
      <c r="AD8" s="396"/>
    </row>
    <row r="9" spans="1:35" ht="5.25" customHeight="1" thickBot="1" x14ac:dyDescent="0.3">
      <c r="B9" s="11"/>
      <c r="F9" s="396"/>
      <c r="G9" s="396"/>
      <c r="H9" s="396"/>
      <c r="I9" s="396"/>
      <c r="J9" s="396"/>
      <c r="K9" s="4"/>
      <c r="L9" s="438"/>
      <c r="M9" s="11"/>
      <c r="N9" s="396"/>
      <c r="O9" s="396"/>
      <c r="P9" s="396"/>
      <c r="Q9" s="396"/>
      <c r="R9" s="396"/>
      <c r="S9" s="396"/>
      <c r="T9" s="396"/>
      <c r="U9" s="396"/>
      <c r="V9" s="396"/>
      <c r="W9" s="396"/>
      <c r="X9" s="396"/>
      <c r="Y9" s="396"/>
      <c r="Z9" s="396"/>
      <c r="AA9" s="396"/>
      <c r="AB9" s="396"/>
      <c r="AC9" s="4"/>
      <c r="AD9" s="396"/>
    </row>
    <row r="10" spans="1:35" ht="18.75" customHeight="1" thickBot="1" x14ac:dyDescent="0.4">
      <c r="B10" s="11"/>
      <c r="C10" s="458" t="s">
        <v>1190</v>
      </c>
      <c r="D10" s="1007" t="str">
        <f>Unformatted!F443</f>
        <v/>
      </c>
      <c r="E10" s="1008"/>
      <c r="F10" s="581"/>
      <c r="G10" s="458" t="s">
        <v>1153</v>
      </c>
      <c r="H10" s="1007" t="str">
        <f>Unformatted!F444</f>
        <v/>
      </c>
      <c r="I10" s="1008"/>
      <c r="J10" s="396"/>
      <c r="K10" s="4"/>
      <c r="L10" s="438"/>
      <c r="M10" s="11"/>
      <c r="N10" s="410"/>
      <c r="O10" s="741" t="s">
        <v>136</v>
      </c>
      <c r="P10" s="444"/>
      <c r="Q10" s="444"/>
      <c r="R10" s="1012" t="str">
        <f>Unformatted!F456</f>
        <v/>
      </c>
      <c r="S10" s="1013"/>
      <c r="T10" s="1013"/>
      <c r="U10" s="1014"/>
      <c r="V10" s="396"/>
      <c r="W10" s="396"/>
      <c r="X10" s="396"/>
      <c r="Y10" s="396"/>
      <c r="Z10" s="396"/>
      <c r="AA10" s="396"/>
      <c r="AB10" s="396"/>
      <c r="AC10" s="4"/>
    </row>
    <row r="11" spans="1:35" ht="5.25" customHeight="1" thickBot="1" x14ac:dyDescent="0.3">
      <c r="B11" s="11"/>
      <c r="C11" s="396"/>
      <c r="D11" s="396"/>
      <c r="E11" s="396"/>
      <c r="F11" s="396"/>
      <c r="J11" s="396"/>
      <c r="K11" s="4"/>
      <c r="L11" s="438"/>
      <c r="M11" s="11"/>
      <c r="P11" s="396"/>
      <c r="Q11" s="396"/>
      <c r="V11" s="396"/>
      <c r="W11" s="396"/>
      <c r="X11" s="396"/>
      <c r="Y11" s="396"/>
      <c r="Z11" s="396"/>
      <c r="AA11" s="396"/>
      <c r="AB11" s="396"/>
      <c r="AC11" s="4"/>
    </row>
    <row r="12" spans="1:35" ht="18.75" customHeight="1" thickBot="1" x14ac:dyDescent="0.3">
      <c r="B12" s="11"/>
      <c r="C12" s="746" t="s">
        <v>1191</v>
      </c>
      <c r="D12" s="1007" t="str">
        <f>Unformatted!F445</f>
        <v/>
      </c>
      <c r="E12" s="1008"/>
      <c r="F12" s="581"/>
      <c r="G12" s="472" t="s">
        <v>1195</v>
      </c>
      <c r="H12" s="1007" t="str">
        <f>Unformatted!F451</f>
        <v/>
      </c>
      <c r="I12" s="1008"/>
      <c r="J12" s="396"/>
      <c r="K12" s="4"/>
      <c r="L12" s="438"/>
      <c r="M12" s="11"/>
      <c r="N12" s="746" t="s">
        <v>1195</v>
      </c>
      <c r="O12" s="86" t="str">
        <f>Unformatted!F457</f>
        <v/>
      </c>
      <c r="P12" s="581"/>
      <c r="Q12" s="581"/>
      <c r="R12" s="396"/>
      <c r="S12" s="746" t="s">
        <v>1153</v>
      </c>
      <c r="T12" s="1007" t="str">
        <f>Unformatted!E102</f>
        <v>N/A</v>
      </c>
      <c r="U12" s="1008"/>
      <c r="V12" s="396"/>
      <c r="W12" s="396"/>
      <c r="X12" s="396"/>
      <c r="Y12" s="396"/>
      <c r="Z12" s="396"/>
      <c r="AA12" s="396"/>
      <c r="AB12" s="396"/>
      <c r="AC12" s="4"/>
      <c r="AH12" s="396"/>
      <c r="AI12" s="396"/>
    </row>
    <row r="13" spans="1:35" ht="5.25" customHeight="1" thickBot="1" x14ac:dyDescent="0.3">
      <c r="B13" s="11"/>
      <c r="C13" s="396"/>
      <c r="D13" s="396"/>
      <c r="E13" s="396"/>
      <c r="F13" s="396"/>
      <c r="J13" s="396"/>
      <c r="K13" s="4"/>
      <c r="L13" s="438"/>
      <c r="M13" s="11"/>
      <c r="N13" s="396"/>
      <c r="O13" s="396"/>
      <c r="P13" s="396"/>
      <c r="Q13" s="396"/>
      <c r="R13" s="396"/>
      <c r="S13" s="396"/>
      <c r="T13" s="396"/>
      <c r="U13" s="396"/>
      <c r="V13" s="396"/>
      <c r="W13" s="396"/>
      <c r="X13" s="396"/>
      <c r="Y13" s="396"/>
      <c r="Z13" s="396"/>
      <c r="AA13" s="396"/>
      <c r="AB13" s="438"/>
      <c r="AC13" s="4"/>
      <c r="AD13" s="396"/>
      <c r="AE13" s="438"/>
      <c r="AF13" s="396"/>
      <c r="AG13" s="396"/>
    </row>
    <row r="14" spans="1:35" ht="18.75" customHeight="1" thickBot="1" x14ac:dyDescent="0.3">
      <c r="B14" s="11"/>
      <c r="C14" s="746" t="s">
        <v>1192</v>
      </c>
      <c r="D14" s="1007" t="str">
        <f>Unformatted!F447</f>
        <v/>
      </c>
      <c r="E14" s="1008"/>
      <c r="F14" s="581"/>
      <c r="G14" s="458" t="s">
        <v>1194</v>
      </c>
      <c r="H14" s="396"/>
      <c r="I14" s="396"/>
      <c r="J14" s="396"/>
      <c r="K14" s="4"/>
      <c r="L14" s="438"/>
      <c r="M14" s="11"/>
      <c r="N14" s="746" t="s">
        <v>1200</v>
      </c>
      <c r="O14" s="86" t="str">
        <f>Unformatted!E103</f>
        <v>N/A</v>
      </c>
      <c r="R14" s="396"/>
      <c r="S14" s="746" t="s">
        <v>1194</v>
      </c>
      <c r="T14" s="396"/>
      <c r="U14" s="396"/>
      <c r="V14" s="396"/>
      <c r="W14" s="396"/>
      <c r="X14" s="396"/>
      <c r="Y14" s="396"/>
      <c r="Z14" s="396"/>
      <c r="AA14" s="396"/>
      <c r="AB14" s="410"/>
      <c r="AC14" s="4"/>
      <c r="AD14" s="396"/>
      <c r="AE14" s="541"/>
      <c r="AF14" s="396"/>
      <c r="AG14" s="396"/>
    </row>
    <row r="15" spans="1:35" ht="18.75" customHeight="1" x14ac:dyDescent="0.25">
      <c r="B15" s="11"/>
      <c r="C15" s="746"/>
      <c r="D15" s="914"/>
      <c r="E15" s="914"/>
      <c r="F15" s="581"/>
      <c r="G15" s="746"/>
      <c r="H15" s="396"/>
      <c r="I15" s="396"/>
      <c r="J15" s="396"/>
      <c r="K15" s="4"/>
      <c r="L15" s="438"/>
      <c r="M15" s="11"/>
      <c r="N15" s="746"/>
      <c r="O15" s="914"/>
      <c r="R15" s="396"/>
      <c r="S15" s="746"/>
      <c r="T15" s="396"/>
      <c r="U15" s="396"/>
      <c r="V15" s="396"/>
      <c r="W15" s="396"/>
      <c r="X15" s="396"/>
      <c r="Y15" s="396"/>
      <c r="Z15" s="396"/>
      <c r="AA15" s="396"/>
      <c r="AB15" s="410"/>
      <c r="AC15" s="4"/>
      <c r="AD15" s="396"/>
      <c r="AE15" s="541"/>
      <c r="AF15" s="396"/>
      <c r="AG15" s="396"/>
    </row>
    <row r="16" spans="1:35" ht="5.25" customHeight="1" thickBot="1" x14ac:dyDescent="0.3">
      <c r="B16" s="11"/>
      <c r="F16" s="396"/>
      <c r="G16" s="396"/>
      <c r="H16" s="396"/>
      <c r="I16" s="396"/>
      <c r="J16" s="396"/>
      <c r="K16" s="4"/>
      <c r="L16" s="438"/>
      <c r="M16" s="11"/>
      <c r="N16" s="396"/>
      <c r="O16" s="410"/>
      <c r="P16" s="410"/>
      <c r="Q16" s="410"/>
      <c r="R16" s="419"/>
      <c r="S16" s="396"/>
      <c r="T16" s="410"/>
      <c r="U16" s="419"/>
      <c r="V16" s="396"/>
      <c r="W16" s="396"/>
      <c r="X16" s="396"/>
      <c r="Y16" s="396"/>
      <c r="Z16" s="396"/>
      <c r="AA16" s="396"/>
      <c r="AB16" s="396"/>
      <c r="AC16" s="4"/>
      <c r="AD16" s="396"/>
      <c r="AE16" s="396"/>
      <c r="AG16" s="396"/>
    </row>
    <row r="17" spans="1:35" ht="18.75" customHeight="1" thickBot="1" x14ac:dyDescent="0.3">
      <c r="B17" s="11"/>
      <c r="C17" s="458" t="s">
        <v>740</v>
      </c>
      <c r="D17" s="1007" t="str">
        <f>Unformatted!F449</f>
        <v/>
      </c>
      <c r="E17" s="1008"/>
      <c r="F17" s="581"/>
      <c r="G17" s="714" t="s">
        <v>1216</v>
      </c>
      <c r="J17" s="396"/>
      <c r="K17" s="4"/>
      <c r="L17" s="438"/>
      <c r="M17" s="1015" t="s">
        <v>1199</v>
      </c>
      <c r="N17" s="1016"/>
      <c r="O17" s="1016"/>
      <c r="P17" s="1016"/>
      <c r="Q17" s="1016"/>
      <c r="R17" s="1016"/>
      <c r="S17" s="1016"/>
      <c r="T17" s="1016"/>
      <c r="U17" s="1016"/>
      <c r="V17" s="1016"/>
      <c r="W17" s="396"/>
      <c r="X17" s="396"/>
      <c r="Y17" s="396"/>
      <c r="Z17" s="396"/>
      <c r="AA17" s="419"/>
      <c r="AB17" s="396"/>
      <c r="AC17" s="4"/>
      <c r="AD17" s="396"/>
      <c r="AE17" s="396"/>
      <c r="AF17" s="396"/>
      <c r="AG17" s="396"/>
    </row>
    <row r="18" spans="1:35" ht="5.25" customHeight="1" x14ac:dyDescent="0.25">
      <c r="B18" s="11"/>
      <c r="C18" s="396"/>
      <c r="D18" s="396"/>
      <c r="E18" s="396"/>
      <c r="F18" s="396"/>
      <c r="G18" s="396"/>
      <c r="H18" s="396"/>
      <c r="I18" s="396"/>
      <c r="J18" s="396"/>
      <c r="K18" s="4"/>
      <c r="L18" s="438"/>
      <c r="M18" s="11"/>
      <c r="N18" s="396"/>
      <c r="O18" s="396"/>
      <c r="P18" s="396"/>
      <c r="Q18" s="396"/>
      <c r="R18" s="405"/>
      <c r="S18" s="396"/>
      <c r="T18" s="396"/>
      <c r="U18" s="396"/>
      <c r="V18" s="396"/>
      <c r="W18" s="396"/>
      <c r="X18" s="396"/>
      <c r="Y18" s="396"/>
      <c r="Z18" s="396"/>
      <c r="AA18" s="396"/>
      <c r="AB18" s="396"/>
      <c r="AC18" s="4"/>
      <c r="AD18" s="396"/>
      <c r="AE18" s="396"/>
      <c r="AF18" s="396"/>
      <c r="AG18" s="396"/>
    </row>
    <row r="19" spans="1:35" ht="18.75" customHeight="1" x14ac:dyDescent="0.35">
      <c r="B19" s="11"/>
      <c r="C19" s="1209" t="s">
        <v>1479</v>
      </c>
      <c r="D19" s="1209"/>
      <c r="E19" s="429"/>
      <c r="F19" s="396"/>
      <c r="G19" s="458" t="s">
        <v>1193</v>
      </c>
      <c r="H19" s="396"/>
      <c r="I19" s="434"/>
      <c r="J19" s="434"/>
      <c r="K19" s="435"/>
      <c r="L19" s="463"/>
      <c r="M19" s="11"/>
      <c r="N19" s="396"/>
      <c r="R19" s="460" t="s">
        <v>1196</v>
      </c>
      <c r="S19" s="396"/>
      <c r="T19" s="396"/>
      <c r="V19" s="396"/>
      <c r="W19" s="396"/>
      <c r="X19" s="396"/>
      <c r="Y19" s="396"/>
      <c r="Z19" s="396"/>
      <c r="AA19" s="396"/>
      <c r="AB19" s="396"/>
      <c r="AC19" s="4"/>
      <c r="AD19" s="396"/>
      <c r="AH19" s="396"/>
      <c r="AI19" s="396"/>
    </row>
    <row r="20" spans="1:35" ht="5.25" customHeight="1" thickBot="1" x14ac:dyDescent="0.4">
      <c r="B20" s="11"/>
      <c r="C20" s="1209"/>
      <c r="D20" s="1209"/>
      <c r="E20" s="396"/>
      <c r="F20" s="396"/>
      <c r="G20" s="434"/>
      <c r="H20" s="434"/>
      <c r="I20" s="434"/>
      <c r="J20" s="434"/>
      <c r="K20" s="435"/>
      <c r="L20" s="463"/>
      <c r="M20" s="11"/>
      <c r="N20" s="396"/>
      <c r="O20" s="444"/>
      <c r="P20" s="444"/>
      <c r="Q20" s="444"/>
      <c r="R20" s="396"/>
      <c r="S20" s="396"/>
      <c r="T20" s="396"/>
      <c r="U20" s="396"/>
      <c r="V20" s="396"/>
      <c r="W20" s="396"/>
      <c r="X20" s="396"/>
      <c r="Y20" s="396"/>
      <c r="Z20" s="396"/>
      <c r="AA20" s="396"/>
      <c r="AB20" s="396"/>
      <c r="AC20" s="4"/>
    </row>
    <row r="21" spans="1:35" ht="18.75" customHeight="1" thickBot="1" x14ac:dyDescent="0.4">
      <c r="B21" s="11"/>
      <c r="C21" s="396"/>
      <c r="D21" s="396"/>
      <c r="E21" s="396"/>
      <c r="F21" s="396"/>
      <c r="G21" s="396"/>
      <c r="H21" s="396"/>
      <c r="I21" s="396"/>
      <c r="J21" s="396"/>
      <c r="K21" s="4"/>
      <c r="L21" s="438"/>
      <c r="M21" s="11"/>
      <c r="O21" s="741" t="s">
        <v>136</v>
      </c>
      <c r="P21" s="741"/>
      <c r="Q21" s="741"/>
      <c r="R21" s="1012" t="str">
        <f>Unformatted!F463</f>
        <v/>
      </c>
      <c r="S21" s="1013"/>
      <c r="T21" s="1013"/>
      <c r="U21" s="1014"/>
      <c r="V21" s="396"/>
      <c r="W21" s="396"/>
      <c r="X21" s="396"/>
      <c r="Y21" s="396"/>
      <c r="Z21" s="396"/>
      <c r="AA21" s="396"/>
      <c r="AB21" s="396"/>
      <c r="AC21" s="4"/>
    </row>
    <row r="22" spans="1:35" ht="5.25" customHeight="1" thickBot="1" x14ac:dyDescent="0.3">
      <c r="B22" s="11"/>
      <c r="C22" s="396"/>
      <c r="D22" s="396"/>
      <c r="E22" s="396"/>
      <c r="F22" s="396"/>
      <c r="G22" s="396"/>
      <c r="H22" s="396"/>
      <c r="I22" s="396"/>
      <c r="J22" s="396"/>
      <c r="K22" s="4"/>
      <c r="L22" s="438"/>
      <c r="M22" s="11"/>
      <c r="P22" s="396"/>
      <c r="Q22" s="396"/>
      <c r="V22" s="396"/>
      <c r="W22" s="396"/>
      <c r="X22" s="396"/>
      <c r="Y22" s="396"/>
      <c r="Z22" s="396"/>
      <c r="AA22" s="396"/>
      <c r="AB22" s="396"/>
      <c r="AC22" s="4"/>
    </row>
    <row r="23" spans="1:35" ht="18.75" customHeight="1" thickBot="1" x14ac:dyDescent="0.3">
      <c r="B23" s="11"/>
      <c r="C23" s="396"/>
      <c r="D23" s="410"/>
      <c r="E23" s="396"/>
      <c r="F23" s="396"/>
      <c r="G23" s="396"/>
      <c r="H23" s="396"/>
      <c r="I23" s="396"/>
      <c r="J23" s="396"/>
      <c r="K23" s="4"/>
      <c r="L23" s="438"/>
      <c r="M23" s="11"/>
      <c r="N23" s="746" t="s">
        <v>1195</v>
      </c>
      <c r="O23" s="86" t="str">
        <f>Unformatted!F464</f>
        <v/>
      </c>
      <c r="P23" s="581"/>
      <c r="Q23" s="581"/>
      <c r="R23" s="396"/>
      <c r="S23" s="746" t="s">
        <v>1153</v>
      </c>
      <c r="T23" s="1007" t="str">
        <f>Unformatted!F465</f>
        <v/>
      </c>
      <c r="U23" s="1008"/>
      <c r="V23" s="396"/>
      <c r="W23" s="396"/>
      <c r="X23" s="396"/>
      <c r="Y23" s="396"/>
      <c r="Z23" s="396"/>
      <c r="AA23" s="396"/>
      <c r="AB23" s="396"/>
      <c r="AC23" s="4"/>
    </row>
    <row r="24" spans="1:35" ht="5.25" customHeight="1" thickBot="1" x14ac:dyDescent="0.3">
      <c r="B24" s="11"/>
      <c r="C24" s="396"/>
      <c r="D24" s="409"/>
      <c r="E24" s="419"/>
      <c r="F24" s="419"/>
      <c r="G24" s="396"/>
      <c r="H24" s="396"/>
      <c r="I24" s="396"/>
      <c r="J24" s="396"/>
      <c r="K24" s="4"/>
      <c r="L24" s="438"/>
      <c r="M24" s="11"/>
      <c r="N24" s="396"/>
      <c r="O24" s="396"/>
      <c r="P24" s="396"/>
      <c r="Q24" s="396"/>
      <c r="R24" s="396"/>
      <c r="S24" s="396"/>
      <c r="T24" s="396"/>
      <c r="U24" s="396"/>
      <c r="V24" s="396"/>
      <c r="W24" s="396"/>
      <c r="X24" s="396"/>
      <c r="Y24" s="396"/>
      <c r="Z24" s="396"/>
      <c r="AA24" s="396"/>
      <c r="AB24" s="396"/>
      <c r="AC24" s="4"/>
    </row>
    <row r="25" spans="1:35" ht="18.75" customHeight="1" thickBot="1" x14ac:dyDescent="0.3">
      <c r="B25" s="479"/>
      <c r="C25" s="440"/>
      <c r="D25" s="440"/>
      <c r="E25" s="440"/>
      <c r="F25" s="440"/>
      <c r="G25" s="440"/>
      <c r="H25" s="440"/>
      <c r="I25" s="440"/>
      <c r="J25" s="440"/>
      <c r="K25" s="480"/>
      <c r="L25" s="438"/>
      <c r="M25" s="11"/>
      <c r="N25" s="746" t="s">
        <v>1200</v>
      </c>
      <c r="O25" s="86" t="str">
        <f>Unformatted!F466</f>
        <v/>
      </c>
      <c r="R25" s="396"/>
      <c r="S25" s="746" t="s">
        <v>1194</v>
      </c>
      <c r="T25" s="396"/>
      <c r="U25" s="396"/>
      <c r="V25" s="396"/>
      <c r="W25" s="396"/>
      <c r="X25" s="396"/>
      <c r="Y25" s="396"/>
      <c r="Z25" s="396"/>
      <c r="AA25" s="396"/>
      <c r="AB25" s="396"/>
      <c r="AC25" s="4"/>
    </row>
    <row r="26" spans="1:35" ht="11.25" customHeight="1" thickBot="1" x14ac:dyDescent="0.35">
      <c r="A26" s="396"/>
      <c r="B26" s="473"/>
      <c r="C26" s="474"/>
      <c r="D26" s="474"/>
      <c r="E26" s="474"/>
      <c r="F26" s="474"/>
      <c r="G26" s="474"/>
      <c r="H26" s="474"/>
      <c r="I26" s="474"/>
      <c r="J26" s="474"/>
      <c r="K26" s="475"/>
      <c r="L26" s="438"/>
      <c r="M26" s="12"/>
      <c r="N26" s="5"/>
      <c r="O26" s="471"/>
      <c r="P26" s="471"/>
      <c r="Q26" s="471"/>
      <c r="R26" s="471"/>
      <c r="S26" s="471"/>
      <c r="T26" s="471"/>
      <c r="U26" s="471"/>
      <c r="V26" s="471"/>
      <c r="W26" s="5"/>
      <c r="X26" s="5"/>
      <c r="Y26" s="5"/>
      <c r="Z26" s="5"/>
      <c r="AA26" s="5"/>
      <c r="AB26" s="5"/>
      <c r="AC26" s="6"/>
    </row>
    <row r="27" spans="1:35" ht="5.25" customHeight="1" thickBot="1" x14ac:dyDescent="0.35">
      <c r="A27" s="396"/>
      <c r="B27" s="440"/>
      <c r="C27" s="440"/>
      <c r="D27" s="440"/>
      <c r="E27" s="440"/>
      <c r="F27" s="440"/>
      <c r="G27" s="440"/>
      <c r="H27" s="440"/>
      <c r="I27" s="440"/>
      <c r="J27" s="440"/>
      <c r="K27" s="440"/>
      <c r="L27" s="438"/>
      <c r="M27" s="396"/>
      <c r="N27" s="396"/>
      <c r="O27" s="426"/>
      <c r="P27" s="426"/>
      <c r="Q27" s="426"/>
      <c r="R27" s="426"/>
      <c r="S27" s="426"/>
      <c r="T27" s="426"/>
      <c r="U27" s="426"/>
      <c r="V27" s="426"/>
      <c r="W27" s="396"/>
      <c r="X27" s="396"/>
      <c r="Y27" s="396"/>
      <c r="Z27" s="396"/>
      <c r="AA27" s="396"/>
      <c r="AB27" s="396"/>
      <c r="AC27" s="396"/>
    </row>
    <row r="28" spans="1:35" ht="24" thickBot="1" x14ac:dyDescent="0.4">
      <c r="B28" s="962" t="s">
        <v>1197</v>
      </c>
      <c r="C28" s="963"/>
      <c r="D28" s="963"/>
      <c r="E28" s="963"/>
      <c r="F28" s="963"/>
      <c r="G28" s="963"/>
      <c r="H28" s="963"/>
      <c r="I28" s="963"/>
      <c r="J28" s="963"/>
      <c r="K28" s="963"/>
      <c r="L28" s="963"/>
      <c r="M28" s="963"/>
      <c r="N28" s="963"/>
      <c r="O28" s="963"/>
      <c r="P28" s="964"/>
      <c r="Q28" s="776"/>
      <c r="R28" s="962" t="s">
        <v>1541</v>
      </c>
      <c r="S28" s="963"/>
      <c r="T28" s="963"/>
      <c r="U28" s="963"/>
      <c r="V28" s="963"/>
      <c r="W28" s="963"/>
      <c r="X28" s="777" t="s">
        <v>177</v>
      </c>
      <c r="Y28" s="778" t="s">
        <v>178</v>
      </c>
      <c r="Z28" s="481"/>
      <c r="AA28" s="1265" t="s">
        <v>746</v>
      </c>
      <c r="AB28" s="1266"/>
      <c r="AC28" s="1267"/>
    </row>
    <row r="29" spans="1:35" ht="5.25" customHeight="1" x14ac:dyDescent="0.25">
      <c r="B29" s="476"/>
      <c r="C29" s="477"/>
      <c r="D29" s="477"/>
      <c r="E29" s="477"/>
      <c r="F29" s="477"/>
      <c r="G29" s="477"/>
      <c r="H29" s="477"/>
      <c r="I29" s="477"/>
      <c r="J29" s="477"/>
      <c r="K29" s="477"/>
      <c r="L29" s="477"/>
      <c r="M29" s="477"/>
      <c r="N29" s="477"/>
      <c r="O29" s="477"/>
      <c r="P29" s="478"/>
      <c r="Q29" s="477"/>
      <c r="R29" s="477"/>
      <c r="S29" s="477"/>
      <c r="T29" s="477"/>
      <c r="U29" s="477"/>
      <c r="V29" s="477"/>
      <c r="W29" s="438"/>
      <c r="X29" s="438"/>
      <c r="Y29" s="438"/>
      <c r="Z29" s="438"/>
      <c r="AA29" s="438"/>
      <c r="AB29" s="438"/>
    </row>
    <row r="30" spans="1:35" ht="18.75" customHeight="1" x14ac:dyDescent="0.25">
      <c r="B30" s="470"/>
      <c r="C30" s="730"/>
      <c r="E30" s="460" t="s">
        <v>1196</v>
      </c>
      <c r="F30" s="396"/>
      <c r="J30" s="396"/>
      <c r="K30" s="454" t="s">
        <v>1202</v>
      </c>
      <c r="L30" s="438"/>
      <c r="M30" s="396"/>
      <c r="N30" s="396"/>
      <c r="O30" s="673"/>
      <c r="P30" s="132"/>
      <c r="Q30" s="410"/>
      <c r="R30" s="482" t="s">
        <v>1538</v>
      </c>
      <c r="S30" s="482"/>
      <c r="T30" s="482"/>
      <c r="U30" s="482"/>
      <c r="V30" s="482"/>
      <c r="W30" s="482"/>
      <c r="X30" s="396"/>
      <c r="Y30" s="396"/>
      <c r="AA30" s="1269"/>
      <c r="AB30" s="1270"/>
      <c r="AC30" s="1271"/>
    </row>
    <row r="31" spans="1:35" ht="5.25" customHeight="1" thickBot="1" x14ac:dyDescent="0.3">
      <c r="B31" s="470"/>
      <c r="C31" s="396"/>
      <c r="D31" s="444"/>
      <c r="E31" s="396"/>
      <c r="F31" s="396"/>
      <c r="G31" s="396"/>
      <c r="H31" s="396"/>
      <c r="I31" s="396"/>
      <c r="J31" s="396"/>
      <c r="K31" s="396"/>
      <c r="L31" s="438"/>
      <c r="M31" s="396"/>
      <c r="N31" s="396"/>
      <c r="O31" s="442"/>
      <c r="P31" s="774"/>
      <c r="Q31" s="442"/>
      <c r="R31" s="396"/>
      <c r="S31" s="396"/>
      <c r="T31" s="396"/>
      <c r="U31" s="396"/>
      <c r="V31" s="396"/>
      <c r="W31" s="396"/>
      <c r="X31" s="396"/>
      <c r="Y31" s="396"/>
      <c r="AA31" s="396"/>
      <c r="AB31" s="405"/>
      <c r="AC31" s="405"/>
      <c r="AD31" s="405"/>
    </row>
    <row r="32" spans="1:35" ht="18.75" customHeight="1" thickBot="1" x14ac:dyDescent="0.4">
      <c r="B32" s="470"/>
      <c r="D32" s="741" t="s">
        <v>1204</v>
      </c>
      <c r="E32" s="1012" t="str">
        <f>Unformatted!F472</f>
        <v/>
      </c>
      <c r="F32" s="1013"/>
      <c r="G32" s="1013"/>
      <c r="H32" s="1013"/>
      <c r="I32" s="1014"/>
      <c r="J32" s="396"/>
      <c r="K32" s="396"/>
      <c r="L32" s="438"/>
      <c r="M32" s="396"/>
      <c r="N32" s="396"/>
      <c r="O32" s="410"/>
      <c r="P32" s="132"/>
      <c r="Q32" s="410"/>
      <c r="R32" s="482" t="s">
        <v>1539</v>
      </c>
      <c r="S32" s="482"/>
      <c r="T32" s="482"/>
      <c r="U32" s="482"/>
      <c r="V32" s="482"/>
      <c r="W32" s="482"/>
      <c r="X32" s="396"/>
      <c r="Y32" s="396"/>
      <c r="AA32" s="1269"/>
      <c r="AB32" s="1270"/>
      <c r="AC32" s="1271"/>
    </row>
    <row r="33" spans="2:32" ht="5.25" customHeight="1" thickBot="1" x14ac:dyDescent="0.3">
      <c r="B33" s="11"/>
      <c r="C33" s="396"/>
      <c r="D33" s="396"/>
      <c r="E33" s="396"/>
      <c r="F33" s="396"/>
      <c r="J33" s="396"/>
      <c r="K33" s="396"/>
      <c r="L33" s="438"/>
      <c r="M33" s="396"/>
      <c r="N33" s="396"/>
      <c r="O33" s="396"/>
      <c r="P33" s="4"/>
      <c r="Q33" s="396"/>
      <c r="R33" s="396"/>
      <c r="S33" s="396"/>
      <c r="T33" s="396"/>
      <c r="U33" s="396"/>
      <c r="V33" s="396"/>
      <c r="W33" s="396"/>
      <c r="X33" s="396"/>
      <c r="Y33" s="396"/>
      <c r="AA33" s="396"/>
      <c r="AB33" s="396"/>
      <c r="AC33" s="396"/>
      <c r="AD33" s="396"/>
    </row>
    <row r="34" spans="2:32" ht="18.75" customHeight="1" thickBot="1" x14ac:dyDescent="0.3">
      <c r="B34" s="11"/>
      <c r="C34" s="746" t="s">
        <v>1201</v>
      </c>
      <c r="D34" s="396"/>
      <c r="E34" s="396"/>
      <c r="F34" s="396"/>
      <c r="G34" s="746" t="s">
        <v>1153</v>
      </c>
      <c r="H34" s="1007" t="str">
        <f>Unformatted!F474</f>
        <v/>
      </c>
      <c r="I34" s="1008"/>
      <c r="J34" s="396"/>
      <c r="K34" s="396"/>
      <c r="L34" s="438"/>
      <c r="M34" s="396"/>
      <c r="N34" s="396"/>
      <c r="O34" s="469"/>
      <c r="P34" s="775"/>
      <c r="Q34" s="469"/>
      <c r="R34" s="482" t="s">
        <v>1540</v>
      </c>
      <c r="S34" s="482"/>
      <c r="T34" s="482"/>
      <c r="U34" s="482"/>
      <c r="V34" s="482"/>
      <c r="W34" s="482"/>
      <c r="X34" s="396"/>
      <c r="Y34" s="396"/>
      <c r="AA34" s="1269"/>
      <c r="AB34" s="1270"/>
      <c r="AC34" s="1271"/>
    </row>
    <row r="35" spans="2:32" ht="5.25" customHeight="1" thickBot="1" x14ac:dyDescent="0.3">
      <c r="B35" s="11"/>
      <c r="E35" s="396"/>
      <c r="F35" s="396"/>
      <c r="G35" s="396"/>
      <c r="H35" s="396"/>
      <c r="I35" s="396"/>
      <c r="J35" s="396"/>
      <c r="K35" s="396"/>
      <c r="L35" s="438"/>
      <c r="M35" s="396"/>
      <c r="N35" s="396"/>
      <c r="O35" s="396"/>
      <c r="P35" s="4"/>
      <c r="Q35" s="396"/>
      <c r="R35" s="396"/>
      <c r="S35" s="396"/>
      <c r="T35" s="396"/>
      <c r="U35" s="396"/>
      <c r="V35" s="396"/>
      <c r="W35" s="396"/>
      <c r="X35" s="396"/>
      <c r="Y35" s="396"/>
      <c r="Z35" s="396"/>
      <c r="AA35" s="396"/>
      <c r="AB35" s="396"/>
      <c r="AC35" s="396"/>
      <c r="AD35" s="396"/>
    </row>
    <row r="36" spans="2:32" ht="18.75" customHeight="1" thickBot="1" x14ac:dyDescent="0.3">
      <c r="B36" s="11"/>
      <c r="C36" s="746" t="s">
        <v>1195</v>
      </c>
      <c r="D36" s="86" t="str">
        <f>Unformatted!F473</f>
        <v/>
      </c>
      <c r="E36" s="396"/>
      <c r="F36" s="396"/>
      <c r="G36" s="746" t="s">
        <v>1194</v>
      </c>
      <c r="H36" s="396"/>
      <c r="I36" s="396"/>
      <c r="J36" s="396"/>
      <c r="K36" s="396"/>
      <c r="L36" s="438"/>
      <c r="M36" s="396"/>
      <c r="N36" s="396"/>
      <c r="O36" s="396"/>
      <c r="P36" s="4"/>
      <c r="Q36" s="396"/>
      <c r="R36" s="482"/>
      <c r="S36" s="396"/>
      <c r="T36" s="396"/>
      <c r="U36" s="396"/>
      <c r="V36" s="396"/>
      <c r="W36" s="396"/>
      <c r="X36" s="396"/>
      <c r="Y36" s="396"/>
      <c r="Z36" s="396"/>
      <c r="AA36" s="396"/>
    </row>
    <row r="37" spans="2:32" ht="5.25" customHeight="1" thickBot="1" x14ac:dyDescent="0.3">
      <c r="B37" s="11"/>
      <c r="C37" s="396"/>
      <c r="D37" s="396"/>
      <c r="E37" s="396"/>
      <c r="F37" s="396"/>
      <c r="G37" s="396"/>
      <c r="H37" s="396"/>
      <c r="I37" s="396"/>
      <c r="J37" s="396"/>
      <c r="K37" s="396"/>
      <c r="L37" s="438"/>
      <c r="M37" s="396"/>
      <c r="N37" s="396"/>
      <c r="O37" s="410"/>
      <c r="P37" s="132"/>
      <c r="Q37" s="410"/>
      <c r="R37" s="396"/>
      <c r="S37" s="396"/>
      <c r="T37" s="396"/>
      <c r="U37" s="396"/>
      <c r="V37" s="396"/>
      <c r="W37" s="396"/>
      <c r="X37" s="396"/>
      <c r="Y37" s="396"/>
      <c r="Z37" s="396"/>
      <c r="AA37" s="396"/>
      <c r="AB37" s="396"/>
      <c r="AC37" s="396"/>
      <c r="AD37" s="396"/>
    </row>
    <row r="38" spans="2:32" ht="18.75" customHeight="1" thickBot="1" x14ac:dyDescent="0.3">
      <c r="B38" s="11"/>
      <c r="C38" s="746" t="s">
        <v>1200</v>
      </c>
      <c r="D38" s="86" t="str">
        <f>Unformatted!F475</f>
        <v/>
      </c>
      <c r="E38" s="396"/>
      <c r="F38" s="396"/>
      <c r="I38" s="396"/>
      <c r="J38" s="396"/>
      <c r="K38" s="396"/>
      <c r="L38" s="438"/>
      <c r="M38" s="396"/>
      <c r="N38" s="396"/>
      <c r="O38" s="410"/>
      <c r="P38" s="132"/>
      <c r="Q38" s="410"/>
      <c r="R38" s="396"/>
      <c r="S38" s="396"/>
      <c r="T38" s="396"/>
      <c r="U38" s="396"/>
      <c r="V38" s="396"/>
      <c r="W38" s="396"/>
      <c r="X38" s="396"/>
      <c r="Y38" s="396"/>
      <c r="Z38" s="396"/>
      <c r="AA38" s="396"/>
      <c r="AB38" s="396"/>
      <c r="AC38" s="396"/>
      <c r="AD38" s="396"/>
    </row>
    <row r="39" spans="2:32" ht="18.75" customHeight="1" thickBot="1" x14ac:dyDescent="0.3">
      <c r="B39" s="12"/>
      <c r="C39" s="5"/>
      <c r="D39" s="5"/>
      <c r="E39" s="5"/>
      <c r="F39" s="5"/>
      <c r="G39" s="5"/>
      <c r="H39" s="5"/>
      <c r="I39" s="5"/>
      <c r="J39" s="5"/>
      <c r="K39" s="5"/>
      <c r="L39" s="466"/>
      <c r="M39" s="5"/>
      <c r="N39" s="5"/>
      <c r="O39" s="41"/>
      <c r="P39" s="152"/>
      <c r="Q39" s="410"/>
      <c r="R39" s="482"/>
      <c r="S39" s="396"/>
      <c r="T39" s="396"/>
      <c r="U39" s="396"/>
      <c r="V39" s="396"/>
      <c r="W39" s="396"/>
      <c r="X39" s="396"/>
      <c r="Y39" s="396"/>
      <c r="Z39" s="396"/>
      <c r="AA39" s="396"/>
      <c r="AD39" s="917"/>
      <c r="AE39" s="773"/>
      <c r="AF39" s="773"/>
    </row>
    <row r="40" spans="2:32" x14ac:dyDescent="0.25">
      <c r="R40" s="396"/>
      <c r="S40" s="396"/>
      <c r="T40" s="396"/>
      <c r="U40" s="396"/>
      <c r="V40" s="396"/>
      <c r="W40" s="396"/>
      <c r="X40" s="396"/>
      <c r="Y40" s="396"/>
      <c r="Z40" s="396"/>
      <c r="AA40" s="396"/>
      <c r="AB40" s="396"/>
      <c r="AC40" s="396"/>
      <c r="AD40" s="396"/>
      <c r="AE40" s="396"/>
      <c r="AF40" s="396"/>
    </row>
    <row r="41" spans="2:32" ht="15.75" x14ac:dyDescent="0.25">
      <c r="R41" s="482"/>
      <c r="S41" s="482"/>
      <c r="T41" s="482"/>
      <c r="U41" s="482"/>
      <c r="V41" s="482"/>
      <c r="W41" s="482"/>
      <c r="X41" s="482"/>
      <c r="Y41" s="396"/>
      <c r="Z41" s="396"/>
      <c r="AA41" s="396"/>
      <c r="AD41" s="773"/>
      <c r="AE41" s="773"/>
      <c r="AF41" s="773"/>
    </row>
    <row r="42" spans="2:32" x14ac:dyDescent="0.25">
      <c r="R42" s="396"/>
      <c r="S42" s="396"/>
      <c r="T42" s="396"/>
      <c r="U42" s="396"/>
      <c r="V42" s="396"/>
      <c r="W42" s="396"/>
      <c r="X42" s="396"/>
      <c r="Y42" s="396"/>
      <c r="Z42" s="396"/>
      <c r="AA42" s="396"/>
      <c r="AB42" s="396"/>
      <c r="AC42" s="396"/>
      <c r="AD42" s="396"/>
      <c r="AE42" s="396"/>
      <c r="AF42" s="396"/>
    </row>
    <row r="43" spans="2:32" ht="15.75" x14ac:dyDescent="0.25">
      <c r="R43" s="1268"/>
      <c r="S43" s="1268"/>
      <c r="T43" s="1268"/>
      <c r="U43" s="1268"/>
      <c r="V43" s="1268"/>
      <c r="W43" s="1268"/>
      <c r="X43" s="1268"/>
      <c r="Y43" s="396"/>
      <c r="Z43" s="396"/>
      <c r="AA43" s="396"/>
      <c r="AD43" s="773"/>
      <c r="AE43" s="773"/>
      <c r="AF43" s="773"/>
    </row>
  </sheetData>
  <sheetProtection sheet="1" selectLockedCells="1"/>
  <mergeCells count="25">
    <mergeCell ref="AA28:AC28"/>
    <mergeCell ref="R28:W28"/>
    <mergeCell ref="M4:AC4"/>
    <mergeCell ref="R43:X43"/>
    <mergeCell ref="AA32:AC32"/>
    <mergeCell ref="AA30:AC30"/>
    <mergeCell ref="AA34:AC34"/>
    <mergeCell ref="R21:U21"/>
    <mergeCell ref="T23:U23"/>
    <mergeCell ref="H34:I34"/>
    <mergeCell ref="B28:P28"/>
    <mergeCell ref="T12:U12"/>
    <mergeCell ref="D12:E12"/>
    <mergeCell ref="D17:E17"/>
    <mergeCell ref="H12:I12"/>
    <mergeCell ref="M17:V17"/>
    <mergeCell ref="C19:D20"/>
    <mergeCell ref="D14:E14"/>
    <mergeCell ref="E32:I32"/>
    <mergeCell ref="B4:K4"/>
    <mergeCell ref="G8:J8"/>
    <mergeCell ref="M6:V6"/>
    <mergeCell ref="D10:E10"/>
    <mergeCell ref="H10:I10"/>
    <mergeCell ref="R10:U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4272" r:id="rId3" name="TextBox3">
          <controlPr locked="0" defaultSize="0" autoLine="0" autoPict="0" linkedCell="Unformatted!E479" r:id="rId4">
            <anchor moveWithCells="1">
              <from>
                <xdr:col>10</xdr:col>
                <xdr:colOff>0</xdr:colOff>
                <xdr:row>30</xdr:row>
                <xdr:rowOff>0</xdr:rowOff>
              </from>
              <to>
                <xdr:col>15</xdr:col>
                <xdr:colOff>0</xdr:colOff>
                <xdr:row>38</xdr:row>
                <xdr:rowOff>152400</xdr:rowOff>
              </to>
            </anchor>
          </controlPr>
        </control>
      </mc:Choice>
      <mc:Fallback>
        <control shapeId="224272" r:id="rId3" name="TextBox3"/>
      </mc:Fallback>
    </mc:AlternateContent>
    <mc:AlternateContent xmlns:mc="http://schemas.openxmlformats.org/markup-compatibility/2006">
      <mc:Choice Requires="x14">
        <control shapeId="224271" r:id="rId5" name="TextBox1">
          <controlPr locked="0" defaultSize="0" autoLine="0" autoPict="0" linkedCell="Unformatted!E469" r:id="rId6">
            <anchor moveWithCells="1">
              <from>
                <xdr:col>21</xdr:col>
                <xdr:colOff>190500</xdr:colOff>
                <xdr:row>5</xdr:row>
                <xdr:rowOff>9525</xdr:rowOff>
              </from>
              <to>
                <xdr:col>28</xdr:col>
                <xdr:colOff>542925</xdr:colOff>
                <xdr:row>25</xdr:row>
                <xdr:rowOff>76200</xdr:rowOff>
              </to>
            </anchor>
          </controlPr>
        </control>
      </mc:Choice>
      <mc:Fallback>
        <control shapeId="224271" r:id="rId5" name="TextBox1"/>
      </mc:Fallback>
    </mc:AlternateContent>
    <mc:AlternateContent xmlns:mc="http://schemas.openxmlformats.org/markup-compatibility/2006">
      <mc:Choice Requires="x14">
        <control shapeId="224258" r:id="rId7" name="TextBox2">
          <controlPr locked="0" defaultSize="0" autoLine="0" autoPict="0" linkedCell="Unformatted!E453" r:id="rId8">
            <anchor moveWithCells="1">
              <from>
                <xdr:col>2</xdr:col>
                <xdr:colOff>0</xdr:colOff>
                <xdr:row>19</xdr:row>
                <xdr:rowOff>57150</xdr:rowOff>
              </from>
              <to>
                <xdr:col>10</xdr:col>
                <xdr:colOff>95250</xdr:colOff>
                <xdr:row>24</xdr:row>
                <xdr:rowOff>228600</xdr:rowOff>
              </to>
            </anchor>
          </controlPr>
        </control>
      </mc:Choice>
      <mc:Fallback>
        <control shapeId="224258" r:id="rId7" name="TextBox2"/>
      </mc:Fallback>
    </mc:AlternateContent>
    <mc:AlternateContent xmlns:mc="http://schemas.openxmlformats.org/markup-compatibility/2006">
      <mc:Choice Requires="x14">
        <control shapeId="224259" r:id="rId9" name="Drop Down 3">
          <controlPr defaultSize="0" autoLine="0" autoPict="0">
            <anchor moveWithCells="1">
              <from>
                <xdr:col>7</xdr:col>
                <xdr:colOff>9525</xdr:colOff>
                <xdr:row>13</xdr:row>
                <xdr:rowOff>9525</xdr:rowOff>
              </from>
              <to>
                <xdr:col>8</xdr:col>
                <xdr:colOff>238125</xdr:colOff>
                <xdr:row>13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60" r:id="rId10" name="Drop Down 4">
          <controlPr defaultSize="0" autoLine="0" autoPict="0">
            <anchor moveWithCells="1">
              <from>
                <xdr:col>18</xdr:col>
                <xdr:colOff>0</xdr:colOff>
                <xdr:row>6</xdr:row>
                <xdr:rowOff>57150</xdr:rowOff>
              </from>
              <to>
                <xdr:col>19</xdr:col>
                <xdr:colOff>552450</xdr:colOff>
                <xdr:row>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61" r:id="rId11" name="Drop Down 5">
          <controlPr defaultSize="0" autoLine="0" autoPict="0">
            <anchor moveWithCells="1">
              <from>
                <xdr:col>19</xdr:col>
                <xdr:colOff>9525</xdr:colOff>
                <xdr:row>13</xdr:row>
                <xdr:rowOff>9525</xdr:rowOff>
              </from>
              <to>
                <xdr:col>20</xdr:col>
                <xdr:colOff>238125</xdr:colOff>
                <xdr:row>13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62" r:id="rId12" name="Drop Down 6">
          <controlPr defaultSize="0" autoLine="0" autoPict="0">
            <anchor moveWithCells="1">
              <from>
                <xdr:col>18</xdr:col>
                <xdr:colOff>0</xdr:colOff>
                <xdr:row>17</xdr:row>
                <xdr:rowOff>57150</xdr:rowOff>
              </from>
              <to>
                <xdr:col>19</xdr:col>
                <xdr:colOff>552450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63" r:id="rId13" name="Drop Down 7">
          <controlPr defaultSize="0" autoLine="0" autoPict="0">
            <anchor moveWithCells="1">
              <from>
                <xdr:col>19</xdr:col>
                <xdr:colOff>9525</xdr:colOff>
                <xdr:row>24</xdr:row>
                <xdr:rowOff>9525</xdr:rowOff>
              </from>
              <to>
                <xdr:col>20</xdr:col>
                <xdr:colOff>219075</xdr:colOff>
                <xdr:row>24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64" r:id="rId14" name="Drop Down 8">
          <controlPr defaultSize="0" autoLine="0" autoPict="0">
            <anchor moveWithCells="1">
              <from>
                <xdr:col>2</xdr:col>
                <xdr:colOff>828675</xdr:colOff>
                <xdr:row>33</xdr:row>
                <xdr:rowOff>38100</xdr:rowOff>
              </from>
              <to>
                <xdr:col>4</xdr:col>
                <xdr:colOff>390525</xdr:colOff>
                <xdr:row>34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65" r:id="rId15" name="Drop Down 9">
          <controlPr defaultSize="0" autoLine="0" autoPict="0">
            <anchor moveWithCells="1">
              <from>
                <xdr:col>7</xdr:col>
                <xdr:colOff>9525</xdr:colOff>
                <xdr:row>35</xdr:row>
                <xdr:rowOff>9525</xdr:rowOff>
              </from>
              <to>
                <xdr:col>8</xdr:col>
                <xdr:colOff>161925</xdr:colOff>
                <xdr:row>35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66" r:id="rId16" name="Drop Down 10">
          <controlPr defaultSize="0" autoLine="0" autoPict="0">
            <anchor moveWithCells="1">
              <from>
                <xdr:col>7</xdr:col>
                <xdr:colOff>9525</xdr:colOff>
                <xdr:row>18</xdr:row>
                <xdr:rowOff>9525</xdr:rowOff>
              </from>
              <to>
                <xdr:col>8</xdr:col>
                <xdr:colOff>114300</xdr:colOff>
                <xdr:row>18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67" r:id="rId17" name="Drop Down 11">
          <controlPr defaultSize="0" autoLine="0" autoPict="0">
            <anchor moveWithCells="1">
              <from>
                <xdr:col>5</xdr:col>
                <xdr:colOff>0</xdr:colOff>
                <xdr:row>29</xdr:row>
                <xdr:rowOff>9525</xdr:rowOff>
              </from>
              <to>
                <xdr:col>7</xdr:col>
                <xdr:colOff>38100</xdr:colOff>
                <xdr:row>29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68" r:id="rId18" name="Group Box 12">
          <controlPr defaultSize="0" autoFill="0" autoPict="0">
            <anchor moveWithCells="1">
              <from>
                <xdr:col>12</xdr:col>
                <xdr:colOff>57150</xdr:colOff>
                <xdr:row>4</xdr:row>
                <xdr:rowOff>66675</xdr:rowOff>
              </from>
              <to>
                <xdr:col>21</xdr:col>
                <xdr:colOff>85725</xdr:colOff>
                <xdr:row>25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70" r:id="rId19" name="Drop Down 14">
          <controlPr defaultSize="0" autoLine="0" autoPict="0">
            <anchor moveWithCells="1">
              <from>
                <xdr:col>7</xdr:col>
                <xdr:colOff>9525</xdr:colOff>
                <xdr:row>16</xdr:row>
                <xdr:rowOff>9525</xdr:rowOff>
              </from>
              <to>
                <xdr:col>8</xdr:col>
                <xdr:colOff>114300</xdr:colOff>
                <xdr:row>16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73" r:id="rId20" name="Group Box 17">
          <controlPr defaultSize="0" autoFill="0" autoPict="0">
            <anchor moveWithCells="1">
              <from>
                <xdr:col>13</xdr:col>
                <xdr:colOff>228600</xdr:colOff>
                <xdr:row>4</xdr:row>
                <xdr:rowOff>180975</xdr:rowOff>
              </from>
              <to>
                <xdr:col>14</xdr:col>
                <xdr:colOff>476250</xdr:colOff>
                <xdr:row>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74" r:id="rId21" name="Option Button 18">
          <controlPr defaultSize="0" autoFill="0" autoLine="0" autoPict="0">
            <anchor moveWithCells="1">
              <from>
                <xdr:col>13</xdr:col>
                <xdr:colOff>257175</xdr:colOff>
                <xdr:row>5</xdr:row>
                <xdr:rowOff>9525</xdr:rowOff>
              </from>
              <to>
                <xdr:col>14</xdr:col>
                <xdr:colOff>47625</xdr:colOff>
                <xdr:row>5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75" r:id="rId22" name="Option Button 19">
          <controlPr defaultSize="0" autoFill="0" autoLine="0" autoPict="0">
            <anchor moveWithCells="1">
              <from>
                <xdr:col>14</xdr:col>
                <xdr:colOff>47625</xdr:colOff>
                <xdr:row>5</xdr:row>
                <xdr:rowOff>9525</xdr:rowOff>
              </from>
              <to>
                <xdr:col>14</xdr:col>
                <xdr:colOff>457200</xdr:colOff>
                <xdr:row>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76" r:id="rId23" name="Group Box 20">
          <controlPr defaultSize="0" autoFill="0" autoPict="0">
            <anchor moveWithCells="1">
              <from>
                <xdr:col>13</xdr:col>
                <xdr:colOff>247650</xdr:colOff>
                <xdr:row>16</xdr:row>
                <xdr:rowOff>76200</xdr:rowOff>
              </from>
              <to>
                <xdr:col>14</xdr:col>
                <xdr:colOff>495300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77" r:id="rId24" name="Option Button 21">
          <controlPr defaultSize="0" autoFill="0" autoLine="0" autoPict="0">
            <anchor moveWithCells="1">
              <from>
                <xdr:col>13</xdr:col>
                <xdr:colOff>276225</xdr:colOff>
                <xdr:row>16</xdr:row>
                <xdr:rowOff>104775</xdr:rowOff>
              </from>
              <to>
                <xdr:col>14</xdr:col>
                <xdr:colOff>66675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78" r:id="rId25" name="Option Button 22">
          <controlPr defaultSize="0" autoFill="0" autoLine="0" autoPict="0">
            <anchor moveWithCells="1">
              <from>
                <xdr:col>14</xdr:col>
                <xdr:colOff>66675</xdr:colOff>
                <xdr:row>16</xdr:row>
                <xdr:rowOff>104775</xdr:rowOff>
              </from>
              <to>
                <xdr:col>14</xdr:col>
                <xdr:colOff>476250</xdr:colOff>
                <xdr:row>18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79" r:id="rId26" name="Group Box 23">
          <controlPr defaultSize="0" autoFill="0" autoPict="0">
            <anchor moveWithCells="1">
              <from>
                <xdr:col>1</xdr:col>
                <xdr:colOff>38100</xdr:colOff>
                <xdr:row>28</xdr:row>
                <xdr:rowOff>38100</xdr:rowOff>
              </from>
              <to>
                <xdr:col>2</xdr:col>
                <xdr:colOff>800100</xdr:colOff>
                <xdr:row>29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80" r:id="rId27" name="Option Button 24">
          <controlPr defaultSize="0" autoFill="0" autoLine="0" autoPict="0">
            <anchor moveWithCells="1">
              <from>
                <xdr:col>1</xdr:col>
                <xdr:colOff>66675</xdr:colOff>
                <xdr:row>28</xdr:row>
                <xdr:rowOff>66675</xdr:rowOff>
              </from>
              <to>
                <xdr:col>2</xdr:col>
                <xdr:colOff>409575</xdr:colOff>
                <xdr:row>29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81" r:id="rId28" name="Option Button 25">
          <controlPr defaultSize="0" autoFill="0" autoLine="0" autoPict="0">
            <anchor moveWithCells="1">
              <from>
                <xdr:col>2</xdr:col>
                <xdr:colOff>371475</xdr:colOff>
                <xdr:row>28</xdr:row>
                <xdr:rowOff>66675</xdr:rowOff>
              </from>
              <to>
                <xdr:col>2</xdr:col>
                <xdr:colOff>781050</xdr:colOff>
                <xdr:row>29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82" r:id="rId29" name="Group Box 26">
          <controlPr defaultSize="0" autoFill="0" autoPict="0">
            <anchor moveWithCells="1">
              <from>
                <xdr:col>2</xdr:col>
                <xdr:colOff>85725</xdr:colOff>
                <xdr:row>4</xdr:row>
                <xdr:rowOff>133350</xdr:rowOff>
              </from>
              <to>
                <xdr:col>3</xdr:col>
                <xdr:colOff>85725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83" r:id="rId30" name="Option Button 27">
          <controlPr defaultSize="0" autoFill="0" autoLine="0" autoPict="0">
            <anchor moveWithCells="1">
              <from>
                <xdr:col>2</xdr:col>
                <xdr:colOff>114300</xdr:colOff>
                <xdr:row>4</xdr:row>
                <xdr:rowOff>161925</xdr:rowOff>
              </from>
              <to>
                <xdr:col>2</xdr:col>
                <xdr:colOff>552450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84" r:id="rId31" name="Option Button 28">
          <controlPr defaultSize="0" autoFill="0" autoLine="0" autoPict="0">
            <anchor moveWithCells="1">
              <from>
                <xdr:col>2</xdr:col>
                <xdr:colOff>514350</xdr:colOff>
                <xdr:row>4</xdr:row>
                <xdr:rowOff>161925</xdr:rowOff>
              </from>
              <to>
                <xdr:col>3</xdr:col>
                <xdr:colOff>66675</xdr:colOff>
                <xdr:row>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285" r:id="rId32" name="Drop Down 29">
          <controlPr defaultSize="0" autoLine="0" autoPict="0">
            <anchor moveWithCells="1">
              <from>
                <xdr:col>5</xdr:col>
                <xdr:colOff>0</xdr:colOff>
                <xdr:row>5</xdr:row>
                <xdr:rowOff>9525</xdr:rowOff>
              </from>
              <to>
                <xdr:col>7</xdr:col>
                <xdr:colOff>38100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308" r:id="rId33" name="Group Box 52">
          <controlPr defaultSize="0" autoFill="0" autoPict="0">
            <anchor moveWithCells="1">
              <from>
                <xdr:col>17</xdr:col>
                <xdr:colOff>0</xdr:colOff>
                <xdr:row>29</xdr:row>
                <xdr:rowOff>0</xdr:rowOff>
              </from>
              <to>
                <xdr:col>25</xdr:col>
                <xdr:colOff>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309" r:id="rId34" name="Group Box 53">
          <controlPr defaultSize="0" autoFill="0" autoPict="0">
            <anchor moveWithCells="1">
              <from>
                <xdr:col>17</xdr:col>
                <xdr:colOff>0</xdr:colOff>
                <xdr:row>31</xdr:row>
                <xdr:rowOff>0</xdr:rowOff>
              </from>
              <to>
                <xdr:col>25</xdr:col>
                <xdr:colOff>0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310" r:id="rId35" name="Group Box 54">
          <controlPr defaultSize="0" autoFill="0" autoPict="0">
            <anchor moveWithCells="1">
              <from>
                <xdr:col>17</xdr:col>
                <xdr:colOff>0</xdr:colOff>
                <xdr:row>33</xdr:row>
                <xdr:rowOff>0</xdr:rowOff>
              </from>
              <to>
                <xdr:col>25</xdr:col>
                <xdr:colOff>0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314" r:id="rId36" name="Option Button 58">
          <controlPr defaultSize="0" autoFill="0" autoLine="0" autoPict="0">
            <anchor moveWithCells="1">
              <from>
                <xdr:col>23</xdr:col>
                <xdr:colOff>9525</xdr:colOff>
                <xdr:row>29</xdr:row>
                <xdr:rowOff>9525</xdr:rowOff>
              </from>
              <to>
                <xdr:col>23</xdr:col>
                <xdr:colOff>561975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315" r:id="rId37" name="Option Button 59">
          <controlPr defaultSize="0" autoFill="0" autoLine="0" autoPict="0">
            <anchor moveWithCells="1">
              <from>
                <xdr:col>23</xdr:col>
                <xdr:colOff>9525</xdr:colOff>
                <xdr:row>31</xdr:row>
                <xdr:rowOff>9525</xdr:rowOff>
              </from>
              <to>
                <xdr:col>23</xdr:col>
                <xdr:colOff>561975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316" r:id="rId38" name="Option Button 60">
          <controlPr defaultSize="0" autoFill="0" autoLine="0" autoPict="0">
            <anchor moveWithCells="1">
              <from>
                <xdr:col>23</xdr:col>
                <xdr:colOff>9525</xdr:colOff>
                <xdr:row>33</xdr:row>
                <xdr:rowOff>9525</xdr:rowOff>
              </from>
              <to>
                <xdr:col>23</xdr:col>
                <xdr:colOff>561975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320" r:id="rId39" name="Option Button 64">
          <controlPr defaultSize="0" autoFill="0" autoLine="0" autoPict="0">
            <anchor moveWithCells="1">
              <from>
                <xdr:col>24</xdr:col>
                <xdr:colOff>9525</xdr:colOff>
                <xdr:row>29</xdr:row>
                <xdr:rowOff>9525</xdr:rowOff>
              </from>
              <to>
                <xdr:col>24</xdr:col>
                <xdr:colOff>552450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321" r:id="rId40" name="Option Button 65">
          <controlPr defaultSize="0" autoFill="0" autoLine="0" autoPict="0">
            <anchor moveWithCells="1">
              <from>
                <xdr:col>24</xdr:col>
                <xdr:colOff>9525</xdr:colOff>
                <xdr:row>33</xdr:row>
                <xdr:rowOff>9525</xdr:rowOff>
              </from>
              <to>
                <xdr:col>24</xdr:col>
                <xdr:colOff>552450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4323" r:id="rId41" name="Option Button 67">
          <controlPr defaultSize="0" autoFill="0" autoLine="0" autoPict="0">
            <anchor moveWithCells="1">
              <from>
                <xdr:col>24</xdr:col>
                <xdr:colOff>9525</xdr:colOff>
                <xdr:row>31</xdr:row>
                <xdr:rowOff>9525</xdr:rowOff>
              </from>
              <to>
                <xdr:col>24</xdr:col>
                <xdr:colOff>552450</xdr:colOff>
                <xdr:row>32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5" id="{F20CE0EF-AAD7-4090-AE66-9D20D82E1F9E}">
            <xm:f>AND(Unformatted!$E$85,Unformatted!$C$97=1)</xm:f>
            <x14:dxf>
              <font>
                <b/>
                <i val="0"/>
                <color rgb="FFFF0000"/>
              </font>
            </x14:dxf>
          </x14:cfRule>
          <xm:sqref>B30:C30 B31:B32 B29</xm:sqref>
        </x14:conditionalFormatting>
        <x14:conditionalFormatting xmlns:xm="http://schemas.microsoft.com/office/excel/2006/main">
          <x14:cfRule type="expression" priority="36" id="{FEC8B561-18DA-45CF-9E01-00FFA7B3202A}">
            <xm:f>AND(Unformatted!$E$99,Unformatted!#REF!="N/A")</xm:f>
            <x14:dxf>
              <font>
                <b/>
                <i val="0"/>
                <color rgb="FFFF0000"/>
              </font>
            </x14:dxf>
          </x14:cfRule>
          <xm:sqref>O31:Q31</xm:sqref>
        </x14:conditionalFormatting>
        <x14:conditionalFormatting xmlns:xm="http://schemas.microsoft.com/office/excel/2006/main">
          <x14:cfRule type="expression" priority="37" id="{29705570-BA66-4188-813C-27846FFDC44F}">
            <xm:f>AND(Unformatted!$E$99,Unformatted!$C$113=1)</xm:f>
            <x14:dxf>
              <font>
                <b/>
                <i val="0"/>
                <color rgb="FFFF0000"/>
              </font>
            </x14:dxf>
          </x14:cfRule>
          <xm:sqref>O34:Q34</xm:sqref>
        </x14:conditionalFormatting>
        <x14:conditionalFormatting xmlns:xm="http://schemas.microsoft.com/office/excel/2006/main">
          <x14:cfRule type="expression" priority="32" id="{BB1E11CC-9B54-4594-8397-B5817435F24E}">
            <xm:f>OR(Unformatted!$C$84&gt;0,Unformatted!$F$85=0)</xm:f>
            <x14:dxf>
              <font>
                <b/>
                <i val="0"/>
                <color rgb="FFFF0000"/>
              </font>
            </x14:dxf>
          </x14:cfRule>
          <xm:sqref>B4:K4</xm:sqref>
        </x14:conditionalFormatting>
        <x14:conditionalFormatting xmlns:xm="http://schemas.microsoft.com/office/excel/2006/main">
          <x14:cfRule type="expression" priority="31" id="{F47083DF-8BFA-4990-A7B2-E442C60853DF}">
            <xm:f>Unformatted!$C$86</xm:f>
            <x14:dxf>
              <font>
                <b/>
                <i val="0"/>
                <color rgb="FFFF0000"/>
              </font>
            </x14:dxf>
          </x14:cfRule>
          <xm:sqref>E7</xm:sqref>
        </x14:conditionalFormatting>
        <x14:conditionalFormatting xmlns:xm="http://schemas.microsoft.com/office/excel/2006/main">
          <x14:cfRule type="expression" priority="30" id="{3FFBECC6-2477-476E-80D6-1F8B4C1A3F51}">
            <xm:f>Unformatted!$C$86=1</xm:f>
            <x14:dxf>
              <font>
                <b/>
                <i val="0"/>
                <color rgb="FFFF0000"/>
              </font>
            </x14:dxf>
          </x14:cfRule>
          <xm:sqref>F8</xm:sqref>
        </x14:conditionalFormatting>
        <x14:conditionalFormatting xmlns:xm="http://schemas.microsoft.com/office/excel/2006/main">
          <x14:cfRule type="expression" priority="29" id="{9E373DD6-AE86-4E75-8D9F-848BA4ACF219}">
            <xm:f>Unformatted!$C$88=1</xm:f>
            <x14:dxf>
              <font>
                <b/>
                <i val="0"/>
                <color rgb="FFFF0000"/>
              </font>
            </x14:dxf>
          </x14:cfRule>
          <xm:sqref>G10</xm:sqref>
        </x14:conditionalFormatting>
        <x14:conditionalFormatting xmlns:xm="http://schemas.microsoft.com/office/excel/2006/main">
          <x14:cfRule type="expression" priority="28" id="{15738DDF-5E60-4C07-BAC5-F731EADE9F77}">
            <xm:f>Unformatted!$C$90=1</xm:f>
            <x14:dxf>
              <font>
                <b/>
                <i val="0"/>
                <color rgb="FFFF0000"/>
              </font>
            </x14:dxf>
          </x14:cfRule>
          <xm:sqref>G14:G15</xm:sqref>
        </x14:conditionalFormatting>
        <x14:conditionalFormatting xmlns:xm="http://schemas.microsoft.com/office/excel/2006/main">
          <x14:cfRule type="expression" priority="27" id="{BBCD2C8E-AC33-4C54-AAD8-5CA9E784E2DC}">
            <xm:f>Unformatted!$C$92=1</xm:f>
            <x14:dxf>
              <font>
                <b/>
                <i val="0"/>
                <color rgb="FFFF0000"/>
              </font>
            </x14:dxf>
          </x14:cfRule>
          <xm:sqref>G17</xm:sqref>
        </x14:conditionalFormatting>
        <x14:conditionalFormatting xmlns:xm="http://schemas.microsoft.com/office/excel/2006/main">
          <x14:cfRule type="expression" priority="26" id="{29436B65-BF59-4778-B202-F464E0A012DF}">
            <xm:f>Unformatted!$C$94=1</xm:f>
            <x14:dxf>
              <font>
                <b/>
                <i val="0"/>
                <color rgb="FFFF0000"/>
              </font>
            </x14:dxf>
          </x14:cfRule>
          <xm:sqref>G19</xm:sqref>
        </x14:conditionalFormatting>
        <x14:conditionalFormatting xmlns:xm="http://schemas.microsoft.com/office/excel/2006/main">
          <x14:cfRule type="expression" priority="24" id="{533EC70F-0900-4D06-B6E9-6637BABCEFF2}">
            <xm:f>Unformatted!$C$93=1</xm:f>
            <x14:dxf>
              <font>
                <b/>
                <i val="0"/>
                <color rgb="FFFF0000"/>
              </font>
            </x14:dxf>
          </x14:cfRule>
          <xm:sqref>C17</xm:sqref>
        </x14:conditionalFormatting>
        <x14:conditionalFormatting xmlns:xm="http://schemas.microsoft.com/office/excel/2006/main">
          <x14:cfRule type="expression" priority="23" id="{26065780-51DF-49F5-824D-ACBFE8F2A2BD}">
            <xm:f>Unformatted!$C$95=1</xm:f>
            <x14:dxf>
              <font>
                <b/>
                <i val="0"/>
                <color rgb="FFFF0000"/>
              </font>
            </x14:dxf>
          </x14:cfRule>
          <xm:sqref>G12</xm:sqref>
        </x14:conditionalFormatting>
        <x14:conditionalFormatting xmlns:xm="http://schemas.microsoft.com/office/excel/2006/main">
          <x14:cfRule type="expression" priority="22" id="{A5FDF635-5D6D-48FD-8B99-BAF04A516A17}">
            <xm:f>Unformatted!$C$100=1</xm:f>
            <x14:dxf>
              <font>
                <b/>
                <i val="0"/>
                <color rgb="FFFF0000"/>
              </font>
            </x14:dxf>
          </x14:cfRule>
          <xm:sqref>O10</xm:sqref>
        </x14:conditionalFormatting>
        <x14:conditionalFormatting xmlns:xm="http://schemas.microsoft.com/office/excel/2006/main">
          <x14:cfRule type="expression" priority="21" id="{6D12FC56-021F-449A-A6BF-EB294AAAB4F9}">
            <xm:f>Unformatted!$C$101=1</xm:f>
            <x14:dxf>
              <font>
                <b/>
                <i val="0"/>
                <color rgb="FFFF0000"/>
              </font>
            </x14:dxf>
          </x14:cfRule>
          <xm:sqref>N12</xm:sqref>
        </x14:conditionalFormatting>
        <x14:conditionalFormatting xmlns:xm="http://schemas.microsoft.com/office/excel/2006/main">
          <x14:cfRule type="expression" priority="20" id="{A9B3DB36-3451-44FB-BA9A-81D50E7B461B}">
            <xm:f>Unformatted!$C$103=1</xm:f>
            <x14:dxf>
              <font>
                <b/>
                <i val="0"/>
                <color rgb="FFFF0000"/>
              </font>
            </x14:dxf>
          </x14:cfRule>
          <xm:sqref>N14:N15</xm:sqref>
        </x14:conditionalFormatting>
        <x14:conditionalFormatting xmlns:xm="http://schemas.microsoft.com/office/excel/2006/main">
          <x14:cfRule type="expression" priority="19" id="{8A3CEBE4-CE17-4728-A2D9-BCBA01ED9DC8}">
            <xm:f>Unformatted!$C$102=1</xm:f>
            <x14:dxf>
              <font>
                <b/>
                <i val="0"/>
                <color rgb="FFFF0000"/>
              </font>
            </x14:dxf>
          </x14:cfRule>
          <xm:sqref>S12</xm:sqref>
        </x14:conditionalFormatting>
        <x14:conditionalFormatting xmlns:xm="http://schemas.microsoft.com/office/excel/2006/main">
          <x14:cfRule type="expression" priority="17" id="{FDBE5DFC-79B6-4B45-88AD-569C7803A49F}">
            <xm:f>Unformatted!$C$461</xm:f>
            <x14:dxf>
              <font>
                <b/>
                <i val="0"/>
                <color rgb="FFFF0000"/>
              </font>
            </x14:dxf>
          </x14:cfRule>
          <xm:sqref>R8</xm:sqref>
        </x14:conditionalFormatting>
        <x14:conditionalFormatting xmlns:xm="http://schemas.microsoft.com/office/excel/2006/main">
          <x14:cfRule type="expression" priority="16" id="{531E1714-EA75-4059-ABB7-5949A48CDA15}">
            <xm:f>Unformatted!$C$107=1</xm:f>
            <x14:dxf>
              <font>
                <b/>
                <i val="0"/>
                <color rgb="FFFF0000"/>
              </font>
            </x14:dxf>
          </x14:cfRule>
          <xm:sqref>O21</xm:sqref>
        </x14:conditionalFormatting>
        <x14:conditionalFormatting xmlns:xm="http://schemas.microsoft.com/office/excel/2006/main">
          <x14:cfRule type="expression" priority="15" id="{9D6297E8-67B2-48F3-A2F7-3B96F3F196E3}">
            <xm:f>Unformatted!$C$108=1</xm:f>
            <x14:dxf>
              <font>
                <b/>
                <i val="0"/>
                <color rgb="FFFF0000"/>
              </font>
            </x14:dxf>
          </x14:cfRule>
          <xm:sqref>N23</xm:sqref>
        </x14:conditionalFormatting>
        <x14:conditionalFormatting xmlns:xm="http://schemas.microsoft.com/office/excel/2006/main">
          <x14:cfRule type="expression" priority="14" id="{FA67CC07-541E-48E3-880E-3B07BCC24110}">
            <xm:f>Unformatted!$C$110=1</xm:f>
            <x14:dxf>
              <font>
                <b/>
                <i val="0"/>
                <color rgb="FFFF0000"/>
              </font>
            </x14:dxf>
          </x14:cfRule>
          <xm:sqref>N25</xm:sqref>
        </x14:conditionalFormatting>
        <x14:conditionalFormatting xmlns:xm="http://schemas.microsoft.com/office/excel/2006/main">
          <x14:cfRule type="expression" priority="13" id="{697CE140-C126-4920-A375-D348BE139363}">
            <xm:f>Unformatted!$C$468</xm:f>
            <x14:dxf>
              <font>
                <b/>
                <i val="0"/>
                <color rgb="FFFF0000"/>
              </font>
            </x14:dxf>
          </x14:cfRule>
          <xm:sqref>R19</xm:sqref>
        </x14:conditionalFormatting>
        <x14:conditionalFormatting xmlns:xm="http://schemas.microsoft.com/office/excel/2006/main">
          <x14:cfRule type="expression" priority="12" id="{B0EAF483-9560-4B78-B27E-3EF752E16182}">
            <xm:f>Unformatted!$C$109=1</xm:f>
            <x14:dxf>
              <font>
                <b/>
                <i val="0"/>
                <color rgb="FFFF0000"/>
              </font>
            </x14:dxf>
          </x14:cfRule>
          <xm:sqref>S23</xm:sqref>
        </x14:conditionalFormatting>
        <x14:conditionalFormatting xmlns:xm="http://schemas.microsoft.com/office/excel/2006/main">
          <x14:cfRule type="expression" priority="11" id="{223C28EF-399C-4AAA-89F3-645B88ABBB54}">
            <xm:f>Unformatted!$C$111=1</xm:f>
            <x14:dxf>
              <font>
                <b/>
                <i val="0"/>
                <color rgb="FFFF0000"/>
              </font>
            </x14:dxf>
          </x14:cfRule>
          <xm:sqref>S25</xm:sqref>
        </x14:conditionalFormatting>
        <x14:conditionalFormatting xmlns:xm="http://schemas.microsoft.com/office/excel/2006/main">
          <x14:cfRule type="expression" priority="10" id="{5884F966-D8DB-4CC9-BD25-5AA815F4691C}">
            <xm:f>OR(Unformatted!$C$98&gt;0,Unformatted!$F$99=0,Unformatted!$F$106=0)</xm:f>
            <x14:dxf>
              <font>
                <b/>
                <i val="0"/>
                <color rgb="FFFF0000"/>
              </font>
            </x14:dxf>
          </x14:cfRule>
          <xm:sqref>M4</xm:sqref>
        </x14:conditionalFormatting>
        <x14:conditionalFormatting xmlns:xm="http://schemas.microsoft.com/office/excel/2006/main">
          <x14:cfRule type="expression" priority="9" id="{9FBE3696-FBA5-4695-A881-E6A38F3A5C9E}">
            <xm:f>Unformatted!$C$116=1</xm:f>
            <x14:dxf>
              <font>
                <b/>
                <i val="0"/>
                <color rgb="FFFF0000"/>
              </font>
            </x14:dxf>
          </x14:cfRule>
          <xm:sqref>D32</xm:sqref>
        </x14:conditionalFormatting>
        <x14:conditionalFormatting xmlns:xm="http://schemas.microsoft.com/office/excel/2006/main">
          <x14:cfRule type="expression" priority="8" id="{10B3AFC5-101A-48A7-82D5-3EBFAAE73738}">
            <xm:f>Unformatted!$C$121=1</xm:f>
            <x14:dxf>
              <font>
                <b/>
                <i val="0"/>
                <color rgb="FFFF0000"/>
              </font>
            </x14:dxf>
          </x14:cfRule>
          <xm:sqref>C34</xm:sqref>
        </x14:conditionalFormatting>
        <x14:conditionalFormatting xmlns:xm="http://schemas.microsoft.com/office/excel/2006/main">
          <x14:cfRule type="expression" priority="7" id="{E41CF5E0-54AF-4892-A2F0-D47227BE6719}">
            <xm:f>Unformatted!$C$118=1</xm:f>
            <x14:dxf>
              <font>
                <b/>
                <i val="0"/>
                <color rgb="FFFF0000"/>
              </font>
            </x14:dxf>
          </x14:cfRule>
          <xm:sqref>G34</xm:sqref>
        </x14:conditionalFormatting>
        <x14:conditionalFormatting xmlns:xm="http://schemas.microsoft.com/office/excel/2006/main">
          <x14:cfRule type="expression" priority="6" id="{EAFF0ADC-A19D-4DCE-BA5B-E8C640D7A2CA}">
            <xm:f>Unformatted!$C$120=1</xm:f>
            <x14:dxf>
              <font>
                <b/>
                <i val="0"/>
                <color rgb="FFFF0000"/>
              </font>
            </x14:dxf>
          </x14:cfRule>
          <xm:sqref>G36</xm:sqref>
        </x14:conditionalFormatting>
        <x14:conditionalFormatting xmlns:xm="http://schemas.microsoft.com/office/excel/2006/main">
          <x14:cfRule type="expression" priority="5" id="{CEE5EC52-1E85-428E-99BE-9D553E22D9B9}">
            <xm:f>Unformatted!$C$119=1</xm:f>
            <x14:dxf>
              <font>
                <b/>
                <i val="0"/>
                <color rgb="FFFF0000"/>
              </font>
            </x14:dxf>
          </x14:cfRule>
          <xm:sqref>C38</xm:sqref>
        </x14:conditionalFormatting>
        <x14:conditionalFormatting xmlns:xm="http://schemas.microsoft.com/office/excel/2006/main">
          <x14:cfRule type="expression" priority="4" id="{F8939235-6B84-475C-A3BD-88CFE413F2CF}">
            <xm:f>Unformatted!$C$478</xm:f>
            <x14:dxf>
              <font>
                <b/>
                <i val="0"/>
                <color rgb="FFFF0000"/>
              </font>
            </x14:dxf>
          </x14:cfRule>
          <xm:sqref>E30</xm:sqref>
        </x14:conditionalFormatting>
        <x14:conditionalFormatting xmlns:xm="http://schemas.microsoft.com/office/excel/2006/main">
          <x14:cfRule type="expression" priority="3" id="{FAE35EA6-D1F4-4E26-9D7B-BEA77FE3BC48}">
            <xm:f>OR(Unformatted!$C$114&gt;0,Unformatted!$F$115=0)</xm:f>
            <x14:dxf>
              <font>
                <b/>
                <i val="0"/>
                <color rgb="FFFF0000"/>
              </font>
            </x14:dxf>
          </x14:cfRule>
          <xm:sqref>B28 R28</xm:sqref>
        </x14:conditionalFormatting>
        <x14:conditionalFormatting xmlns:xm="http://schemas.microsoft.com/office/excel/2006/main">
          <x14:cfRule type="expression" priority="1" id="{AB34DA37-7EC8-440E-95F4-C6514D1184C1}">
            <xm:f>Unformatted!$C$452</xm:f>
            <x14:dxf>
              <font>
                <b/>
                <i val="0"/>
                <color rgb="FFFF0000"/>
              </font>
            </x14:dxf>
          </x14:cfRule>
          <xm:sqref>E6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51472-2757-4D22-9CD0-821F56D642FB}">
  <sheetPr codeName="Sheet17"/>
  <dimension ref="A2:AK64"/>
  <sheetViews>
    <sheetView showGridLines="0" showRowColHeaders="0" zoomScaleNormal="100" workbookViewId="0">
      <selection activeCell="H8" sqref="H8"/>
    </sheetView>
  </sheetViews>
  <sheetFormatPr defaultRowHeight="15" x14ac:dyDescent="0.25"/>
  <cols>
    <col min="1" max="1" width="2.85546875" customWidth="1"/>
    <col min="2" max="2" width="2.140625" customWidth="1"/>
    <col min="3" max="3" width="12.28515625" customWidth="1"/>
    <col min="4" max="4" width="10" customWidth="1"/>
    <col min="5" max="5" width="1.42578125" customWidth="1"/>
    <col min="6" max="6" width="11.42578125" customWidth="1"/>
    <col min="7" max="7" width="0.7109375" customWidth="1"/>
    <col min="8" max="8" width="10" customWidth="1"/>
    <col min="9" max="9" width="2.140625" customWidth="1"/>
    <col min="10" max="10" width="10" customWidth="1"/>
    <col min="11" max="11" width="6.42578125" style="611" customWidth="1"/>
    <col min="12" max="12" width="12.140625" customWidth="1"/>
    <col min="13" max="13" width="11.42578125" customWidth="1"/>
    <col min="14" max="14" width="2.85546875" customWidth="1"/>
    <col min="15" max="15" width="2.140625" customWidth="1"/>
    <col min="16" max="16" width="1.42578125" customWidth="1"/>
    <col min="17" max="17" width="14.42578125" customWidth="1"/>
    <col min="18" max="18" width="8.85546875" customWidth="1"/>
    <col min="19" max="19" width="2.140625" customWidth="1"/>
    <col min="20" max="20" width="10.7109375" customWidth="1"/>
    <col min="21" max="21" width="2.140625" customWidth="1"/>
    <col min="22" max="22" width="10" customWidth="1"/>
    <col min="23" max="23" width="6.140625" customWidth="1"/>
    <col min="24" max="24" width="14.28515625" customWidth="1"/>
    <col min="25" max="25" width="6.85546875" customWidth="1"/>
    <col min="26" max="26" width="8.7109375" customWidth="1"/>
    <col min="27" max="27" width="6.5703125" customWidth="1"/>
    <col min="28" max="28" width="9.7109375" customWidth="1"/>
    <col min="29" max="29" width="2.140625" customWidth="1"/>
    <col min="30" max="30" width="5.7109375" customWidth="1"/>
  </cols>
  <sheetData>
    <row r="2" spans="2:35" ht="26.25" x14ac:dyDescent="0.4">
      <c r="C2" s="238"/>
      <c r="D2" s="238"/>
      <c r="E2" s="238"/>
      <c r="F2" s="238"/>
      <c r="G2" s="238"/>
      <c r="H2" s="238"/>
      <c r="I2" s="238"/>
      <c r="J2" s="204" t="s">
        <v>1496</v>
      </c>
      <c r="K2" s="204"/>
      <c r="N2" s="238"/>
      <c r="O2" s="238"/>
      <c r="P2" s="238"/>
      <c r="Q2" s="238"/>
      <c r="R2" s="238"/>
      <c r="S2" s="238"/>
      <c r="T2" s="238"/>
      <c r="U2" s="238"/>
      <c r="V2" s="238"/>
      <c r="W2" s="238"/>
      <c r="X2" s="238"/>
      <c r="Y2" s="238"/>
      <c r="Z2" s="238"/>
      <c r="AA2" s="238"/>
      <c r="AB2" s="238"/>
    </row>
    <row r="3" spans="2:35" ht="11.25" customHeight="1" thickBot="1" x14ac:dyDescent="0.3"/>
    <row r="4" spans="2:35" ht="23.25" x14ac:dyDescent="0.35">
      <c r="B4" s="207"/>
      <c r="C4" s="1272" t="s">
        <v>820</v>
      </c>
      <c r="D4" s="1272"/>
      <c r="E4" s="1272"/>
      <c r="F4" s="1272"/>
      <c r="G4" s="1272"/>
      <c r="H4" s="1272"/>
      <c r="I4" s="208"/>
      <c r="J4" s="1272" t="s">
        <v>821</v>
      </c>
      <c r="K4" s="1272"/>
      <c r="L4" s="1272"/>
      <c r="M4" s="1272"/>
      <c r="N4" s="210"/>
      <c r="P4" s="1280" t="s">
        <v>824</v>
      </c>
      <c r="Q4" s="1281"/>
      <c r="R4" s="1281"/>
      <c r="S4" s="1281"/>
      <c r="T4" s="1281"/>
      <c r="U4" s="1281"/>
      <c r="V4" s="1281"/>
      <c r="W4" s="1281"/>
      <c r="X4" s="1281"/>
      <c r="Y4" s="1281"/>
      <c r="Z4" s="1281"/>
      <c r="AA4" s="1281"/>
      <c r="AB4" s="1281"/>
      <c r="AC4" s="1282"/>
    </row>
    <row r="5" spans="2:35" ht="7.5" customHeight="1" thickBot="1" x14ac:dyDescent="0.3">
      <c r="B5" s="11"/>
      <c r="N5" s="4"/>
      <c r="P5" s="11"/>
      <c r="Q5" s="396"/>
      <c r="R5" s="740"/>
      <c r="S5" s="740"/>
      <c r="T5" s="740"/>
      <c r="U5" s="740"/>
      <c r="V5" s="740"/>
      <c r="W5" s="740"/>
      <c r="X5" s="740"/>
      <c r="Y5" s="740"/>
      <c r="Z5" s="740"/>
      <c r="AA5" s="740"/>
      <c r="AB5" s="740"/>
      <c r="AC5" s="4"/>
    </row>
    <row r="6" spans="2:35" ht="19.5" thickBot="1" x14ac:dyDescent="0.35">
      <c r="B6" s="11"/>
      <c r="C6" s="1273" t="s">
        <v>639</v>
      </c>
      <c r="D6" s="1274"/>
      <c r="E6" s="1274"/>
      <c r="F6" s="1274"/>
      <c r="G6" s="1274"/>
      <c r="H6" s="1275"/>
      <c r="J6" s="1285" t="s">
        <v>657</v>
      </c>
      <c r="K6" s="1285"/>
      <c r="L6" s="1285"/>
      <c r="N6" s="4"/>
      <c r="P6" s="744"/>
      <c r="Q6" s="396"/>
      <c r="R6" s="457" t="s">
        <v>822</v>
      </c>
      <c r="S6" s="396"/>
      <c r="T6" s="396"/>
      <c r="U6" s="396"/>
      <c r="V6" s="396"/>
      <c r="W6" s="396"/>
      <c r="Y6" s="457" t="s">
        <v>1494</v>
      </c>
      <c r="Z6" s="396"/>
      <c r="AA6" s="396"/>
      <c r="AB6" s="508"/>
      <c r="AC6" s="745"/>
    </row>
    <row r="7" spans="2:35" ht="3.75" customHeight="1" thickBot="1" x14ac:dyDescent="0.35">
      <c r="B7" s="11"/>
      <c r="C7" s="277"/>
      <c r="D7" s="277"/>
      <c r="E7" s="277"/>
      <c r="F7" s="277"/>
      <c r="G7" s="277"/>
      <c r="H7" s="277"/>
      <c r="J7" s="279"/>
      <c r="K7" s="278"/>
      <c r="L7" s="278"/>
      <c r="M7" s="48"/>
      <c r="N7" s="4"/>
      <c r="P7" s="744"/>
      <c r="Q7" s="396"/>
      <c r="R7" s="396"/>
      <c r="S7" s="396"/>
      <c r="T7" s="396"/>
      <c r="U7" s="396"/>
      <c r="V7" s="396"/>
      <c r="W7" s="396"/>
      <c r="X7" s="396"/>
      <c r="Y7" s="396"/>
      <c r="Z7" s="396"/>
      <c r="AA7" s="396"/>
      <c r="AB7" s="508"/>
      <c r="AC7" s="745"/>
    </row>
    <row r="8" spans="2:35" ht="16.5" customHeight="1" thickBot="1" x14ac:dyDescent="0.3">
      <c r="B8" s="11"/>
      <c r="C8" s="323" t="s">
        <v>634</v>
      </c>
      <c r="D8" s="324" t="str">
        <f>IF(Unformatted!G207="WIPED", "WIPED", Unformatted!G206)</f>
        <v>N/A</v>
      </c>
      <c r="E8" s="239"/>
      <c r="F8" s="1276" t="s">
        <v>633</v>
      </c>
      <c r="G8" s="1277"/>
      <c r="H8" s="372"/>
      <c r="J8" s="229"/>
      <c r="K8" s="240" t="s">
        <v>670</v>
      </c>
      <c r="M8" s="48"/>
      <c r="N8" s="4"/>
      <c r="P8" s="744"/>
      <c r="Q8" s="1284" t="s">
        <v>823</v>
      </c>
      <c r="R8" s="1284"/>
      <c r="S8" s="396"/>
      <c r="T8" s="396"/>
      <c r="U8" s="396"/>
      <c r="V8" s="396"/>
      <c r="X8" s="503"/>
      <c r="Y8" s="746" t="s">
        <v>1510</v>
      </c>
      <c r="Z8" s="396"/>
      <c r="AA8" s="396"/>
      <c r="AB8" s="508"/>
      <c r="AC8" s="745"/>
    </row>
    <row r="9" spans="2:35" ht="3.75" customHeight="1" thickBot="1" x14ac:dyDescent="0.3">
      <c r="B9" s="11"/>
      <c r="C9" s="266"/>
      <c r="D9" s="239"/>
      <c r="E9" s="239"/>
      <c r="F9" s="266"/>
      <c r="G9" s="266"/>
      <c r="H9" s="239"/>
      <c r="J9" s="240"/>
      <c r="K9" s="944"/>
      <c r="N9" s="4"/>
      <c r="P9" s="744"/>
      <c r="Q9" s="1284"/>
      <c r="R9" s="1284"/>
      <c r="S9" s="508"/>
      <c r="T9" s="508"/>
      <c r="U9" s="508"/>
      <c r="V9" s="508"/>
      <c r="W9" s="503"/>
      <c r="X9" s="503"/>
      <c r="Y9" s="508"/>
      <c r="Z9" s="508"/>
      <c r="AA9" s="508"/>
      <c r="AB9" s="508"/>
      <c r="AC9" s="745"/>
    </row>
    <row r="10" spans="2:35" ht="16.5" customHeight="1" thickBot="1" x14ac:dyDescent="0.3">
      <c r="B10" s="11"/>
      <c r="C10" s="323" t="s">
        <v>636</v>
      </c>
      <c r="D10" s="324" t="str">
        <f>IF(Unformatted!H207="WIPED", "WIPED", Unformatted!H206)</f>
        <v>N/A</v>
      </c>
      <c r="E10" s="239"/>
      <c r="F10" s="1276" t="s">
        <v>635</v>
      </c>
      <c r="G10" s="1277"/>
      <c r="H10" s="322"/>
      <c r="J10" s="950" t="s">
        <v>669</v>
      </c>
      <c r="K10" s="1279"/>
      <c r="L10" s="1279"/>
      <c r="M10" s="1279"/>
      <c r="N10" s="4"/>
      <c r="P10" s="744"/>
      <c r="Q10" s="740" t="s">
        <v>949</v>
      </c>
      <c r="R10" s="396"/>
      <c r="S10" s="396"/>
      <c r="T10" s="396"/>
      <c r="U10" s="396"/>
      <c r="V10" s="396"/>
      <c r="W10" s="396"/>
      <c r="X10" s="429" t="str">
        <f>IF(Unformatted!F534&gt;2,"ALERT: RECORD SEAL SURFACE SIZES ON NEXT PAGE","")</f>
        <v/>
      </c>
      <c r="Y10" s="396"/>
      <c r="Z10" s="396"/>
      <c r="AA10" s="396"/>
      <c r="AB10" s="396"/>
      <c r="AC10" s="4"/>
    </row>
    <row r="11" spans="2:35" ht="3.75" customHeight="1" x14ac:dyDescent="0.25">
      <c r="B11" s="11"/>
      <c r="C11" s="266"/>
      <c r="D11" s="239"/>
      <c r="E11" s="239"/>
      <c r="F11" s="266"/>
      <c r="G11" s="266"/>
      <c r="H11" s="239"/>
      <c r="J11" s="266"/>
      <c r="K11" s="945"/>
      <c r="L11" s="13"/>
      <c r="M11" s="13"/>
      <c r="N11" s="4"/>
      <c r="P11" s="744"/>
      <c r="Q11" s="396"/>
      <c r="R11" s="396"/>
      <c r="S11" s="396"/>
      <c r="T11" s="396"/>
      <c r="U11" s="396"/>
      <c r="V11" s="396"/>
      <c r="W11" s="396"/>
      <c r="X11" s="396"/>
      <c r="Y11" s="396"/>
      <c r="Z11" s="396"/>
      <c r="AA11" s="396"/>
      <c r="AB11" s="396"/>
      <c r="AC11" s="4"/>
    </row>
    <row r="12" spans="2:35" ht="9" customHeight="1" x14ac:dyDescent="0.25">
      <c r="B12" s="11"/>
      <c r="C12" s="266"/>
      <c r="D12" s="239"/>
      <c r="E12" s="239"/>
      <c r="F12" s="266"/>
      <c r="G12" s="266"/>
      <c r="H12" s="239"/>
      <c r="J12" s="266"/>
      <c r="K12" s="945"/>
      <c r="L12" s="13"/>
      <c r="M12" s="13"/>
      <c r="N12" s="4"/>
      <c r="P12" s="744"/>
      <c r="Q12" s="396"/>
      <c r="R12" s="396"/>
      <c r="S12" s="396"/>
      <c r="T12" s="396"/>
      <c r="U12" s="396"/>
      <c r="V12" s="396"/>
      <c r="W12" s="396"/>
      <c r="X12" s="396"/>
      <c r="Y12" s="396"/>
      <c r="Z12" s="396"/>
      <c r="AA12" s="396"/>
      <c r="AB12" s="396"/>
      <c r="AC12" s="4"/>
    </row>
    <row r="13" spans="2:35" ht="3.75" customHeight="1" thickBot="1" x14ac:dyDescent="0.4">
      <c r="B13" s="11"/>
      <c r="N13" s="4"/>
      <c r="P13" s="744"/>
      <c r="Q13" s="747"/>
      <c r="R13" s="747"/>
      <c r="S13" s="747"/>
      <c r="T13" s="747"/>
      <c r="U13" s="747"/>
      <c r="V13" s="747"/>
      <c r="W13" s="747"/>
      <c r="X13" s="747"/>
      <c r="Y13" s="747"/>
      <c r="Z13" s="747"/>
      <c r="AA13" s="747"/>
      <c r="AB13" s="747"/>
      <c r="AC13" s="282"/>
    </row>
    <row r="14" spans="2:35" ht="18.75" customHeight="1" thickBot="1" x14ac:dyDescent="0.35">
      <c r="B14" s="11"/>
      <c r="C14" s="1273" t="s">
        <v>638</v>
      </c>
      <c r="D14" s="1274"/>
      <c r="E14" s="1274"/>
      <c r="F14" s="1274"/>
      <c r="G14" s="1274"/>
      <c r="H14" s="1275"/>
      <c r="J14" s="1286" t="s">
        <v>658</v>
      </c>
      <c r="K14" s="1286"/>
      <c r="L14" s="1286"/>
      <c r="N14" s="4"/>
      <c r="P14" s="744"/>
      <c r="Q14" s="396"/>
      <c r="R14" s="740"/>
      <c r="S14" s="396"/>
      <c r="T14" s="396"/>
      <c r="U14" s="396"/>
      <c r="V14" s="396"/>
      <c r="W14" s="396"/>
      <c r="X14" s="740"/>
      <c r="Y14" s="396"/>
      <c r="Z14" s="396"/>
      <c r="AA14" s="396"/>
      <c r="AB14" s="396"/>
      <c r="AC14" s="4"/>
      <c r="AI14" s="13"/>
    </row>
    <row r="15" spans="2:35" ht="3.75" customHeight="1" thickBot="1" x14ac:dyDescent="0.35">
      <c r="B15" s="11"/>
      <c r="C15" s="277"/>
      <c r="D15" s="277"/>
      <c r="E15" s="277"/>
      <c r="F15" s="277"/>
      <c r="G15" s="277"/>
      <c r="H15" s="277"/>
      <c r="J15" s="279"/>
      <c r="K15" s="278"/>
      <c r="L15" s="278"/>
      <c r="M15" s="46"/>
      <c r="N15" s="4"/>
      <c r="P15" s="744"/>
      <c r="Q15" s="740"/>
      <c r="R15" s="740"/>
      <c r="S15" s="396"/>
      <c r="T15" s="396"/>
      <c r="U15" s="396"/>
      <c r="V15" s="396"/>
      <c r="W15" s="740"/>
      <c r="X15" s="740"/>
      <c r="Y15" s="396"/>
      <c r="Z15" s="396"/>
      <c r="AA15" s="396"/>
      <c r="AB15" s="396"/>
      <c r="AC15" s="4"/>
      <c r="AI15" s="13"/>
    </row>
    <row r="16" spans="2:35" ht="16.5" thickBot="1" x14ac:dyDescent="0.3">
      <c r="B16" s="11"/>
      <c r="C16" s="323" t="s">
        <v>634</v>
      </c>
      <c r="D16" s="324" t="str">
        <f>IF(Unformatted!G210="WIPED", "WIPED", Unformatted!G209)</f>
        <v>N/A</v>
      </c>
      <c r="E16" s="239"/>
      <c r="F16" s="1278" t="s">
        <v>633</v>
      </c>
      <c r="G16" s="1276"/>
      <c r="H16" s="322"/>
      <c r="J16" s="229"/>
      <c r="K16" s="240" t="s">
        <v>670</v>
      </c>
      <c r="M16" s="48"/>
      <c r="N16" s="4"/>
      <c r="P16" s="744"/>
      <c r="Q16" s="740"/>
      <c r="R16" s="740"/>
      <c r="S16" s="396"/>
      <c r="T16" s="396"/>
      <c r="U16" s="396"/>
      <c r="V16" s="740"/>
      <c r="W16" s="740"/>
      <c r="X16" s="740"/>
      <c r="Y16" s="396"/>
      <c r="Z16" s="396"/>
      <c r="AA16" s="396"/>
      <c r="AB16" s="396"/>
      <c r="AC16" s="4"/>
    </row>
    <row r="17" spans="2:37" ht="3.75" customHeight="1" thickBot="1" x14ac:dyDescent="0.3">
      <c r="B17" s="11"/>
      <c r="C17" s="266"/>
      <c r="D17" s="239"/>
      <c r="E17" s="239"/>
      <c r="F17" s="266"/>
      <c r="G17" s="266"/>
      <c r="H17" s="239"/>
      <c r="J17" s="240"/>
      <c r="K17" s="944"/>
      <c r="M17" s="48"/>
      <c r="N17" s="4"/>
      <c r="P17" s="744"/>
      <c r="Q17" s="508"/>
      <c r="R17" s="508"/>
      <c r="S17" s="508"/>
      <c r="T17" s="508"/>
      <c r="U17" s="508"/>
      <c r="V17" s="508"/>
      <c r="W17" s="508"/>
      <c r="X17" s="508"/>
      <c r="Y17" s="508"/>
      <c r="Z17" s="508"/>
      <c r="AA17" s="508"/>
      <c r="AB17" s="508"/>
      <c r="AC17" s="745"/>
    </row>
    <row r="18" spans="2:37" ht="16.5" thickBot="1" x14ac:dyDescent="0.3">
      <c r="B18" s="11"/>
      <c r="C18" s="323" t="s">
        <v>636</v>
      </c>
      <c r="D18" s="324" t="str">
        <f>IF(Unformatted!H210="WIPED", "WIPED", Unformatted!H209)</f>
        <v>N/A</v>
      </c>
      <c r="E18" s="239"/>
      <c r="F18" s="1278" t="s">
        <v>635</v>
      </c>
      <c r="G18" s="1276"/>
      <c r="H18" s="322"/>
      <c r="J18" s="950" t="s">
        <v>669</v>
      </c>
      <c r="K18" s="1279"/>
      <c r="L18" s="1279"/>
      <c r="M18" s="1279"/>
      <c r="N18" s="4"/>
      <c r="P18" s="744"/>
      <c r="Q18" s="508"/>
      <c r="R18" s="508"/>
      <c r="S18" s="508"/>
      <c r="T18" s="508"/>
      <c r="U18" s="508"/>
      <c r="V18" s="508"/>
      <c r="W18" s="508"/>
      <c r="X18" s="508"/>
      <c r="Y18" s="508"/>
      <c r="Z18" s="508"/>
      <c r="AA18" s="508"/>
      <c r="AB18" s="508"/>
      <c r="AC18" s="745"/>
      <c r="AG18" s="1283"/>
      <c r="AH18" s="1283"/>
      <c r="AI18" s="1283"/>
      <c r="AJ18" s="1283"/>
      <c r="AK18" s="1283"/>
    </row>
    <row r="19" spans="2:37" ht="3.75" customHeight="1" x14ac:dyDescent="0.25">
      <c r="B19" s="11"/>
      <c r="C19" s="266"/>
      <c r="D19" s="239"/>
      <c r="E19" s="239"/>
      <c r="F19" s="266"/>
      <c r="G19" s="266"/>
      <c r="H19" s="265"/>
      <c r="J19" s="266"/>
      <c r="K19" s="945"/>
      <c r="L19" s="13"/>
      <c r="M19" s="13"/>
      <c r="N19" s="4"/>
      <c r="P19" s="744"/>
      <c r="Q19" s="508"/>
      <c r="R19" s="508"/>
      <c r="S19" s="508"/>
      <c r="T19" s="508"/>
      <c r="U19" s="508"/>
      <c r="V19" s="508"/>
      <c r="W19" s="508"/>
      <c r="X19" s="508"/>
      <c r="Y19" s="508"/>
      <c r="Z19" s="508"/>
      <c r="AA19" s="508"/>
      <c r="AB19" s="508"/>
      <c r="AC19" s="745"/>
      <c r="AG19" s="1283"/>
      <c r="AH19" s="1283"/>
      <c r="AI19" s="1283"/>
      <c r="AJ19" s="1283"/>
      <c r="AK19" s="1283"/>
    </row>
    <row r="20" spans="2:37" ht="9" customHeight="1" x14ac:dyDescent="0.25">
      <c r="B20" s="11"/>
      <c r="C20" s="266"/>
      <c r="D20" s="239"/>
      <c r="E20" s="239"/>
      <c r="F20" s="266"/>
      <c r="G20" s="266"/>
      <c r="H20" s="265"/>
      <c r="J20" s="266"/>
      <c r="K20" s="945"/>
      <c r="L20" s="13"/>
      <c r="M20" s="13"/>
      <c r="N20" s="4"/>
      <c r="P20" s="744"/>
      <c r="Q20" s="508"/>
      <c r="R20" s="508"/>
      <c r="S20" s="508"/>
      <c r="T20" s="508"/>
      <c r="U20" s="508"/>
      <c r="V20" s="508"/>
      <c r="W20" s="508"/>
      <c r="X20" s="508"/>
      <c r="Y20" s="508"/>
      <c r="Z20" s="508"/>
      <c r="AA20" s="508"/>
      <c r="AB20" s="508"/>
      <c r="AC20" s="745"/>
      <c r="AG20" s="19"/>
      <c r="AH20" s="19"/>
      <c r="AI20" s="19"/>
      <c r="AJ20" s="19"/>
      <c r="AK20" s="19"/>
    </row>
    <row r="21" spans="2:37" ht="3.75" customHeight="1" thickBot="1" x14ac:dyDescent="0.3">
      <c r="B21" s="11"/>
      <c r="N21" s="4"/>
      <c r="P21" s="744"/>
      <c r="Q21" s="508"/>
      <c r="R21" s="508"/>
      <c r="S21" s="508"/>
      <c r="T21" s="508"/>
      <c r="U21" s="508"/>
      <c r="V21" s="508"/>
      <c r="W21" s="508"/>
      <c r="X21" s="508"/>
      <c r="Y21" s="508"/>
      <c r="Z21" s="508"/>
      <c r="AA21" s="508"/>
      <c r="AB21" s="508"/>
      <c r="AC21" s="745"/>
    </row>
    <row r="22" spans="2:37" ht="18.75" customHeight="1" thickBot="1" x14ac:dyDescent="0.35">
      <c r="B22" s="11"/>
      <c r="C22" s="1273" t="s">
        <v>338</v>
      </c>
      <c r="D22" s="1274"/>
      <c r="E22" s="1274"/>
      <c r="F22" s="1274"/>
      <c r="G22" s="1274"/>
      <c r="H22" s="1275"/>
      <c r="J22" s="1287" t="s">
        <v>659</v>
      </c>
      <c r="K22" s="1288"/>
      <c r="L22" s="1289"/>
      <c r="N22" s="4"/>
      <c r="P22" s="744"/>
      <c r="Q22" s="508"/>
      <c r="R22" s="508"/>
      <c r="S22" s="508"/>
      <c r="T22" s="508"/>
      <c r="U22" s="508"/>
      <c r="V22" s="508"/>
      <c r="W22" s="508"/>
      <c r="X22" s="508"/>
      <c r="Y22" s="508"/>
      <c r="Z22" s="508"/>
      <c r="AA22" s="508"/>
      <c r="AB22" s="508"/>
      <c r="AC22" s="745"/>
    </row>
    <row r="23" spans="2:37" ht="3.75" customHeight="1" thickBot="1" x14ac:dyDescent="0.35">
      <c r="B23" s="11"/>
      <c r="C23" s="277"/>
      <c r="D23" s="277"/>
      <c r="E23" s="277"/>
      <c r="F23" s="277"/>
      <c r="G23" s="277"/>
      <c r="H23" s="277"/>
      <c r="J23" s="279"/>
      <c r="K23" s="278"/>
      <c r="L23" s="278"/>
      <c r="M23" s="48"/>
      <c r="N23" s="4"/>
      <c r="P23" s="744"/>
      <c r="Q23" s="508"/>
      <c r="R23" s="508"/>
      <c r="S23" s="508"/>
      <c r="T23" s="508"/>
      <c r="U23" s="508"/>
      <c r="V23" s="508"/>
      <c r="W23" s="508"/>
      <c r="X23" s="508"/>
      <c r="Y23" s="508"/>
      <c r="Z23" s="508"/>
      <c r="AA23" s="508"/>
      <c r="AB23" s="508"/>
      <c r="AC23" s="745"/>
    </row>
    <row r="24" spans="2:37" ht="15" customHeight="1" thickBot="1" x14ac:dyDescent="0.3">
      <c r="B24" s="11"/>
      <c r="C24" s="323" t="s">
        <v>634</v>
      </c>
      <c r="D24" s="324" t="str">
        <f>IF(Unformatted!I207="WIPED", "WIPED", Unformatted!I206)</f>
        <v>N/A</v>
      </c>
      <c r="E24" s="239"/>
      <c r="F24" s="1278" t="s">
        <v>633</v>
      </c>
      <c r="G24" s="1276"/>
      <c r="H24" s="322"/>
      <c r="J24" s="229"/>
      <c r="K24" s="240" t="s">
        <v>670</v>
      </c>
      <c r="M24" s="48"/>
      <c r="N24" s="4"/>
      <c r="P24" s="744"/>
      <c r="Q24" s="508"/>
      <c r="R24" s="508"/>
      <c r="S24" s="508"/>
      <c r="T24" s="508"/>
      <c r="U24" s="508"/>
      <c r="V24" s="508"/>
      <c r="W24" s="508"/>
      <c r="X24" s="508"/>
      <c r="Y24" s="508"/>
      <c r="Z24" s="508"/>
      <c r="AA24" s="508"/>
      <c r="AB24" s="508"/>
      <c r="AC24" s="745"/>
    </row>
    <row r="25" spans="2:37" ht="3.75" customHeight="1" thickBot="1" x14ac:dyDescent="0.3">
      <c r="B25" s="11"/>
      <c r="C25" s="266"/>
      <c r="D25" s="239"/>
      <c r="E25" s="239"/>
      <c r="F25" s="266"/>
      <c r="G25" s="266"/>
      <c r="H25" s="239"/>
      <c r="J25" s="240"/>
      <c r="K25" s="944"/>
      <c r="L25" s="611"/>
      <c r="M25" s="48"/>
      <c r="N25" s="4"/>
      <c r="P25" s="744"/>
      <c r="Q25" s="508"/>
      <c r="R25" s="508"/>
      <c r="S25" s="508"/>
      <c r="T25" s="508"/>
      <c r="U25" s="508"/>
      <c r="V25" s="508"/>
      <c r="W25" s="508"/>
      <c r="X25" s="508"/>
      <c r="Y25" s="508"/>
      <c r="Z25" s="508"/>
      <c r="AA25" s="508"/>
      <c r="AB25" s="508"/>
      <c r="AC25" s="745"/>
    </row>
    <row r="26" spans="2:37" ht="15" customHeight="1" thickBot="1" x14ac:dyDescent="0.3">
      <c r="B26" s="11"/>
      <c r="C26" s="323" t="s">
        <v>636</v>
      </c>
      <c r="D26" s="324" t="str">
        <f>IF(Unformatted!J206="WIPED", "WIPED", Unformatted!J206)</f>
        <v>N/A</v>
      </c>
      <c r="E26" s="239"/>
      <c r="F26" s="1278" t="s">
        <v>635</v>
      </c>
      <c r="G26" s="1276"/>
      <c r="H26" s="322"/>
      <c r="J26" s="950" t="s">
        <v>669</v>
      </c>
      <c r="K26" s="1279"/>
      <c r="L26" s="1279"/>
      <c r="M26" s="1279"/>
      <c r="N26" s="4"/>
      <c r="P26" s="744"/>
      <c r="Q26" s="508"/>
      <c r="R26" s="508"/>
      <c r="S26" s="508"/>
      <c r="T26" s="508"/>
      <c r="U26" s="508"/>
      <c r="V26" s="508"/>
      <c r="W26" s="508"/>
      <c r="X26" s="508"/>
      <c r="Y26" s="508"/>
      <c r="Z26" s="508"/>
      <c r="AA26" s="508"/>
      <c r="AB26" s="508"/>
      <c r="AC26" s="745"/>
    </row>
    <row r="27" spans="2:37" ht="3.75" customHeight="1" x14ac:dyDescent="0.25">
      <c r="B27" s="11"/>
      <c r="C27" s="266"/>
      <c r="D27" s="239"/>
      <c r="E27" s="239"/>
      <c r="F27" s="266"/>
      <c r="G27" s="266"/>
      <c r="H27" s="265"/>
      <c r="J27" s="266"/>
      <c r="K27" s="945"/>
      <c r="L27" s="13"/>
      <c r="M27" s="13"/>
      <c r="N27" s="4"/>
      <c r="P27" s="744"/>
      <c r="Q27" s="508"/>
      <c r="R27" s="508"/>
      <c r="S27" s="508"/>
      <c r="T27" s="508"/>
      <c r="U27" s="508"/>
      <c r="V27" s="508"/>
      <c r="W27" s="508"/>
      <c r="X27" s="508"/>
      <c r="Y27" s="508"/>
      <c r="Z27" s="508"/>
      <c r="AA27" s="508"/>
      <c r="AB27" s="508"/>
      <c r="AC27" s="745"/>
    </row>
    <row r="28" spans="2:37" ht="9" customHeight="1" x14ac:dyDescent="0.25">
      <c r="B28" s="11"/>
      <c r="C28" s="266"/>
      <c r="D28" s="239"/>
      <c r="E28" s="239"/>
      <c r="F28" s="266"/>
      <c r="G28" s="266"/>
      <c r="H28" s="265"/>
      <c r="J28" s="266"/>
      <c r="K28" s="945"/>
      <c r="L28" s="13"/>
      <c r="M28" s="13"/>
      <c r="N28" s="4"/>
      <c r="P28" s="11"/>
      <c r="Q28" s="396"/>
      <c r="R28" s="396"/>
      <c r="S28" s="396"/>
      <c r="T28" s="396"/>
      <c r="U28" s="396"/>
      <c r="V28" s="396"/>
      <c r="W28" s="396"/>
      <c r="X28" s="396"/>
      <c r="Y28" s="396"/>
      <c r="Z28" s="396"/>
      <c r="AA28" s="396"/>
      <c r="AB28" s="396"/>
      <c r="AC28" s="4"/>
    </row>
    <row r="29" spans="2:37" ht="3.75" customHeight="1" thickBot="1" x14ac:dyDescent="0.3">
      <c r="B29" s="11"/>
      <c r="N29" s="4"/>
      <c r="P29" s="11"/>
      <c r="Q29" s="396"/>
      <c r="R29" s="743"/>
      <c r="S29" s="743"/>
      <c r="T29" s="743"/>
      <c r="U29" s="396"/>
      <c r="V29" s="740"/>
      <c r="W29" s="740"/>
      <c r="X29" s="740"/>
      <c r="Y29" s="396"/>
      <c r="Z29" s="396"/>
      <c r="AA29" s="396"/>
      <c r="AB29" s="396"/>
      <c r="AC29" s="4"/>
    </row>
    <row r="30" spans="2:37" ht="18.75" customHeight="1" thickBot="1" x14ac:dyDescent="0.35">
      <c r="B30" s="11"/>
      <c r="C30" s="1273" t="s">
        <v>393</v>
      </c>
      <c r="D30" s="1274"/>
      <c r="E30" s="1274"/>
      <c r="F30" s="1274"/>
      <c r="G30" s="1274"/>
      <c r="H30" s="1275"/>
      <c r="J30" s="1290" t="s">
        <v>660</v>
      </c>
      <c r="K30" s="1291"/>
      <c r="L30" s="1292"/>
      <c r="N30" s="4"/>
      <c r="P30" s="1280" t="s">
        <v>950</v>
      </c>
      <c r="Q30" s="1281"/>
      <c r="R30" s="1281"/>
      <c r="S30" s="1281"/>
      <c r="T30" s="1281"/>
      <c r="U30" s="1281"/>
      <c r="V30" s="1281"/>
      <c r="W30" s="1281"/>
      <c r="X30" s="1281"/>
      <c r="Y30" s="1281"/>
      <c r="Z30" s="1281"/>
      <c r="AA30" s="1281"/>
      <c r="AB30" s="1281"/>
      <c r="AC30" s="1282"/>
    </row>
    <row r="31" spans="2:37" ht="3.75" customHeight="1" thickBot="1" x14ac:dyDescent="0.35">
      <c r="B31" s="11"/>
      <c r="C31" s="277"/>
      <c r="D31" s="277"/>
      <c r="E31" s="277"/>
      <c r="F31" s="277"/>
      <c r="G31" s="277"/>
      <c r="H31" s="277"/>
      <c r="J31" s="279"/>
      <c r="K31" s="278"/>
      <c r="L31" s="278"/>
      <c r="M31" s="46"/>
      <c r="N31" s="4"/>
      <c r="P31" s="11"/>
      <c r="Q31" s="396"/>
      <c r="R31" s="740"/>
      <c r="S31" s="740"/>
      <c r="T31" s="740"/>
      <c r="U31" s="740"/>
      <c r="V31" s="740"/>
      <c r="W31" s="740"/>
      <c r="X31" s="740"/>
      <c r="Y31" s="396"/>
      <c r="Z31" s="396"/>
      <c r="AA31" s="396"/>
      <c r="AB31" s="396"/>
      <c r="AC31" s="4"/>
    </row>
    <row r="32" spans="2:37" ht="15" customHeight="1" thickBot="1" x14ac:dyDescent="0.35">
      <c r="B32" s="11"/>
      <c r="C32" s="323" t="s">
        <v>634</v>
      </c>
      <c r="D32" s="324" t="str">
        <f>IF(Unformatted!I210="WIPED", "WIPED", Unformatted!I209)</f>
        <v>N/A</v>
      </c>
      <c r="E32" s="239"/>
      <c r="F32" s="1278" t="s">
        <v>633</v>
      </c>
      <c r="G32" s="1276"/>
      <c r="H32" s="322"/>
      <c r="J32" s="229"/>
      <c r="K32" s="240" t="s">
        <v>670</v>
      </c>
      <c r="L32" s="280"/>
      <c r="M32" s="48"/>
      <c r="N32" s="4"/>
      <c r="P32" s="11"/>
      <c r="Q32" s="740"/>
      <c r="R32" s="740"/>
      <c r="S32" s="740"/>
      <c r="T32" s="740"/>
      <c r="U32" s="740"/>
      <c r="V32" s="740"/>
      <c r="W32" s="396"/>
      <c r="X32" s="396"/>
      <c r="Y32" s="396"/>
      <c r="Z32" s="396"/>
      <c r="AA32" s="396"/>
      <c r="AB32" s="396"/>
      <c r="AC32" s="4"/>
    </row>
    <row r="33" spans="2:29" ht="3.75" customHeight="1" thickBot="1" x14ac:dyDescent="0.35">
      <c r="B33" s="11"/>
      <c r="C33" s="266"/>
      <c r="D33" s="239"/>
      <c r="E33" s="239"/>
      <c r="F33" s="266"/>
      <c r="G33" s="266"/>
      <c r="H33" s="239"/>
      <c r="J33" s="240"/>
      <c r="K33" s="944"/>
      <c r="L33" s="280"/>
      <c r="M33" s="48"/>
      <c r="N33" s="4"/>
      <c r="P33" s="11"/>
      <c r="Q33" s="396"/>
      <c r="R33" s="396"/>
      <c r="S33" s="396"/>
      <c r="T33" s="396"/>
      <c r="U33" s="396"/>
      <c r="V33" s="396"/>
      <c r="W33" s="396"/>
      <c r="X33" s="396"/>
      <c r="Y33" s="396"/>
      <c r="Z33" s="396"/>
      <c r="AA33" s="396"/>
      <c r="AB33" s="396"/>
      <c r="AC33" s="4"/>
    </row>
    <row r="34" spans="2:29" ht="16.5" thickBot="1" x14ac:dyDescent="0.3">
      <c r="B34" s="11"/>
      <c r="C34" s="323" t="s">
        <v>636</v>
      </c>
      <c r="D34" s="324" t="str">
        <f>IF(Unformatted!J210="WIPED", "WIPED", Unformatted!J209)</f>
        <v>N/A</v>
      </c>
      <c r="E34" s="239"/>
      <c r="F34" s="1278" t="s">
        <v>635</v>
      </c>
      <c r="G34" s="1276"/>
      <c r="H34" s="322"/>
      <c r="J34" s="950" t="s">
        <v>669</v>
      </c>
      <c r="K34" s="1279"/>
      <c r="L34" s="1279"/>
      <c r="M34" s="1279"/>
      <c r="N34" s="4"/>
      <c r="P34" s="11"/>
      <c r="Q34" s="396"/>
      <c r="R34" s="396"/>
      <c r="S34" s="396"/>
      <c r="T34" s="396"/>
      <c r="U34" s="396"/>
      <c r="V34" s="396"/>
      <c r="W34" s="396"/>
      <c r="X34" s="742"/>
      <c r="Y34" s="396"/>
      <c r="Z34" s="396"/>
      <c r="AA34" s="396"/>
      <c r="AB34" s="396"/>
      <c r="AC34" s="4"/>
    </row>
    <row r="35" spans="2:29" ht="3.75" customHeight="1" x14ac:dyDescent="0.25">
      <c r="B35" s="11"/>
      <c r="C35" s="266"/>
      <c r="D35" s="239"/>
      <c r="E35" s="239"/>
      <c r="F35" s="266"/>
      <c r="G35" s="266"/>
      <c r="H35" s="239"/>
      <c r="J35" s="266"/>
      <c r="K35" s="945"/>
      <c r="L35" s="13"/>
      <c r="M35" s="13"/>
      <c r="N35" s="4"/>
      <c r="P35" s="11"/>
      <c r="Q35" s="396"/>
      <c r="R35" s="396"/>
      <c r="S35" s="396"/>
      <c r="T35" s="396"/>
      <c r="U35" s="396"/>
      <c r="V35" s="396"/>
      <c r="W35" s="396"/>
      <c r="X35" s="742"/>
      <c r="Y35" s="396"/>
      <c r="Z35" s="396"/>
      <c r="AA35" s="396"/>
      <c r="AB35" s="396"/>
      <c r="AC35" s="4"/>
    </row>
    <row r="36" spans="2:29" ht="9" customHeight="1" x14ac:dyDescent="0.25">
      <c r="B36" s="11"/>
      <c r="N36" s="4"/>
      <c r="P36" s="11"/>
      <c r="Q36" s="396"/>
      <c r="R36" s="396"/>
      <c r="S36" s="396"/>
      <c r="T36" s="396"/>
      <c r="U36" s="396"/>
      <c r="V36" s="396"/>
      <c r="W36" s="396"/>
      <c r="X36" s="396"/>
      <c r="Y36" s="396"/>
      <c r="Z36" s="396"/>
      <c r="AA36" s="396"/>
      <c r="AB36" s="396"/>
      <c r="AC36" s="4"/>
    </row>
    <row r="37" spans="2:29" ht="3.75" customHeight="1" thickBot="1" x14ac:dyDescent="0.3">
      <c r="B37" s="11"/>
      <c r="N37" s="4"/>
      <c r="P37" s="11"/>
      <c r="Q37" s="396"/>
      <c r="R37" s="396"/>
      <c r="S37" s="396"/>
      <c r="T37" s="396"/>
      <c r="U37" s="396"/>
      <c r="V37" s="396"/>
      <c r="W37" s="396"/>
      <c r="X37" s="396"/>
      <c r="Y37" s="396"/>
      <c r="Z37" s="396"/>
      <c r="AA37" s="396"/>
      <c r="AB37" s="396"/>
      <c r="AC37" s="4"/>
    </row>
    <row r="38" spans="2:29" ht="18.75" customHeight="1" thickBot="1" x14ac:dyDescent="0.35">
      <c r="B38" s="11"/>
      <c r="C38" s="1273" t="s">
        <v>637</v>
      </c>
      <c r="D38" s="1274"/>
      <c r="E38" s="1274"/>
      <c r="F38" s="1274"/>
      <c r="G38" s="1274"/>
      <c r="H38" s="1275"/>
      <c r="J38" s="1290" t="s">
        <v>646</v>
      </c>
      <c r="K38" s="1291"/>
      <c r="L38" s="1292"/>
      <c r="N38" s="4"/>
      <c r="P38" s="11"/>
      <c r="Q38" s="396"/>
      <c r="R38" s="396"/>
      <c r="S38" s="396"/>
      <c r="T38" s="396"/>
      <c r="U38" s="396"/>
      <c r="V38" s="396"/>
      <c r="W38" s="396"/>
      <c r="X38" s="396"/>
      <c r="Y38" s="396"/>
      <c r="Z38" s="396"/>
      <c r="AA38" s="396"/>
      <c r="AB38" s="396"/>
      <c r="AC38" s="4"/>
    </row>
    <row r="39" spans="2:29" ht="3.75" customHeight="1" thickBot="1" x14ac:dyDescent="0.35">
      <c r="B39" s="11"/>
      <c r="C39" s="277"/>
      <c r="D39" s="277"/>
      <c r="E39" s="277"/>
      <c r="F39" s="277"/>
      <c r="G39" s="277"/>
      <c r="H39" s="277"/>
      <c r="J39" s="279"/>
      <c r="K39" s="278"/>
      <c r="L39" s="278"/>
      <c r="N39" s="4"/>
      <c r="P39" s="11"/>
      <c r="Q39" s="396"/>
      <c r="R39" s="396"/>
      <c r="S39" s="396"/>
      <c r="T39" s="396"/>
      <c r="U39" s="396"/>
      <c r="V39" s="396"/>
      <c r="W39" s="396"/>
      <c r="X39" s="396"/>
      <c r="Y39" s="396"/>
      <c r="Z39" s="396"/>
      <c r="AA39" s="396"/>
      <c r="AB39" s="396"/>
      <c r="AC39" s="4"/>
    </row>
    <row r="40" spans="2:29" ht="16.5" thickBot="1" x14ac:dyDescent="0.3">
      <c r="B40" s="11"/>
      <c r="C40" s="323" t="s">
        <v>634</v>
      </c>
      <c r="D40" s="324">
        <f>IF(OR(Unformatted!E228="",Unformatted!F228="",Unformatted!G228=""),"",MIN(Unformatted!E228,Unformatted!F228,Unformatted!G228))</f>
        <v>0</v>
      </c>
      <c r="E40" s="239"/>
      <c r="F40" s="1278" t="s">
        <v>633</v>
      </c>
      <c r="G40" s="1276"/>
      <c r="H40" s="322"/>
      <c r="J40" s="229"/>
      <c r="K40" s="240" t="s">
        <v>670</v>
      </c>
      <c r="M40" s="48"/>
      <c r="N40" s="4"/>
      <c r="P40" s="11"/>
      <c r="Q40" s="396"/>
      <c r="R40" s="396"/>
      <c r="S40" s="396"/>
      <c r="T40" s="396"/>
      <c r="U40" s="396"/>
      <c r="V40" s="396"/>
      <c r="W40" s="396"/>
      <c r="X40" s="396"/>
      <c r="Y40" s="396"/>
      <c r="Z40" s="396"/>
      <c r="AA40" s="396"/>
      <c r="AB40" s="396"/>
      <c r="AC40" s="4"/>
    </row>
    <row r="41" spans="2:29" ht="3.75" customHeight="1" thickBot="1" x14ac:dyDescent="0.3">
      <c r="B41" s="11"/>
      <c r="C41" s="266"/>
      <c r="D41" s="239"/>
      <c r="E41" s="239"/>
      <c r="F41" s="266"/>
      <c r="G41" s="266"/>
      <c r="H41" s="239"/>
      <c r="J41" s="240"/>
      <c r="K41" s="944"/>
      <c r="M41" s="48"/>
      <c r="N41" s="4"/>
      <c r="P41" s="11"/>
      <c r="Q41" s="396"/>
      <c r="R41" s="396"/>
      <c r="S41" s="396"/>
      <c r="T41" s="396"/>
      <c r="U41" s="396"/>
      <c r="V41" s="396"/>
      <c r="W41" s="396"/>
      <c r="X41" s="396"/>
      <c r="Y41" s="396"/>
      <c r="Z41" s="396"/>
      <c r="AA41" s="396"/>
      <c r="AB41" s="396"/>
      <c r="AC41" s="4"/>
    </row>
    <row r="42" spans="2:29" ht="16.5" thickBot="1" x14ac:dyDescent="0.3">
      <c r="B42" s="11"/>
      <c r="C42" s="323" t="s">
        <v>636</v>
      </c>
      <c r="D42" s="324">
        <f>IF(OR(Unformatted!E228="",Unformatted!F228="",Unformatted!G228=""),"",MAX(Unformatted!E228,Unformatted!F228,Unformatted!G228))</f>
        <v>0</v>
      </c>
      <c r="E42" s="239"/>
      <c r="F42" s="1278" t="s">
        <v>635</v>
      </c>
      <c r="G42" s="1276"/>
      <c r="H42" s="322"/>
      <c r="J42" s="950" t="s">
        <v>669</v>
      </c>
      <c r="K42" s="1279"/>
      <c r="L42" s="1279"/>
      <c r="M42" s="1279"/>
      <c r="N42" s="4"/>
      <c r="P42" s="11"/>
      <c r="Q42" s="396"/>
      <c r="R42" s="396"/>
      <c r="S42" s="396"/>
      <c r="T42" s="396"/>
      <c r="U42" s="396"/>
      <c r="V42" s="396"/>
      <c r="W42" s="396"/>
      <c r="X42" s="396"/>
      <c r="Y42" s="396"/>
      <c r="Z42" s="396"/>
      <c r="AA42" s="396"/>
      <c r="AB42" s="396"/>
      <c r="AC42" s="4"/>
    </row>
    <row r="43" spans="2:29" ht="3.75" customHeight="1" thickBot="1" x14ac:dyDescent="0.3">
      <c r="B43" s="11"/>
      <c r="C43" s="266"/>
      <c r="D43" s="239"/>
      <c r="E43" s="239"/>
      <c r="F43" s="266"/>
      <c r="G43" s="266"/>
      <c r="H43" s="239"/>
      <c r="J43" s="266"/>
      <c r="K43" s="945"/>
      <c r="L43" s="13"/>
      <c r="M43" s="13"/>
      <c r="N43" s="4"/>
      <c r="P43" s="11"/>
      <c r="Q43" s="457"/>
      <c r="R43" s="457"/>
      <c r="S43" s="396"/>
      <c r="T43" s="396"/>
      <c r="U43" s="396"/>
      <c r="V43" s="740"/>
      <c r="W43" s="457"/>
      <c r="X43" s="457"/>
      <c r="Y43" s="396"/>
      <c r="Z43" s="396"/>
      <c r="AA43" s="396"/>
      <c r="AB43" s="396"/>
      <c r="AC43" s="4"/>
    </row>
    <row r="44" spans="2:29" ht="16.5" customHeight="1" thickBot="1" x14ac:dyDescent="0.3">
      <c r="B44" s="11"/>
      <c r="C44" s="323" t="s">
        <v>662</v>
      </c>
      <c r="D44" s="324" t="str">
        <f>Unformatted!H228</f>
        <v>N/A</v>
      </c>
      <c r="E44" s="239"/>
      <c r="F44" s="1278" t="s">
        <v>663</v>
      </c>
      <c r="G44" s="1276"/>
      <c r="H44" s="322"/>
      <c r="N44" s="4"/>
      <c r="P44" s="11"/>
      <c r="Q44" s="396"/>
      <c r="R44" s="396"/>
      <c r="S44" s="396"/>
      <c r="T44" s="396"/>
      <c r="U44" s="396"/>
      <c r="V44" s="396"/>
      <c r="W44" s="396"/>
      <c r="X44" s="396"/>
      <c r="Y44" s="396"/>
      <c r="Z44" s="396"/>
      <c r="AA44" s="396"/>
      <c r="AB44" s="396"/>
      <c r="AC44" s="4"/>
    </row>
    <row r="45" spans="2:29" ht="3.75" customHeight="1" x14ac:dyDescent="0.25">
      <c r="B45" s="11"/>
      <c r="C45" s="266"/>
      <c r="D45" s="239"/>
      <c r="E45" s="239"/>
      <c r="F45" s="266"/>
      <c r="G45" s="266"/>
      <c r="H45" s="265"/>
      <c r="N45" s="4"/>
      <c r="P45" s="11"/>
      <c r="Q45" s="396"/>
      <c r="R45" s="396"/>
      <c r="S45" s="396"/>
      <c r="T45" s="396"/>
      <c r="U45" s="396"/>
      <c r="V45" s="396"/>
      <c r="W45" s="396"/>
      <c r="X45" s="396"/>
      <c r="Y45" s="396"/>
      <c r="Z45" s="396"/>
      <c r="AA45" s="396"/>
      <c r="AB45" s="396"/>
      <c r="AC45" s="4"/>
    </row>
    <row r="46" spans="2:29" ht="9" customHeight="1" x14ac:dyDescent="0.25">
      <c r="B46" s="11"/>
      <c r="C46" s="266"/>
      <c r="D46" s="239"/>
      <c r="E46" s="239"/>
      <c r="F46" s="266"/>
      <c r="G46" s="266"/>
      <c r="H46" s="265"/>
      <c r="N46" s="4"/>
      <c r="P46" s="11"/>
      <c r="Q46" s="396"/>
      <c r="R46" s="396"/>
      <c r="S46" s="396"/>
      <c r="T46" s="396"/>
      <c r="U46" s="396"/>
      <c r="V46" s="396"/>
      <c r="W46" s="396"/>
      <c r="X46" s="396"/>
      <c r="Y46" s="396"/>
      <c r="Z46" s="396"/>
      <c r="AA46" s="396"/>
      <c r="AB46" s="396"/>
      <c r="AC46" s="4"/>
    </row>
    <row r="47" spans="2:29" ht="3.75" customHeight="1" thickBot="1" x14ac:dyDescent="0.3">
      <c r="B47" s="11"/>
      <c r="F47" s="1"/>
      <c r="G47" s="1"/>
      <c r="N47" s="4"/>
      <c r="P47" s="11"/>
      <c r="Q47" s="396"/>
      <c r="R47" s="396"/>
      <c r="S47" s="396"/>
      <c r="T47" s="396"/>
      <c r="U47" s="396"/>
      <c r="V47" s="396"/>
      <c r="W47" s="396"/>
      <c r="X47" s="396"/>
      <c r="Y47" s="396"/>
      <c r="Z47" s="396"/>
      <c r="AA47" s="396"/>
      <c r="AB47" s="396"/>
      <c r="AC47" s="4"/>
    </row>
    <row r="48" spans="2:29" ht="18.75" customHeight="1" thickBot="1" x14ac:dyDescent="0.35">
      <c r="B48" s="11"/>
      <c r="C48" s="1273" t="s">
        <v>642</v>
      </c>
      <c r="D48" s="1274"/>
      <c r="E48" s="1274"/>
      <c r="F48" s="1274"/>
      <c r="G48" s="1274"/>
      <c r="H48" s="1275"/>
      <c r="J48" s="1290" t="s">
        <v>671</v>
      </c>
      <c r="K48" s="1291"/>
      <c r="L48" s="1292"/>
      <c r="M48" s="47"/>
      <c r="N48" s="4"/>
      <c r="P48" s="11"/>
      <c r="Q48" s="396"/>
      <c r="R48" s="396"/>
      <c r="S48" s="396"/>
      <c r="T48" s="396"/>
      <c r="U48" s="396"/>
      <c r="V48" s="396"/>
      <c r="W48" s="396"/>
      <c r="X48" s="396"/>
      <c r="Y48" s="396"/>
      <c r="Z48" s="396"/>
      <c r="AA48" s="396"/>
      <c r="AB48" s="396"/>
      <c r="AC48" s="4"/>
    </row>
    <row r="49" spans="1:34" ht="3.75" customHeight="1" thickBot="1" x14ac:dyDescent="0.35">
      <c r="B49" s="11"/>
      <c r="C49" s="277"/>
      <c r="D49" s="277"/>
      <c r="E49" s="277"/>
      <c r="F49" s="277"/>
      <c r="G49" s="277"/>
      <c r="H49" s="277"/>
      <c r="J49" s="279"/>
      <c r="K49" s="278"/>
      <c r="L49" s="278"/>
      <c r="M49" s="48"/>
      <c r="N49" s="4"/>
      <c r="P49" s="11"/>
      <c r="Q49" s="396"/>
      <c r="R49" s="396"/>
      <c r="S49" s="396"/>
      <c r="T49" s="396"/>
      <c r="U49" s="396"/>
      <c r="V49" s="396"/>
      <c r="W49" s="396"/>
      <c r="X49" s="396"/>
      <c r="Y49" s="396"/>
      <c r="Z49" s="396"/>
      <c r="AA49" s="396"/>
      <c r="AB49" s="396"/>
      <c r="AC49" s="4"/>
    </row>
    <row r="50" spans="1:34" ht="16.5" thickBot="1" x14ac:dyDescent="0.3">
      <c r="B50" s="11"/>
      <c r="C50" s="325" t="s">
        <v>634</v>
      </c>
      <c r="D50" s="324">
        <f>IF(OR(Unformatted!E229="",Unformatted!F229="",Unformatted!G229=""),"",MIN(Unformatted!E229,Unformatted!F229,Unformatted!G229))</f>
        <v>0</v>
      </c>
      <c r="E50" s="239"/>
      <c r="F50" s="1278" t="s">
        <v>633</v>
      </c>
      <c r="G50" s="1276"/>
      <c r="H50" s="322"/>
      <c r="J50" s="229"/>
      <c r="K50" s="240" t="s">
        <v>670</v>
      </c>
      <c r="M50" s="48"/>
      <c r="N50" s="4"/>
      <c r="P50" s="11"/>
      <c r="Q50" s="396"/>
      <c r="R50" s="396"/>
      <c r="S50" s="396"/>
      <c r="T50" s="396"/>
      <c r="U50" s="396"/>
      <c r="V50" s="396"/>
      <c r="W50" s="396"/>
      <c r="X50" s="396"/>
      <c r="Y50" s="396"/>
      <c r="Z50" s="396"/>
      <c r="AA50" s="396"/>
      <c r="AB50" s="396"/>
      <c r="AC50" s="4"/>
    </row>
    <row r="51" spans="1:34" ht="3.75" customHeight="1" thickBot="1" x14ac:dyDescent="0.3">
      <c r="B51" s="11"/>
      <c r="C51" s="266"/>
      <c r="D51" s="239"/>
      <c r="E51" s="239"/>
      <c r="F51" s="266"/>
      <c r="G51" s="266"/>
      <c r="H51" s="239"/>
      <c r="J51" s="240"/>
      <c r="K51" s="944"/>
      <c r="M51" s="48"/>
      <c r="N51" s="4"/>
      <c r="P51" s="11"/>
      <c r="Q51" s="396"/>
      <c r="R51" s="396"/>
      <c r="S51" s="396"/>
      <c r="T51" s="396"/>
      <c r="U51" s="396"/>
      <c r="V51" s="396"/>
      <c r="W51" s="396"/>
      <c r="X51" s="396"/>
      <c r="Y51" s="396"/>
      <c r="Z51" s="396"/>
      <c r="AA51" s="396"/>
      <c r="AB51" s="396"/>
      <c r="AC51" s="4"/>
    </row>
    <row r="52" spans="1:34" ht="16.5" thickBot="1" x14ac:dyDescent="0.3">
      <c r="B52" s="11"/>
      <c r="C52" s="325" t="s">
        <v>636</v>
      </c>
      <c r="D52" s="324">
        <f>IF(OR(Unformatted!E229="",Unformatted!F229="",Unformatted!G229=""),"",MAX(Unformatted!E229,Unformatted!F229,Unformatted!G229))</f>
        <v>0</v>
      </c>
      <c r="E52" s="239"/>
      <c r="F52" s="1278" t="s">
        <v>635</v>
      </c>
      <c r="G52" s="1276"/>
      <c r="H52" s="322"/>
      <c r="J52" s="950" t="s">
        <v>669</v>
      </c>
      <c r="K52" s="1279"/>
      <c r="L52" s="1279"/>
      <c r="M52" s="1279"/>
      <c r="N52" s="4"/>
      <c r="P52" s="11"/>
      <c r="Q52" s="396"/>
      <c r="R52" s="396"/>
      <c r="S52" s="396"/>
      <c r="T52" s="396"/>
      <c r="U52" s="396"/>
      <c r="V52" s="396"/>
      <c r="W52" s="396"/>
      <c r="X52" s="396"/>
      <c r="Y52" s="396"/>
      <c r="Z52" s="396"/>
      <c r="AA52" s="396"/>
      <c r="AB52" s="396"/>
      <c r="AC52" s="4"/>
    </row>
    <row r="53" spans="1:34" ht="3.75" customHeight="1" thickBot="1" x14ac:dyDescent="0.3">
      <c r="B53" s="11"/>
      <c r="C53" s="266"/>
      <c r="D53" s="239"/>
      <c r="E53" s="239"/>
      <c r="F53" s="266"/>
      <c r="G53" s="266"/>
      <c r="H53" s="239"/>
      <c r="J53" s="266"/>
      <c r="K53" s="945"/>
      <c r="L53" s="13"/>
      <c r="M53" s="13"/>
      <c r="N53" s="4"/>
      <c r="P53" s="11"/>
      <c r="Q53" s="396"/>
      <c r="R53" s="396"/>
      <c r="S53" s="396"/>
      <c r="T53" s="396"/>
      <c r="U53" s="396"/>
      <c r="V53" s="396"/>
      <c r="W53" s="396"/>
      <c r="X53" s="396"/>
      <c r="Y53" s="396"/>
      <c r="Z53" s="396"/>
      <c r="AA53" s="396"/>
      <c r="AB53" s="396"/>
      <c r="AC53" s="4"/>
    </row>
    <row r="54" spans="1:34" ht="15.75" customHeight="1" thickBot="1" x14ac:dyDescent="0.3">
      <c r="B54" s="11"/>
      <c r="C54" s="325" t="s">
        <v>662</v>
      </c>
      <c r="D54" s="324" t="str">
        <f>Unformatted!H229</f>
        <v>N/A</v>
      </c>
      <c r="E54" s="239"/>
      <c r="F54" s="1278" t="s">
        <v>663</v>
      </c>
      <c r="G54" s="1276"/>
      <c r="H54" s="322"/>
      <c r="N54" s="4"/>
      <c r="P54" s="11"/>
      <c r="Q54" s="396"/>
      <c r="R54" s="396"/>
      <c r="S54" s="396"/>
      <c r="T54" s="396"/>
      <c r="U54" s="396"/>
      <c r="V54" s="396"/>
      <c r="W54" s="396"/>
      <c r="X54" s="396"/>
      <c r="Y54" s="396"/>
      <c r="Z54" s="396"/>
      <c r="AA54" s="396"/>
      <c r="AB54" s="396"/>
      <c r="AC54" s="4"/>
    </row>
    <row r="55" spans="1:34" ht="9" customHeight="1" thickBot="1" x14ac:dyDescent="0.3">
      <c r="A55" s="4"/>
      <c r="B55" s="12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6"/>
      <c r="P55" s="12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6"/>
    </row>
    <row r="56" spans="1:34" x14ac:dyDescent="0.25"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AD56" t="s">
        <v>1176</v>
      </c>
    </row>
    <row r="64" spans="1:34" x14ac:dyDescent="0.25">
      <c r="AH64" t="s">
        <v>1176</v>
      </c>
    </row>
  </sheetData>
  <sheetProtection sheet="1" selectLockedCells="1"/>
  <mergeCells count="38">
    <mergeCell ref="F32:G32"/>
    <mergeCell ref="F34:G34"/>
    <mergeCell ref="F44:G44"/>
    <mergeCell ref="F42:G42"/>
    <mergeCell ref="F40:G40"/>
    <mergeCell ref="J48:L48"/>
    <mergeCell ref="J38:L38"/>
    <mergeCell ref="F54:G54"/>
    <mergeCell ref="F52:G52"/>
    <mergeCell ref="F50:G50"/>
    <mergeCell ref="C48:H48"/>
    <mergeCell ref="K42:M42"/>
    <mergeCell ref="K52:M52"/>
    <mergeCell ref="C38:H38"/>
    <mergeCell ref="K18:M18"/>
    <mergeCell ref="K34:M34"/>
    <mergeCell ref="P30:AC30"/>
    <mergeCell ref="AG18:AK19"/>
    <mergeCell ref="P4:AC4"/>
    <mergeCell ref="Q8:R9"/>
    <mergeCell ref="J6:L6"/>
    <mergeCell ref="J14:L14"/>
    <mergeCell ref="J22:L22"/>
    <mergeCell ref="J30:L30"/>
    <mergeCell ref="K26:M26"/>
    <mergeCell ref="J4:M4"/>
    <mergeCell ref="K10:M10"/>
    <mergeCell ref="C4:H4"/>
    <mergeCell ref="C6:H6"/>
    <mergeCell ref="C22:H22"/>
    <mergeCell ref="C14:H14"/>
    <mergeCell ref="C30:H30"/>
    <mergeCell ref="F8:G8"/>
    <mergeCell ref="F10:G10"/>
    <mergeCell ref="F16:G16"/>
    <mergeCell ref="F18:G18"/>
    <mergeCell ref="F24:G24"/>
    <mergeCell ref="F26:G2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0592" r:id="rId4" name="TextBox2">
          <controlPr defaultSize="0" autoLine="0" autoPict="0" linkedCell="Unformatted!E535" r:id="rId5">
            <anchor moveWithCells="1">
              <from>
                <xdr:col>16</xdr:col>
                <xdr:colOff>0</xdr:colOff>
                <xdr:row>9</xdr:row>
                <xdr:rowOff>209550</xdr:rowOff>
              </from>
              <to>
                <xdr:col>28</xdr:col>
                <xdr:colOff>28575</xdr:colOff>
                <xdr:row>27</xdr:row>
                <xdr:rowOff>104775</xdr:rowOff>
              </to>
            </anchor>
          </controlPr>
        </control>
      </mc:Choice>
      <mc:Fallback>
        <control shapeId="60592" r:id="rId4" name="TextBox2"/>
      </mc:Fallback>
    </mc:AlternateContent>
    <mc:AlternateContent xmlns:mc="http://schemas.openxmlformats.org/markup-compatibility/2006">
      <mc:Choice Requires="x14">
        <control shapeId="60598" r:id="rId6" name="TextBox3">
          <controlPr defaultSize="0" autoLine="0" autoPict="0" linkedCell="Unformatted!E536" r:id="rId7">
            <anchor moveWithCells="1">
              <from>
                <xdr:col>16</xdr:col>
                <xdr:colOff>0</xdr:colOff>
                <xdr:row>30</xdr:row>
                <xdr:rowOff>47625</xdr:rowOff>
              </from>
              <to>
                <xdr:col>28</xdr:col>
                <xdr:colOff>28575</xdr:colOff>
                <xdr:row>54</xdr:row>
                <xdr:rowOff>57150</xdr:rowOff>
              </to>
            </anchor>
          </controlPr>
        </control>
      </mc:Choice>
      <mc:Fallback>
        <control shapeId="60598" r:id="rId6" name="TextBox3"/>
      </mc:Fallback>
    </mc:AlternateContent>
    <mc:AlternateContent xmlns:mc="http://schemas.openxmlformats.org/markup-compatibility/2006">
      <mc:Choice Requires="x14">
        <control shapeId="60466" r:id="rId8" name="Group Box 50">
          <controlPr defaultSize="0" autoFill="0" autoPict="0">
            <anchor moveWithCells="1">
              <from>
                <xdr:col>12</xdr:col>
                <xdr:colOff>0</xdr:colOff>
                <xdr:row>5</xdr:row>
                <xdr:rowOff>0</xdr:rowOff>
              </from>
              <to>
                <xdr:col>13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477" r:id="rId9" name="Option Button 61">
          <controlPr defaultSize="0" autoFill="0" autoLine="0" autoPict="0">
            <anchor moveWithCells="1">
              <from>
                <xdr:col>12</xdr:col>
                <xdr:colOff>9525</xdr:colOff>
                <xdr:row>5</xdr:row>
                <xdr:rowOff>38100</xdr:rowOff>
              </from>
              <to>
                <xdr:col>12</xdr:col>
                <xdr:colOff>381000</xdr:colOff>
                <xdr:row>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478" r:id="rId10" name="Option Button 62">
          <controlPr defaultSize="0" autoFill="0" autoLine="0" autoPict="0">
            <anchor moveWithCells="1">
              <from>
                <xdr:col>12</xdr:col>
                <xdr:colOff>371475</xdr:colOff>
                <xdr:row>5</xdr:row>
                <xdr:rowOff>38100</xdr:rowOff>
              </from>
              <to>
                <xdr:col>12</xdr:col>
                <xdr:colOff>742950</xdr:colOff>
                <xdr:row>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479" r:id="rId11" name="Group Box 63">
          <controlPr defaultSize="0" autoFill="0" autoPict="0">
            <anchor moveWithCells="1">
              <from>
                <xdr:col>12</xdr:col>
                <xdr:colOff>0</xdr:colOff>
                <xdr:row>13</xdr:row>
                <xdr:rowOff>0</xdr:rowOff>
              </from>
              <to>
                <xdr:col>13</xdr:col>
                <xdr:colOff>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09" r:id="rId12" name="Drop Down 93">
          <controlPr defaultSize="0" autoLine="0" autoPict="0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13</xdr:col>
                <xdr:colOff>0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12" r:id="rId13" name="Drop Down 96">
          <controlPr defaultSize="0" autoLine="0" autoPict="0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13</xdr:col>
                <xdr:colOff>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21" r:id="rId14" name="Group Box 105">
          <controlPr defaultSize="0" autoFill="0" autoPict="0">
            <anchor moveWithCells="1">
              <from>
                <xdr:col>12</xdr:col>
                <xdr:colOff>0</xdr:colOff>
                <xdr:row>20</xdr:row>
                <xdr:rowOff>47625</xdr:rowOff>
              </from>
              <to>
                <xdr:col>13</xdr:col>
                <xdr:colOff>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22" r:id="rId15" name="Option Button 106">
          <controlPr defaultSize="0" autoFill="0" autoLine="0" autoPict="0">
            <anchor moveWithCells="1">
              <from>
                <xdr:col>12</xdr:col>
                <xdr:colOff>9525</xdr:colOff>
                <xdr:row>21</xdr:row>
                <xdr:rowOff>38100</xdr:rowOff>
              </from>
              <to>
                <xdr:col>12</xdr:col>
                <xdr:colOff>409575</xdr:colOff>
                <xdr:row>21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23" r:id="rId16" name="Option Button 107">
          <controlPr defaultSize="0" autoFill="0" autoLine="0" autoPict="0">
            <anchor moveWithCells="1">
              <from>
                <xdr:col>12</xdr:col>
                <xdr:colOff>381000</xdr:colOff>
                <xdr:row>21</xdr:row>
                <xdr:rowOff>38100</xdr:rowOff>
              </from>
              <to>
                <xdr:col>12</xdr:col>
                <xdr:colOff>742950</xdr:colOff>
                <xdr:row>21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24" r:id="rId17" name="Group Box 108">
          <controlPr defaultSize="0" autoFill="0" autoPict="0">
            <anchor moveWithCells="1">
              <from>
                <xdr:col>12</xdr:col>
                <xdr:colOff>0</xdr:colOff>
                <xdr:row>29</xdr:row>
                <xdr:rowOff>0</xdr:rowOff>
              </from>
              <to>
                <xdr:col>13</xdr:col>
                <xdr:colOff>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30" r:id="rId18" name="Group Box 114">
          <controlPr defaultSize="0" autoFill="0" autoPict="0">
            <anchor moveWithCells="1">
              <from>
                <xdr:col>12</xdr:col>
                <xdr:colOff>0</xdr:colOff>
                <xdr:row>37</xdr:row>
                <xdr:rowOff>0</xdr:rowOff>
              </from>
              <to>
                <xdr:col>13</xdr:col>
                <xdr:colOff>0</xdr:colOff>
                <xdr:row>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33" r:id="rId19" name="Option Button 117">
          <controlPr defaultSize="0" autoFill="0" autoLine="0" autoPict="0">
            <anchor moveWithCells="1">
              <from>
                <xdr:col>12</xdr:col>
                <xdr:colOff>9525</xdr:colOff>
                <xdr:row>29</xdr:row>
                <xdr:rowOff>47625</xdr:rowOff>
              </from>
              <to>
                <xdr:col>12</xdr:col>
                <xdr:colOff>371475</xdr:colOff>
                <xdr:row>29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34" r:id="rId20" name="Option Button 118">
          <controlPr defaultSize="0" autoFill="0" autoLine="0" autoPict="0">
            <anchor moveWithCells="1">
              <from>
                <xdr:col>12</xdr:col>
                <xdr:colOff>381000</xdr:colOff>
                <xdr:row>29</xdr:row>
                <xdr:rowOff>38100</xdr:rowOff>
              </from>
              <to>
                <xdr:col>12</xdr:col>
                <xdr:colOff>742950</xdr:colOff>
                <xdr:row>29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35" r:id="rId21" name="Option Button 119">
          <controlPr defaultSize="0" autoFill="0" autoLine="0" autoPict="0">
            <anchor moveWithCells="1">
              <from>
                <xdr:col>12</xdr:col>
                <xdr:colOff>9525</xdr:colOff>
                <xdr:row>37</xdr:row>
                <xdr:rowOff>38100</xdr:rowOff>
              </from>
              <to>
                <xdr:col>12</xdr:col>
                <xdr:colOff>342900</xdr:colOff>
                <xdr:row>37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36" r:id="rId22" name="Option Button 120">
          <controlPr defaultSize="0" autoFill="0" autoLine="0" autoPict="0">
            <anchor moveWithCells="1">
              <from>
                <xdr:col>12</xdr:col>
                <xdr:colOff>381000</xdr:colOff>
                <xdr:row>37</xdr:row>
                <xdr:rowOff>38100</xdr:rowOff>
              </from>
              <to>
                <xdr:col>12</xdr:col>
                <xdr:colOff>742950</xdr:colOff>
                <xdr:row>37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37" r:id="rId23" name="Group Box 121">
          <controlPr defaultSize="0" autoFill="0" autoPict="0">
            <anchor moveWithCells="1">
              <from>
                <xdr:col>12</xdr:col>
                <xdr:colOff>0</xdr:colOff>
                <xdr:row>47</xdr:row>
                <xdr:rowOff>0</xdr:rowOff>
              </from>
              <to>
                <xdr:col>13</xdr:col>
                <xdr:colOff>0</xdr:colOff>
                <xdr:row>48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40" r:id="rId24" name="Option Button 124">
          <controlPr defaultSize="0" autoFill="0" autoLine="0" autoPict="0">
            <anchor moveWithCells="1">
              <from>
                <xdr:col>12</xdr:col>
                <xdr:colOff>9525</xdr:colOff>
                <xdr:row>13</xdr:row>
                <xdr:rowOff>28575</xdr:rowOff>
              </from>
              <to>
                <xdr:col>12</xdr:col>
                <xdr:colOff>371475</xdr:colOff>
                <xdr:row>13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41" r:id="rId25" name="Option Button 125">
          <controlPr defaultSize="0" autoFill="0" autoLine="0" autoPict="0">
            <anchor moveWithCells="1">
              <from>
                <xdr:col>12</xdr:col>
                <xdr:colOff>400050</xdr:colOff>
                <xdr:row>13</xdr:row>
                <xdr:rowOff>38100</xdr:rowOff>
              </from>
              <to>
                <xdr:col>12</xdr:col>
                <xdr:colOff>742950</xdr:colOff>
                <xdr:row>13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45" r:id="rId26" name="Drop Down 129">
          <controlPr defaultSize="0" autoLine="0" autoPict="0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13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46" r:id="rId27" name="Drop Down 130">
          <controlPr defaultSize="0" autoLine="0" autoPict="0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13</xdr:col>
                <xdr:colOff>0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47" r:id="rId28" name="Drop Down 131">
          <controlPr defaultSize="0" autoLine="0" autoPict="0">
            <anchor moveWithCells="1">
              <from>
                <xdr:col>11</xdr:col>
                <xdr:colOff>0</xdr:colOff>
                <xdr:row>39</xdr:row>
                <xdr:rowOff>0</xdr:rowOff>
              </from>
              <to>
                <xdr:col>13</xdr:col>
                <xdr:colOff>0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48" r:id="rId29" name="Drop Down 132">
          <controlPr defaultSize="0" autoLine="0" autoPict="0">
            <anchor moveWithCells="1">
              <from>
                <xdr:col>11</xdr:col>
                <xdr:colOff>0</xdr:colOff>
                <xdr:row>49</xdr:row>
                <xdr:rowOff>0</xdr:rowOff>
              </from>
              <to>
                <xdr:col>13</xdr:col>
                <xdr:colOff>0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75" r:id="rId30" name="Option Button 159">
          <controlPr defaultSize="0" autoFill="0" autoLine="0" autoPict="0">
            <anchor moveWithCells="1">
              <from>
                <xdr:col>12</xdr:col>
                <xdr:colOff>19050</xdr:colOff>
                <xdr:row>47</xdr:row>
                <xdr:rowOff>47625</xdr:rowOff>
              </from>
              <to>
                <xdr:col>12</xdr:col>
                <xdr:colOff>409575</xdr:colOff>
                <xdr:row>47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76" r:id="rId31" name="Option Button 160">
          <controlPr defaultSize="0" autoFill="0" autoLine="0" autoPict="0">
            <anchor moveWithCells="1">
              <from>
                <xdr:col>12</xdr:col>
                <xdr:colOff>381000</xdr:colOff>
                <xdr:row>47</xdr:row>
                <xdr:rowOff>47625</xdr:rowOff>
              </from>
              <to>
                <xdr:col>12</xdr:col>
                <xdr:colOff>752475</xdr:colOff>
                <xdr:row>47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88" r:id="rId32" name="Drop Down 172">
          <controlPr defaultSize="0" autoLine="0" autoPict="0">
            <anchor moveWithCells="1">
              <from>
                <xdr:col>18</xdr:col>
                <xdr:colOff>85725</xdr:colOff>
                <xdr:row>5</xdr:row>
                <xdr:rowOff>0</xdr:rowOff>
              </from>
              <to>
                <xdr:col>21</xdr:col>
                <xdr:colOff>552450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89" r:id="rId33" name="Drop Down 173">
          <controlPr defaultSize="0" autoLine="0" autoPict="0">
            <anchor moveWithCells="1">
              <from>
                <xdr:col>18</xdr:col>
                <xdr:colOff>85725</xdr:colOff>
                <xdr:row>7</xdr:row>
                <xdr:rowOff>0</xdr:rowOff>
              </from>
              <to>
                <xdr:col>21</xdr:col>
                <xdr:colOff>552450</xdr:colOff>
                <xdr:row>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590" r:id="rId34" name="Drop Down 174">
          <controlPr defaultSize="0" autoLine="0" autoPict="0">
            <anchor moveWithCells="1">
              <from>
                <xdr:col>25</xdr:col>
                <xdr:colOff>85725</xdr:colOff>
                <xdr:row>5</xdr:row>
                <xdr:rowOff>0</xdr:rowOff>
              </from>
              <to>
                <xdr:col>27</xdr:col>
                <xdr:colOff>533400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0610" r:id="rId35" name="Drop Down 194">
          <controlPr defaultSize="0" autoLine="0" autoPict="0">
            <anchor moveWithCells="1">
              <from>
                <xdr:col>25</xdr:col>
                <xdr:colOff>85725</xdr:colOff>
                <xdr:row>7</xdr:row>
                <xdr:rowOff>0</xdr:rowOff>
              </from>
              <to>
                <xdr:col>27</xdr:col>
                <xdr:colOff>533400</xdr:colOff>
                <xdr:row>8</xdr:row>
                <xdr:rowOff>38100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965" id="{6E3C77ED-B54E-46B6-BF7D-8FD395C2DDDD}">
            <xm:f>Unformatted!$E$527=2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H32 H34</xm:sqref>
        </x14:conditionalFormatting>
        <x14:conditionalFormatting xmlns:xm="http://schemas.microsoft.com/office/excel/2006/main">
          <x14:cfRule type="expression" priority="7967" id="{35D76AA2-F653-422E-81F3-682A3DB075C6}">
            <xm:f>Unformatted!$E$528=2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H40 H42 H44</xm:sqref>
        </x14:conditionalFormatting>
        <x14:conditionalFormatting xmlns:xm="http://schemas.microsoft.com/office/excel/2006/main">
          <x14:cfRule type="expression" priority="7970" id="{48DF4613-1B45-4EE9-A9CE-C964D52F2550}">
            <xm:f>Unformatted!$E$529=2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H54 H52 H50</xm:sqref>
        </x14:conditionalFormatting>
        <x14:conditionalFormatting xmlns:xm="http://schemas.microsoft.com/office/excel/2006/main">
          <x14:cfRule type="expression" priority="7973" id="{6E3C77ED-B54E-46B6-BF7D-8FD395C2DDDD}">
            <xm:f>Unformatted!$E$524=2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H8 H10</xm:sqref>
        </x14:conditionalFormatting>
        <x14:conditionalFormatting xmlns:xm="http://schemas.microsoft.com/office/excel/2006/main">
          <x14:cfRule type="expression" priority="7975" id="{35D76AA2-F653-422E-81F3-682A3DB075C6}">
            <xm:f>Unformatted!$E$525=2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H16 H18</xm:sqref>
        </x14:conditionalFormatting>
        <x14:conditionalFormatting xmlns:xm="http://schemas.microsoft.com/office/excel/2006/main">
          <x14:cfRule type="expression" priority="7977" id="{48DF4613-1B45-4EE9-A9CE-C964D52F2550}">
            <xm:f>Unformatted!$E$526=2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H24 H26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36D6-AC81-4535-A5AC-F02854D1EEBB}">
  <sheetPr codeName="Sheet30"/>
  <dimension ref="A1:AH47"/>
  <sheetViews>
    <sheetView showGridLines="0" showRowColHeaders="0" zoomScaleNormal="100" workbookViewId="0">
      <selection activeCell="D12" sqref="D12"/>
    </sheetView>
  </sheetViews>
  <sheetFormatPr defaultColWidth="9.140625" defaultRowHeight="15" x14ac:dyDescent="0.25"/>
  <cols>
    <col min="1" max="1" width="1.7109375" style="611" customWidth="1"/>
    <col min="2" max="2" width="2" style="611" customWidth="1"/>
    <col min="3" max="3" width="10" style="611" customWidth="1"/>
    <col min="4" max="6" width="9.140625" style="611" customWidth="1"/>
    <col min="7" max="7" width="4.28515625" style="611" customWidth="1"/>
    <col min="8" max="8" width="10" style="611" customWidth="1"/>
    <col min="9" max="11" width="9.140625" style="611" customWidth="1"/>
    <col min="12" max="13" width="2.85546875" style="611" customWidth="1"/>
    <col min="14" max="14" width="14.28515625" style="611" customWidth="1"/>
    <col min="15" max="15" width="10" style="611" customWidth="1"/>
    <col min="16" max="16" width="8.28515625" style="611" customWidth="1"/>
    <col min="17" max="17" width="9.140625" style="611" customWidth="1"/>
    <col min="18" max="18" width="2.85546875" style="611" customWidth="1"/>
    <col min="19" max="19" width="14.140625" style="611" customWidth="1"/>
    <col min="20" max="20" width="10" style="611" customWidth="1"/>
    <col min="21" max="21" width="8.28515625" style="611" customWidth="1"/>
    <col min="22" max="22" width="9.140625" style="611"/>
    <col min="23" max="23" width="2.140625" style="611" customWidth="1"/>
    <col min="24" max="16384" width="9.140625" style="611"/>
  </cols>
  <sheetData>
    <row r="1" spans="1:34" x14ac:dyDescent="0.25">
      <c r="C1" s="2"/>
      <c r="D1" s="2"/>
      <c r="E1" s="2"/>
      <c r="F1" s="2"/>
      <c r="G1" s="2"/>
      <c r="K1" s="2"/>
      <c r="L1" s="2"/>
      <c r="M1" s="2"/>
    </row>
    <row r="2" spans="1:34" ht="23.25" x14ac:dyDescent="0.25">
      <c r="A2" s="107"/>
      <c r="B2" s="107"/>
      <c r="C2" s="107"/>
      <c r="D2" s="107"/>
      <c r="E2" s="107"/>
      <c r="F2" s="107"/>
      <c r="G2" s="107"/>
      <c r="H2" s="107"/>
      <c r="I2" s="107" t="s">
        <v>1586</v>
      </c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</row>
    <row r="3" spans="1:34" ht="15.75" thickBot="1" x14ac:dyDescent="0.3">
      <c r="C3" s="429"/>
      <c r="E3" s="409"/>
      <c r="F3" s="409"/>
      <c r="G3" s="419"/>
      <c r="I3" s="430"/>
      <c r="J3" s="430"/>
      <c r="K3" s="419"/>
      <c r="L3" s="396"/>
      <c r="M3" s="410"/>
      <c r="N3" s="419"/>
      <c r="O3" s="396"/>
      <c r="P3" s="396"/>
      <c r="Q3" s="410"/>
      <c r="R3" s="409"/>
      <c r="S3" s="419"/>
    </row>
    <row r="4" spans="1:34" ht="24" thickBot="1" x14ac:dyDescent="0.3">
      <c r="B4" s="962" t="s">
        <v>1211</v>
      </c>
      <c r="C4" s="1067"/>
      <c r="D4" s="1067"/>
      <c r="E4" s="1067"/>
      <c r="F4" s="1067"/>
      <c r="G4" s="1067"/>
      <c r="H4" s="1067"/>
      <c r="I4" s="1067"/>
      <c r="J4" s="1067"/>
      <c r="K4" s="1067"/>
      <c r="L4" s="1068"/>
      <c r="N4" s="962" t="s">
        <v>1415</v>
      </c>
      <c r="O4" s="963"/>
      <c r="P4" s="963"/>
      <c r="Q4" s="963"/>
      <c r="R4" s="963"/>
      <c r="S4" s="963"/>
      <c r="T4" s="963"/>
      <c r="U4" s="963"/>
      <c r="V4" s="963"/>
      <c r="W4" s="964"/>
    </row>
    <row r="5" spans="1:34" ht="7.5" customHeight="1" x14ac:dyDescent="0.25">
      <c r="B5" s="11"/>
      <c r="C5" s="396"/>
      <c r="D5" s="396"/>
      <c r="E5" s="396"/>
      <c r="F5" s="396"/>
      <c r="G5" s="396"/>
      <c r="H5" s="396"/>
      <c r="I5" s="396"/>
      <c r="J5" s="396"/>
      <c r="K5" s="396"/>
      <c r="L5" s="4"/>
      <c r="N5" s="11"/>
      <c r="O5" s="396"/>
      <c r="P5" s="396"/>
      <c r="Q5" s="396"/>
      <c r="R5" s="396"/>
      <c r="S5" s="396"/>
      <c r="T5" s="396"/>
      <c r="U5" s="396"/>
      <c r="V5" s="396"/>
      <c r="W5" s="4"/>
    </row>
    <row r="6" spans="1:34" ht="18.75" customHeight="1" x14ac:dyDescent="0.25">
      <c r="B6" s="11"/>
      <c r="C6" s="1066" t="s">
        <v>1360</v>
      </c>
      <c r="D6" s="1066"/>
      <c r="E6" s="1066"/>
      <c r="F6" s="1066"/>
      <c r="G6" s="396"/>
      <c r="H6" s="1066" t="s">
        <v>1359</v>
      </c>
      <c r="I6" s="1066"/>
      <c r="J6" s="1066"/>
      <c r="K6" s="1066"/>
      <c r="L6" s="4"/>
      <c r="N6" s="11"/>
      <c r="O6" s="396"/>
      <c r="P6" s="396"/>
      <c r="Q6" s="396"/>
      <c r="R6" s="396"/>
      <c r="S6" s="396"/>
      <c r="T6" s="396"/>
      <c r="U6" s="396"/>
      <c r="V6" s="396"/>
      <c r="W6" s="4"/>
    </row>
    <row r="7" spans="1:34" ht="3.75" customHeight="1" thickBot="1" x14ac:dyDescent="0.3">
      <c r="B7" s="11"/>
      <c r="C7" s="396"/>
      <c r="D7" s="396"/>
      <c r="E7" s="396"/>
      <c r="F7" s="396"/>
      <c r="G7" s="396"/>
      <c r="H7" s="396"/>
      <c r="I7" s="396"/>
      <c r="J7" s="396"/>
      <c r="K7" s="396"/>
      <c r="L7" s="4"/>
      <c r="N7" s="276" t="s">
        <v>1213</v>
      </c>
      <c r="O7" s="396"/>
      <c r="P7" s="396"/>
      <c r="Q7" s="396"/>
      <c r="R7" s="396"/>
      <c r="S7" s="396"/>
      <c r="T7" s="396"/>
      <c r="U7" s="396"/>
      <c r="V7" s="396"/>
      <c r="W7" s="4"/>
    </row>
    <row r="8" spans="1:34" ht="18.75" customHeight="1" thickBot="1" x14ac:dyDescent="0.3">
      <c r="B8" s="11"/>
      <c r="C8" s="736" t="s">
        <v>1356</v>
      </c>
      <c r="D8" s="1293" t="str">
        <f>Unformatted!E542</f>
        <v>N/A</v>
      </c>
      <c r="E8" s="1294"/>
      <c r="F8" s="1295"/>
      <c r="G8" s="731"/>
      <c r="H8" s="736" t="s">
        <v>1356</v>
      </c>
      <c r="I8" s="1293" t="str">
        <f>Unformatted!E546</f>
        <v>N/A</v>
      </c>
      <c r="J8" s="1294"/>
      <c r="K8" s="1295"/>
      <c r="L8" s="4"/>
      <c r="N8" s="11"/>
      <c r="O8" s="396"/>
      <c r="P8" s="396"/>
      <c r="Q8" s="396"/>
      <c r="R8" s="396"/>
      <c r="S8" s="396"/>
      <c r="T8" s="396"/>
      <c r="U8" s="396"/>
      <c r="V8" s="396"/>
      <c r="W8" s="4"/>
    </row>
    <row r="9" spans="1:34" ht="3.75" customHeight="1" x14ac:dyDescent="0.25">
      <c r="B9" s="11"/>
      <c r="C9" s="736"/>
      <c r="D9" s="731"/>
      <c r="E9" s="731"/>
      <c r="F9" s="731"/>
      <c r="G9" s="731"/>
      <c r="H9" s="736"/>
      <c r="I9" s="731"/>
      <c r="J9" s="731"/>
      <c r="K9" s="731"/>
      <c r="L9" s="4"/>
      <c r="N9" s="11"/>
      <c r="O9" s="396"/>
      <c r="P9" s="396"/>
      <c r="Q9" s="396"/>
      <c r="R9" s="396"/>
      <c r="S9" s="396"/>
      <c r="T9" s="396"/>
      <c r="U9" s="396"/>
      <c r="V9" s="396"/>
      <c r="W9" s="4"/>
    </row>
    <row r="10" spans="1:34" ht="18.75" customHeight="1" x14ac:dyDescent="0.25">
      <c r="B10" s="11"/>
      <c r="C10" s="736" t="s">
        <v>1498</v>
      </c>
      <c r="D10" s="396"/>
      <c r="E10" s="589"/>
      <c r="F10" s="396"/>
      <c r="G10" s="589"/>
      <c r="H10" s="736" t="s">
        <v>1498</v>
      </c>
      <c r="I10" s="396"/>
      <c r="J10" s="589"/>
      <c r="K10" s="396"/>
      <c r="L10" s="4"/>
      <c r="N10" s="11"/>
      <c r="O10" s="396"/>
      <c r="P10" s="396"/>
      <c r="Q10" s="396"/>
      <c r="R10" s="396"/>
      <c r="S10" s="396"/>
      <c r="T10" s="396"/>
      <c r="U10" s="396"/>
      <c r="V10" s="396"/>
      <c r="W10" s="4"/>
    </row>
    <row r="11" spans="1:34" ht="3.75" customHeight="1" thickBot="1" x14ac:dyDescent="0.3">
      <c r="B11" s="11"/>
      <c r="C11" s="736"/>
      <c r="D11" s="396"/>
      <c r="E11" s="396"/>
      <c r="F11" s="396"/>
      <c r="G11" s="396"/>
      <c r="H11" s="736"/>
      <c r="I11" s="396"/>
      <c r="J11" s="396"/>
      <c r="K11" s="396"/>
      <c r="L11" s="4"/>
      <c r="N11" s="11"/>
      <c r="O11" s="396"/>
      <c r="P11" s="396"/>
      <c r="Q11" s="396"/>
      <c r="R11" s="396"/>
      <c r="S11" s="396"/>
      <c r="T11" s="396"/>
      <c r="U11" s="396"/>
      <c r="V11" s="396"/>
      <c r="W11" s="4"/>
    </row>
    <row r="12" spans="1:34" ht="18.75" customHeight="1" thickBot="1" x14ac:dyDescent="0.3">
      <c r="B12" s="11"/>
      <c r="C12" s="736" t="s">
        <v>1357</v>
      </c>
      <c r="D12" s="322" t="str">
        <f>Unformatted!E543</f>
        <v>N/A</v>
      </c>
      <c r="E12" s="736" t="s">
        <v>1358</v>
      </c>
      <c r="F12" s="322" t="str">
        <f>Unformatted!E544</f>
        <v>N/A</v>
      </c>
      <c r="G12" s="396"/>
      <c r="H12" s="736" t="s">
        <v>1357</v>
      </c>
      <c r="I12" s="322" t="str">
        <f>Unformatted!E547</f>
        <v>N/A</v>
      </c>
      <c r="J12" s="736" t="s">
        <v>1358</v>
      </c>
      <c r="K12" s="322" t="str">
        <f>Unformatted!E548</f>
        <v>N/A</v>
      </c>
      <c r="L12" s="4"/>
      <c r="N12" s="11"/>
      <c r="O12" s="396"/>
      <c r="P12" s="396"/>
      <c r="Q12" s="396"/>
      <c r="R12" s="396"/>
      <c r="S12" s="396"/>
      <c r="T12" s="396"/>
      <c r="U12" s="396"/>
      <c r="V12" s="396"/>
      <c r="W12" s="4"/>
      <c r="X12" s="508"/>
      <c r="AD12" s="508"/>
      <c r="AE12" s="508"/>
      <c r="AF12" s="508"/>
      <c r="AG12" s="508"/>
      <c r="AH12" s="508"/>
    </row>
    <row r="13" spans="1:34" ht="7.5" customHeight="1" x14ac:dyDescent="0.25">
      <c r="B13" s="11"/>
      <c r="C13" s="396"/>
      <c r="D13" s="396"/>
      <c r="E13" s="396"/>
      <c r="F13" s="396"/>
      <c r="G13" s="396"/>
      <c r="H13" s="396"/>
      <c r="I13" s="396"/>
      <c r="J13" s="396"/>
      <c r="K13" s="396"/>
      <c r="L13" s="4"/>
      <c r="N13" s="11"/>
      <c r="O13" s="396"/>
      <c r="P13" s="396"/>
      <c r="Q13" s="396"/>
      <c r="R13" s="396"/>
      <c r="S13" s="396"/>
      <c r="T13" s="396"/>
      <c r="U13" s="396"/>
      <c r="V13" s="396"/>
      <c r="W13" s="4"/>
      <c r="X13" s="590"/>
      <c r="Y13" s="438"/>
      <c r="Z13" s="438"/>
      <c r="AA13" s="438"/>
      <c r="AB13" s="438"/>
      <c r="AC13" s="438"/>
      <c r="AD13" s="438"/>
      <c r="AE13" s="438"/>
      <c r="AF13" s="438"/>
      <c r="AG13" s="438"/>
      <c r="AH13" s="438"/>
    </row>
    <row r="14" spans="1:34" ht="18.75" customHeight="1" x14ac:dyDescent="0.25">
      <c r="B14" s="11"/>
      <c r="C14" s="1066" t="s">
        <v>1361</v>
      </c>
      <c r="D14" s="1066"/>
      <c r="E14" s="1066"/>
      <c r="F14" s="1066"/>
      <c r="G14" s="731"/>
      <c r="H14" s="1066" t="s">
        <v>1499</v>
      </c>
      <c r="I14" s="1066"/>
      <c r="J14" s="1066"/>
      <c r="K14" s="1066"/>
      <c r="L14" s="4"/>
      <c r="M14" s="396"/>
      <c r="N14" s="11"/>
      <c r="O14" s="396"/>
      <c r="P14" s="396"/>
      <c r="Q14" s="396"/>
      <c r="R14" s="396"/>
      <c r="S14" s="396"/>
      <c r="T14" s="396"/>
      <c r="U14" s="396"/>
      <c r="V14" s="396"/>
      <c r="W14" s="4"/>
      <c r="X14" s="507"/>
      <c r="Y14" s="438"/>
      <c r="Z14" s="438"/>
      <c r="AA14" s="507"/>
      <c r="AB14" s="438"/>
      <c r="AC14" s="438"/>
      <c r="AD14" s="507"/>
      <c r="AE14" s="438"/>
      <c r="AF14" s="438"/>
      <c r="AG14" s="507"/>
      <c r="AH14" s="438"/>
    </row>
    <row r="15" spans="1:34" ht="3.75" customHeight="1" thickBot="1" x14ac:dyDescent="0.3">
      <c r="B15" s="11"/>
      <c r="C15" s="415"/>
      <c r="D15" s="396"/>
      <c r="E15" s="396"/>
      <c r="F15" s="396"/>
      <c r="G15" s="396"/>
      <c r="H15" s="396"/>
      <c r="I15" s="396"/>
      <c r="J15" s="396"/>
      <c r="K15" s="396"/>
      <c r="L15" s="4"/>
      <c r="M15" s="396"/>
      <c r="N15" s="11"/>
      <c r="O15" s="396"/>
      <c r="P15" s="396"/>
      <c r="Q15" s="396"/>
      <c r="R15" s="396"/>
      <c r="S15" s="396"/>
      <c r="T15" s="396"/>
      <c r="U15" s="396"/>
      <c r="V15" s="396"/>
      <c r="W15" s="4"/>
      <c r="X15" s="438"/>
      <c r="Y15" s="438"/>
      <c r="Z15" s="438"/>
      <c r="AA15" s="438"/>
      <c r="AB15" s="438"/>
      <c r="AC15" s="438"/>
      <c r="AD15" s="438"/>
      <c r="AE15" s="438"/>
      <c r="AF15" s="438"/>
      <c r="AG15" s="438"/>
      <c r="AH15" s="438"/>
    </row>
    <row r="16" spans="1:34" ht="18.75" customHeight="1" thickBot="1" x14ac:dyDescent="0.3">
      <c r="B16" s="11"/>
      <c r="C16" s="736" t="s">
        <v>1356</v>
      </c>
      <c r="D16" s="1293" t="str">
        <f>Unformatted!E550</f>
        <v>N/A</v>
      </c>
      <c r="E16" s="1294"/>
      <c r="F16" s="1295"/>
      <c r="G16" s="396"/>
      <c r="H16" s="736" t="s">
        <v>1356</v>
      </c>
      <c r="I16" s="1293" t="str">
        <f>Unformatted!E554</f>
        <v>N/A</v>
      </c>
      <c r="J16" s="1294"/>
      <c r="K16" s="1295"/>
      <c r="L16" s="4"/>
      <c r="M16" s="396"/>
      <c r="N16" s="962" t="s">
        <v>1314</v>
      </c>
      <c r="O16" s="963"/>
      <c r="P16" s="963"/>
      <c r="Q16" s="963"/>
      <c r="R16" s="963"/>
      <c r="S16" s="963"/>
      <c r="T16" s="963"/>
      <c r="U16" s="963"/>
      <c r="V16" s="963"/>
      <c r="W16" s="964"/>
      <c r="X16" s="508"/>
      <c r="Y16" s="508"/>
      <c r="Z16" s="508"/>
      <c r="AA16" s="508"/>
      <c r="AB16" s="508"/>
      <c r="AC16" s="438"/>
      <c r="AD16" s="508"/>
      <c r="AE16" s="508"/>
      <c r="AF16" s="508"/>
      <c r="AG16" s="508"/>
      <c r="AH16" s="508"/>
    </row>
    <row r="17" spans="2:34" ht="3.75" customHeight="1" thickBot="1" x14ac:dyDescent="0.3">
      <c r="B17" s="11"/>
      <c r="C17" s="736"/>
      <c r="D17" s="731"/>
      <c r="E17" s="731"/>
      <c r="F17" s="731"/>
      <c r="G17" s="731"/>
      <c r="H17" s="736"/>
      <c r="I17" s="731"/>
      <c r="J17" s="731"/>
      <c r="K17" s="731"/>
      <c r="L17" s="4"/>
      <c r="M17" s="396"/>
      <c r="N17" s="11"/>
      <c r="O17" s="396"/>
      <c r="P17" s="396"/>
      <c r="Q17" s="396"/>
      <c r="R17" s="396"/>
      <c r="S17" s="396"/>
      <c r="T17" s="396"/>
      <c r="U17" s="396"/>
      <c r="V17" s="396"/>
      <c r="W17" s="4"/>
      <c r="X17" s="508"/>
      <c r="Y17" s="508"/>
      <c r="Z17" s="508"/>
      <c r="AA17" s="508"/>
      <c r="AB17" s="508"/>
      <c r="AC17" s="438"/>
      <c r="AD17" s="508"/>
      <c r="AE17" s="508"/>
      <c r="AF17" s="508"/>
      <c r="AG17" s="508"/>
      <c r="AH17" s="508"/>
    </row>
    <row r="18" spans="2:34" ht="18.75" customHeight="1" thickBot="1" x14ac:dyDescent="0.3">
      <c r="B18" s="11"/>
      <c r="C18" s="736" t="s">
        <v>1498</v>
      </c>
      <c r="D18" s="396"/>
      <c r="E18" s="589"/>
      <c r="F18" s="396"/>
      <c r="G18" s="731"/>
      <c r="H18" s="736" t="s">
        <v>1498</v>
      </c>
      <c r="I18" s="396"/>
      <c r="J18" s="589"/>
      <c r="K18" s="396"/>
      <c r="L18" s="4"/>
      <c r="M18" s="396"/>
      <c r="N18" s="276" t="s">
        <v>1214</v>
      </c>
      <c r="O18" s="1293" t="str">
        <f>Unformatted!E284</f>
        <v>N/A</v>
      </c>
      <c r="P18" s="1294"/>
      <c r="Q18" s="1295"/>
      <c r="R18" s="396"/>
      <c r="S18" s="746" t="s">
        <v>1214</v>
      </c>
      <c r="T18" s="1293" t="str">
        <f>Unformatted!E289</f>
        <v>N/A</v>
      </c>
      <c r="U18" s="1294"/>
      <c r="V18" s="1295"/>
      <c r="W18" s="4"/>
      <c r="X18" s="438"/>
      <c r="Y18" s="438"/>
      <c r="Z18" s="438"/>
      <c r="AA18" s="438"/>
      <c r="AB18" s="438"/>
      <c r="AC18" s="438"/>
      <c r="AD18" s="438"/>
      <c r="AE18" s="438"/>
      <c r="AF18" s="438"/>
      <c r="AG18" s="438"/>
      <c r="AH18" s="438"/>
    </row>
    <row r="19" spans="2:34" ht="3.75" customHeight="1" thickBot="1" x14ac:dyDescent="0.3">
      <c r="B19" s="11"/>
      <c r="C19" s="736"/>
      <c r="D19" s="396"/>
      <c r="E19" s="396"/>
      <c r="F19" s="396"/>
      <c r="G19" s="396"/>
      <c r="H19" s="736"/>
      <c r="I19" s="396"/>
      <c r="J19" s="396"/>
      <c r="K19" s="396"/>
      <c r="L19" s="4"/>
      <c r="M19" s="396"/>
      <c r="N19" s="11"/>
      <c r="O19" s="396"/>
      <c r="P19" s="396"/>
      <c r="Q19" s="396"/>
      <c r="R19" s="396"/>
      <c r="S19" s="396"/>
      <c r="T19" s="396"/>
      <c r="U19" s="396"/>
      <c r="V19" s="396"/>
      <c r="W19" s="4"/>
      <c r="X19" s="438"/>
      <c r="Y19" s="438"/>
      <c r="Z19" s="438"/>
      <c r="AA19" s="438"/>
      <c r="AB19" s="438"/>
      <c r="AC19" s="438"/>
      <c r="AD19" s="438"/>
      <c r="AE19" s="438"/>
      <c r="AF19" s="438"/>
      <c r="AG19" s="438"/>
      <c r="AH19" s="438"/>
    </row>
    <row r="20" spans="2:34" ht="18.75" customHeight="1" thickBot="1" x14ac:dyDescent="0.3">
      <c r="B20" s="11"/>
      <c r="C20" s="736" t="s">
        <v>1357</v>
      </c>
      <c r="D20" s="322" t="str">
        <f>Unformatted!E551</f>
        <v>N/A</v>
      </c>
      <c r="E20" s="736" t="s">
        <v>1358</v>
      </c>
      <c r="F20" s="322" t="str">
        <f>Unformatted!E552</f>
        <v>N/A</v>
      </c>
      <c r="G20" s="396"/>
      <c r="H20" s="736" t="s">
        <v>1357</v>
      </c>
      <c r="I20" s="322" t="str">
        <f>Unformatted!E555</f>
        <v>N/A</v>
      </c>
      <c r="J20" s="736" t="s">
        <v>1358</v>
      </c>
      <c r="K20" s="322" t="str">
        <f>Unformatted!E556</f>
        <v>N/A</v>
      </c>
      <c r="L20" s="4"/>
      <c r="M20" s="396"/>
      <c r="N20" s="276" t="s">
        <v>1196</v>
      </c>
      <c r="O20" s="396"/>
      <c r="P20" s="396"/>
      <c r="Q20" s="396"/>
      <c r="R20" s="396"/>
      <c r="S20" s="746" t="s">
        <v>1196</v>
      </c>
      <c r="T20" s="396"/>
      <c r="U20" s="396"/>
      <c r="V20" s="396"/>
      <c r="W20" s="4"/>
      <c r="X20" s="438"/>
      <c r="Y20" s="438"/>
      <c r="Z20" s="438"/>
      <c r="AA20" s="438"/>
      <c r="AB20" s="438"/>
      <c r="AC20" s="438"/>
      <c r="AD20" s="438"/>
      <c r="AE20" s="438"/>
      <c r="AF20" s="438"/>
      <c r="AG20" s="438"/>
      <c r="AH20" s="438"/>
    </row>
    <row r="21" spans="2:34" ht="3.75" customHeight="1" thickBot="1" x14ac:dyDescent="0.3">
      <c r="B21" s="11"/>
      <c r="C21" s="396"/>
      <c r="D21" s="396"/>
      <c r="E21" s="396"/>
      <c r="F21" s="396"/>
      <c r="G21" s="396"/>
      <c r="H21" s="396"/>
      <c r="I21" s="396"/>
      <c r="J21" s="396"/>
      <c r="K21" s="396"/>
      <c r="L21" s="4"/>
      <c r="M21" s="396"/>
      <c r="N21" s="11"/>
      <c r="O21" s="396"/>
      <c r="P21" s="396"/>
      <c r="Q21" s="396"/>
      <c r="R21" s="396"/>
      <c r="S21" s="396"/>
      <c r="T21" s="396"/>
      <c r="U21" s="396"/>
      <c r="V21" s="396"/>
      <c r="W21" s="4"/>
      <c r="X21" s="508"/>
      <c r="Y21" s="508"/>
      <c r="Z21" s="508"/>
      <c r="AA21" s="508"/>
      <c r="AB21" s="508"/>
      <c r="AC21" s="438"/>
      <c r="AD21" s="508"/>
      <c r="AE21" s="508"/>
      <c r="AF21" s="508"/>
      <c r="AG21" s="508"/>
      <c r="AH21" s="508"/>
    </row>
    <row r="22" spans="2:34" ht="18.75" customHeight="1" thickBot="1" x14ac:dyDescent="0.3">
      <c r="B22" s="11"/>
      <c r="C22" s="1066" t="s">
        <v>1365</v>
      </c>
      <c r="D22" s="1066"/>
      <c r="E22" s="1066"/>
      <c r="F22" s="1066"/>
      <c r="G22" s="396"/>
      <c r="H22" s="1066" t="s">
        <v>1366</v>
      </c>
      <c r="I22" s="1066"/>
      <c r="J22" s="1066"/>
      <c r="K22" s="1066"/>
      <c r="L22" s="4"/>
      <c r="M22" s="396"/>
      <c r="N22" s="276" t="s">
        <v>1504</v>
      </c>
      <c r="O22" s="1061" t="str">
        <f>Unformatted!F585</f>
        <v/>
      </c>
      <c r="P22" s="1062"/>
      <c r="Q22" s="1063"/>
      <c r="R22" s="396"/>
      <c r="S22" s="746" t="s">
        <v>1504</v>
      </c>
      <c r="T22" s="1061" t="str">
        <f>Unformatted!F589</f>
        <v/>
      </c>
      <c r="U22" s="1062"/>
      <c r="V22" s="1063"/>
      <c r="W22" s="4"/>
      <c r="X22" s="590"/>
      <c r="Y22" s="438"/>
      <c r="Z22" s="438"/>
      <c r="AA22" s="438"/>
      <c r="AB22" s="438"/>
      <c r="AC22" s="438"/>
      <c r="AD22" s="438"/>
      <c r="AE22" s="438"/>
      <c r="AF22" s="438"/>
      <c r="AG22" s="438"/>
      <c r="AH22" s="438"/>
    </row>
    <row r="23" spans="2:34" ht="3.75" customHeight="1" thickBot="1" x14ac:dyDescent="0.3">
      <c r="B23" s="11"/>
      <c r="C23" s="396"/>
      <c r="D23" s="396"/>
      <c r="E23" s="396"/>
      <c r="F23" s="396"/>
      <c r="G23" s="396"/>
      <c r="H23" s="396"/>
      <c r="I23" s="396"/>
      <c r="J23" s="396"/>
      <c r="K23" s="396"/>
      <c r="L23" s="4"/>
      <c r="M23" s="396"/>
      <c r="N23" s="11"/>
      <c r="O23" s="396"/>
      <c r="P23" s="396"/>
      <c r="Q23" s="396"/>
      <c r="R23" s="396"/>
      <c r="S23" s="396"/>
      <c r="T23" s="396"/>
      <c r="U23" s="396"/>
      <c r="V23" s="396"/>
      <c r="W23" s="4"/>
      <c r="X23" s="507"/>
      <c r="Y23" s="438"/>
      <c r="Z23" s="438"/>
      <c r="AA23" s="507"/>
      <c r="AB23" s="438"/>
      <c r="AC23" s="438"/>
      <c r="AD23" s="507"/>
      <c r="AE23" s="438"/>
      <c r="AF23" s="438"/>
      <c r="AG23" s="507"/>
      <c r="AH23" s="438"/>
    </row>
    <row r="24" spans="2:34" ht="18.75" customHeight="1" thickBot="1" x14ac:dyDescent="0.3">
      <c r="B24" s="11"/>
      <c r="C24" s="736" t="s">
        <v>1356</v>
      </c>
      <c r="D24" s="1293" t="str">
        <f>Unformatted!E558</f>
        <v>N/A</v>
      </c>
      <c r="E24" s="1294"/>
      <c r="F24" s="1295"/>
      <c r="G24" s="396"/>
      <c r="H24" s="736" t="s">
        <v>1356</v>
      </c>
      <c r="I24" s="1293" t="str">
        <f>Unformatted!E562</f>
        <v>N/A</v>
      </c>
      <c r="J24" s="1294"/>
      <c r="K24" s="1295"/>
      <c r="L24" s="4"/>
      <c r="M24" s="396"/>
      <c r="N24" s="11"/>
      <c r="O24" s="746" t="s">
        <v>1503</v>
      </c>
      <c r="P24" s="396"/>
      <c r="Q24" s="396"/>
      <c r="R24" s="396"/>
      <c r="S24" s="396"/>
      <c r="T24" s="746" t="s">
        <v>1503</v>
      </c>
      <c r="U24" s="396"/>
      <c r="V24" s="396"/>
      <c r="W24" s="4"/>
      <c r="X24" s="508"/>
      <c r="Y24" s="508"/>
      <c r="Z24" s="508"/>
      <c r="AA24" s="508"/>
      <c r="AB24" s="508"/>
      <c r="AC24" s="438"/>
      <c r="AD24" s="508"/>
      <c r="AE24" s="508"/>
      <c r="AF24" s="508"/>
      <c r="AG24" s="508"/>
      <c r="AH24" s="508"/>
    </row>
    <row r="25" spans="2:34" ht="3.75" customHeight="1" thickBot="1" x14ac:dyDescent="0.3">
      <c r="B25" s="11"/>
      <c r="C25" s="736"/>
      <c r="D25" s="731"/>
      <c r="E25" s="731"/>
      <c r="F25" s="731"/>
      <c r="G25" s="405"/>
      <c r="H25" s="736"/>
      <c r="I25" s="731"/>
      <c r="J25" s="731"/>
      <c r="K25" s="731"/>
      <c r="L25" s="4"/>
      <c r="M25" s="396"/>
      <c r="N25" s="11"/>
      <c r="O25" s="396"/>
      <c r="P25" s="396"/>
      <c r="Q25" s="396"/>
      <c r="R25" s="396"/>
      <c r="S25" s="746" t="s">
        <v>1213</v>
      </c>
      <c r="T25" s="396"/>
      <c r="U25" s="396"/>
      <c r="V25" s="396"/>
      <c r="W25" s="4"/>
      <c r="X25" s="438"/>
      <c r="Y25" s="438"/>
      <c r="Z25" s="438"/>
      <c r="AA25" s="438"/>
      <c r="AB25" s="438"/>
      <c r="AC25" s="438"/>
      <c r="AD25" s="438"/>
      <c r="AE25" s="438"/>
      <c r="AF25" s="438"/>
      <c r="AG25" s="438"/>
      <c r="AH25" s="438"/>
    </row>
    <row r="26" spans="2:34" ht="18.75" customHeight="1" thickBot="1" x14ac:dyDescent="0.3">
      <c r="B26" s="11"/>
      <c r="C26" s="736" t="s">
        <v>1498</v>
      </c>
      <c r="D26" s="396"/>
      <c r="E26" s="589"/>
      <c r="F26" s="396"/>
      <c r="G26" s="396"/>
      <c r="H26" s="736" t="s">
        <v>1498</v>
      </c>
      <c r="I26" s="396"/>
      <c r="J26" s="589"/>
      <c r="K26" s="396"/>
      <c r="L26" s="4"/>
      <c r="M26" s="396"/>
      <c r="N26" s="276" t="s">
        <v>1212</v>
      </c>
      <c r="O26" s="757" t="str">
        <f>Unformatted!F587</f>
        <v/>
      </c>
      <c r="P26" s="396"/>
      <c r="Q26" s="396"/>
      <c r="R26" s="396"/>
      <c r="S26" s="746" t="s">
        <v>1212</v>
      </c>
      <c r="T26" s="757" t="str">
        <f>Unformatted!F591</f>
        <v/>
      </c>
      <c r="U26" s="396"/>
      <c r="V26" s="396"/>
      <c r="W26" s="4"/>
      <c r="X26" s="507"/>
      <c r="Y26" s="438"/>
      <c r="Z26" s="438"/>
      <c r="AA26" s="507"/>
      <c r="AB26" s="438"/>
      <c r="AC26" s="438"/>
      <c r="AD26" s="507"/>
      <c r="AE26" s="438"/>
      <c r="AF26" s="438"/>
      <c r="AG26" s="507"/>
      <c r="AH26" s="438"/>
    </row>
    <row r="27" spans="2:34" ht="3.75" customHeight="1" thickBot="1" x14ac:dyDescent="0.3">
      <c r="B27" s="11"/>
      <c r="C27" s="736"/>
      <c r="D27" s="396"/>
      <c r="E27" s="396"/>
      <c r="F27" s="396"/>
      <c r="G27" s="731"/>
      <c r="H27" s="736"/>
      <c r="I27" s="396"/>
      <c r="J27" s="396"/>
      <c r="K27" s="396"/>
      <c r="L27" s="4"/>
      <c r="M27" s="396"/>
      <c r="N27" s="11"/>
      <c r="O27" s="396"/>
      <c r="P27" s="396"/>
      <c r="Q27" s="396"/>
      <c r="R27" s="396"/>
      <c r="S27" s="396"/>
      <c r="T27" s="396"/>
      <c r="U27" s="396"/>
      <c r="V27" s="396"/>
      <c r="W27" s="4"/>
      <c r="X27" s="438"/>
      <c r="Y27" s="438"/>
      <c r="Z27" s="438"/>
      <c r="AA27" s="438"/>
      <c r="AB27" s="438"/>
      <c r="AC27" s="438"/>
      <c r="AD27" s="438"/>
      <c r="AE27" s="438"/>
      <c r="AF27" s="438"/>
      <c r="AG27" s="438"/>
      <c r="AH27" s="438"/>
    </row>
    <row r="28" spans="2:34" ht="18.75" customHeight="1" thickBot="1" x14ac:dyDescent="0.3">
      <c r="B28" s="11"/>
      <c r="C28" s="736" t="s">
        <v>1357</v>
      </c>
      <c r="D28" s="322" t="str">
        <f>Unformatted!E559</f>
        <v>N/A</v>
      </c>
      <c r="E28" s="736" t="s">
        <v>1358</v>
      </c>
      <c r="F28" s="322" t="str">
        <f>Unformatted!E560</f>
        <v>N/A</v>
      </c>
      <c r="G28" s="396"/>
      <c r="H28" s="736" t="s">
        <v>1357</v>
      </c>
      <c r="I28" s="322" t="str">
        <f>Unformatted!E563</f>
        <v>N/A</v>
      </c>
      <c r="J28" s="736" t="s">
        <v>1358</v>
      </c>
      <c r="K28" s="322" t="str">
        <f>Unformatted!E564</f>
        <v>N/A</v>
      </c>
      <c r="L28" s="4"/>
      <c r="M28" s="396"/>
      <c r="N28" s="11"/>
      <c r="O28" s="396"/>
      <c r="P28" s="396"/>
      <c r="Q28" s="396"/>
      <c r="R28" s="396"/>
      <c r="S28" s="396"/>
      <c r="T28" s="396"/>
      <c r="U28" s="396"/>
      <c r="V28" s="396"/>
      <c r="W28" s="4"/>
      <c r="X28" s="438"/>
      <c r="Y28" s="438"/>
      <c r="Z28" s="438"/>
      <c r="AA28" s="438"/>
      <c r="AB28" s="438"/>
      <c r="AC28" s="438"/>
      <c r="AD28" s="438"/>
      <c r="AE28" s="438"/>
      <c r="AF28" s="438"/>
      <c r="AG28" s="438"/>
      <c r="AH28" s="438"/>
    </row>
    <row r="29" spans="2:34" ht="3.75" customHeight="1" thickBot="1" x14ac:dyDescent="0.3">
      <c r="B29" s="11"/>
      <c r="C29" s="396"/>
      <c r="D29" s="396"/>
      <c r="E29" s="396"/>
      <c r="F29" s="396"/>
      <c r="G29" s="396"/>
      <c r="H29" s="396"/>
      <c r="I29" s="396"/>
      <c r="J29" s="396"/>
      <c r="K29" s="396"/>
      <c r="L29" s="4"/>
      <c r="M29" s="396"/>
      <c r="N29" s="11"/>
      <c r="O29" s="396"/>
      <c r="P29" s="396"/>
      <c r="Q29" s="396"/>
      <c r="R29" s="396"/>
      <c r="S29" s="396"/>
      <c r="T29" s="396"/>
      <c r="U29" s="396"/>
      <c r="V29" s="396"/>
      <c r="W29" s="4"/>
    </row>
    <row r="30" spans="2:34" ht="19.5" customHeight="1" thickBot="1" x14ac:dyDescent="0.3">
      <c r="B30" s="11"/>
      <c r="C30" s="1066" t="s">
        <v>1364</v>
      </c>
      <c r="D30" s="1066"/>
      <c r="E30" s="1066"/>
      <c r="F30" s="1066"/>
      <c r="G30" s="438"/>
      <c r="H30" s="1066" t="s">
        <v>1363</v>
      </c>
      <c r="I30" s="1066"/>
      <c r="J30" s="1066"/>
      <c r="K30" s="1066"/>
      <c r="L30" s="4"/>
      <c r="M30" s="396"/>
      <c r="N30" s="276" t="s">
        <v>1214</v>
      </c>
      <c r="O30" s="1293" t="str">
        <f>Unformatted!E294</f>
        <v>N/A</v>
      </c>
      <c r="P30" s="1294"/>
      <c r="Q30" s="1295"/>
      <c r="R30" s="396"/>
      <c r="S30" s="746" t="s">
        <v>1214</v>
      </c>
      <c r="T30" s="1293" t="str">
        <f>Unformatted!E299</f>
        <v>N/A</v>
      </c>
      <c r="U30" s="1294"/>
      <c r="V30" s="1295"/>
      <c r="W30" s="4"/>
    </row>
    <row r="31" spans="2:34" ht="3.75" customHeight="1" thickBot="1" x14ac:dyDescent="0.3">
      <c r="B31" s="11"/>
      <c r="C31" s="396"/>
      <c r="D31" s="396"/>
      <c r="E31" s="396"/>
      <c r="F31" s="396"/>
      <c r="G31" s="508"/>
      <c r="H31" s="396"/>
      <c r="I31" s="396"/>
      <c r="J31" s="396"/>
      <c r="K31" s="396"/>
      <c r="L31" s="4"/>
      <c r="M31" s="396"/>
      <c r="N31" s="11"/>
      <c r="O31" s="396"/>
      <c r="P31" s="396"/>
      <c r="Q31" s="396"/>
      <c r="R31" s="396"/>
      <c r="S31" s="396"/>
      <c r="T31" s="396"/>
      <c r="U31" s="396"/>
      <c r="V31" s="396"/>
      <c r="W31" s="4"/>
    </row>
    <row r="32" spans="2:34" ht="19.5" customHeight="1" thickBot="1" x14ac:dyDescent="0.3">
      <c r="B32" s="11"/>
      <c r="C32" s="736" t="s">
        <v>1356</v>
      </c>
      <c r="D32" s="1293" t="str">
        <f>Unformatted!E566</f>
        <v>N/A</v>
      </c>
      <c r="E32" s="1294"/>
      <c r="F32" s="1295"/>
      <c r="G32" s="438"/>
      <c r="H32" s="736" t="s">
        <v>1356</v>
      </c>
      <c r="I32" s="1293" t="str">
        <f>Unformatted!E570</f>
        <v>N/A</v>
      </c>
      <c r="J32" s="1294"/>
      <c r="K32" s="1295"/>
      <c r="L32" s="4"/>
      <c r="M32" s="396"/>
      <c r="N32" s="276" t="s">
        <v>1196</v>
      </c>
      <c r="O32" s="396"/>
      <c r="P32" s="396"/>
      <c r="Q32" s="396"/>
      <c r="R32" s="396"/>
      <c r="S32" s="746" t="s">
        <v>1196</v>
      </c>
      <c r="T32" s="396"/>
      <c r="U32" s="396"/>
      <c r="V32" s="396"/>
      <c r="W32" s="4"/>
    </row>
    <row r="33" spans="2:26" ht="3.75" customHeight="1" thickBot="1" x14ac:dyDescent="0.3">
      <c r="B33" s="11"/>
      <c r="C33" s="736"/>
      <c r="D33" s="731"/>
      <c r="E33" s="731"/>
      <c r="F33" s="731"/>
      <c r="G33" s="507"/>
      <c r="H33" s="736"/>
      <c r="I33" s="731"/>
      <c r="J33" s="731"/>
      <c r="K33" s="731"/>
      <c r="L33" s="4"/>
      <c r="M33" s="396"/>
      <c r="N33" s="11"/>
      <c r="O33" s="396"/>
      <c r="P33" s="396"/>
      <c r="Q33" s="396"/>
      <c r="R33" s="396"/>
      <c r="S33" s="396"/>
      <c r="T33" s="396"/>
      <c r="U33" s="396"/>
      <c r="V33" s="396"/>
      <c r="W33" s="4"/>
      <c r="X33" s="396"/>
      <c r="Y33" s="396"/>
      <c r="Z33" s="396"/>
    </row>
    <row r="34" spans="2:26" ht="18.75" customHeight="1" thickBot="1" x14ac:dyDescent="0.3">
      <c r="B34" s="11"/>
      <c r="C34" s="736" t="s">
        <v>1498</v>
      </c>
      <c r="D34" s="396"/>
      <c r="E34" s="589"/>
      <c r="F34" s="396"/>
      <c r="G34" s="396"/>
      <c r="H34" s="736" t="s">
        <v>1498</v>
      </c>
      <c r="I34" s="396"/>
      <c r="J34" s="589"/>
      <c r="K34" s="396"/>
      <c r="L34" s="4"/>
      <c r="M34" s="396"/>
      <c r="N34" s="276" t="s">
        <v>1504</v>
      </c>
      <c r="O34" s="1061" t="str">
        <f>Unformatted!F593</f>
        <v/>
      </c>
      <c r="P34" s="1062"/>
      <c r="Q34" s="1063"/>
      <c r="R34" s="396"/>
      <c r="S34" s="746" t="s">
        <v>1504</v>
      </c>
      <c r="T34" s="1061" t="str">
        <f>Unformatted!F597</f>
        <v/>
      </c>
      <c r="U34" s="1062"/>
      <c r="V34" s="1063"/>
      <c r="W34" s="4"/>
      <c r="X34" s="396"/>
      <c r="Y34" s="396"/>
      <c r="Z34" s="396"/>
    </row>
    <row r="35" spans="2:26" ht="3.75" customHeight="1" thickBot="1" x14ac:dyDescent="0.3">
      <c r="B35" s="11"/>
      <c r="C35" s="736"/>
      <c r="D35" s="396"/>
      <c r="E35" s="396"/>
      <c r="F35" s="396"/>
      <c r="G35" s="396"/>
      <c r="H35" s="736"/>
      <c r="I35" s="396"/>
      <c r="J35" s="396"/>
      <c r="K35" s="396"/>
      <c r="L35" s="4"/>
      <c r="M35" s="396"/>
      <c r="N35" s="11"/>
      <c r="O35" s="396"/>
      <c r="P35" s="396"/>
      <c r="Q35" s="396"/>
      <c r="R35" s="396"/>
      <c r="S35" s="746"/>
      <c r="T35" s="731"/>
      <c r="U35" s="731"/>
      <c r="V35" s="731"/>
      <c r="W35" s="4"/>
      <c r="X35" s="396"/>
      <c r="Y35" s="396"/>
      <c r="Z35" s="396"/>
    </row>
    <row r="36" spans="2:26" ht="18.75" customHeight="1" thickBot="1" x14ac:dyDescent="0.3">
      <c r="B36" s="11"/>
      <c r="C36" s="736" t="s">
        <v>1357</v>
      </c>
      <c r="D36" s="322" t="str">
        <f>Unformatted!E567</f>
        <v>N/A</v>
      </c>
      <c r="E36" s="736" t="s">
        <v>1358</v>
      </c>
      <c r="F36" s="322" t="str">
        <f>Unformatted!E568</f>
        <v>N/A</v>
      </c>
      <c r="G36" s="396"/>
      <c r="H36" s="736" t="s">
        <v>1357</v>
      </c>
      <c r="I36" s="322" t="str">
        <f>Unformatted!E571</f>
        <v>N/A</v>
      </c>
      <c r="J36" s="736" t="s">
        <v>1358</v>
      </c>
      <c r="K36" s="322" t="str">
        <f>Unformatted!E572</f>
        <v>N/A</v>
      </c>
      <c r="L36" s="4"/>
      <c r="M36" s="396"/>
      <c r="N36" s="11"/>
      <c r="O36" s="746" t="s">
        <v>1503</v>
      </c>
      <c r="P36" s="396"/>
      <c r="Q36" s="396"/>
      <c r="R36" s="396"/>
      <c r="S36" s="396"/>
      <c r="T36" s="746" t="s">
        <v>1503</v>
      </c>
      <c r="U36" s="396"/>
      <c r="V36" s="396"/>
      <c r="W36" s="4"/>
      <c r="X36" s="396"/>
      <c r="Y36" s="396"/>
      <c r="Z36" s="396"/>
    </row>
    <row r="37" spans="2:26" ht="3.75" customHeight="1" thickBot="1" x14ac:dyDescent="0.3">
      <c r="B37" s="11"/>
      <c r="C37" s="396"/>
      <c r="D37" s="396"/>
      <c r="E37" s="396"/>
      <c r="F37" s="396"/>
      <c r="G37" s="731"/>
      <c r="H37" s="396"/>
      <c r="I37" s="396"/>
      <c r="J37" s="396"/>
      <c r="K37" s="731"/>
      <c r="L37" s="4"/>
      <c r="M37" s="396"/>
      <c r="N37" s="276" t="s">
        <v>1213</v>
      </c>
      <c r="O37" s="1064"/>
      <c r="P37" s="1064"/>
      <c r="Q37" s="1064"/>
      <c r="R37" s="396"/>
      <c r="S37" s="396"/>
      <c r="T37" s="396"/>
      <c r="U37" s="396"/>
      <c r="V37" s="396"/>
      <c r="W37" s="4"/>
      <c r="X37" s="396"/>
      <c r="Y37" s="396"/>
      <c r="Z37" s="396"/>
    </row>
    <row r="38" spans="2:26" ht="18.75" customHeight="1" thickBot="1" x14ac:dyDescent="0.3">
      <c r="B38" s="11"/>
      <c r="C38" s="1066" t="s">
        <v>1367</v>
      </c>
      <c r="D38" s="1066"/>
      <c r="E38" s="1066"/>
      <c r="F38" s="1066"/>
      <c r="G38" s="396"/>
      <c r="H38" s="1066" t="s">
        <v>1368</v>
      </c>
      <c r="I38" s="1066"/>
      <c r="J38" s="1066"/>
      <c r="K38" s="1066"/>
      <c r="L38" s="4"/>
      <c r="M38" s="396"/>
      <c r="N38" s="276" t="s">
        <v>1212</v>
      </c>
      <c r="O38" s="757" t="str">
        <f>Unformatted!F595</f>
        <v/>
      </c>
      <c r="P38" s="396"/>
      <c r="Q38" s="396"/>
      <c r="R38" s="396"/>
      <c r="S38" s="746" t="s">
        <v>1212</v>
      </c>
      <c r="T38" s="757" t="str">
        <f>Unformatted!F599</f>
        <v/>
      </c>
      <c r="U38" s="396"/>
      <c r="V38" s="396"/>
      <c r="W38" s="4"/>
      <c r="X38" s="396"/>
      <c r="Y38" s="396"/>
      <c r="Z38" s="396"/>
    </row>
    <row r="39" spans="2:26" ht="3.75" customHeight="1" thickBot="1" x14ac:dyDescent="0.3">
      <c r="B39" s="11"/>
      <c r="C39" s="396"/>
      <c r="D39" s="396"/>
      <c r="E39" s="396"/>
      <c r="F39" s="396"/>
      <c r="G39" s="396"/>
      <c r="H39" s="396"/>
      <c r="I39" s="396"/>
      <c r="J39" s="396"/>
      <c r="K39" s="396"/>
      <c r="L39" s="4"/>
      <c r="M39" s="396"/>
      <c r="N39" s="11"/>
      <c r="O39" s="396"/>
      <c r="P39" s="396"/>
      <c r="Q39" s="396"/>
      <c r="R39" s="396"/>
      <c r="S39" s="396"/>
      <c r="T39" s="396"/>
      <c r="U39" s="396"/>
      <c r="V39" s="396"/>
      <c r="W39" s="4"/>
      <c r="X39" s="396"/>
      <c r="Y39" s="396"/>
      <c r="Z39" s="396"/>
    </row>
    <row r="40" spans="2:26" ht="18.75" customHeight="1" thickBot="1" x14ac:dyDescent="0.3">
      <c r="B40" s="11"/>
      <c r="C40" s="736" t="s">
        <v>1356</v>
      </c>
      <c r="D40" s="1293" t="str">
        <f>Unformatted!E574</f>
        <v>N/A</v>
      </c>
      <c r="E40" s="1294"/>
      <c r="F40" s="1295"/>
      <c r="G40" s="396"/>
      <c r="H40" s="736" t="s">
        <v>1356</v>
      </c>
      <c r="I40" s="1293" t="str">
        <f>Unformatted!E578</f>
        <v>N/A</v>
      </c>
      <c r="J40" s="1294"/>
      <c r="K40" s="1295"/>
      <c r="L40" s="4"/>
      <c r="M40" s="396"/>
      <c r="N40" s="1296" t="s">
        <v>1416</v>
      </c>
      <c r="O40" s="396"/>
      <c r="P40" s="396"/>
      <c r="Q40" s="396"/>
      <c r="R40" s="396"/>
      <c r="S40" s="396"/>
      <c r="T40" s="396"/>
      <c r="U40" s="396"/>
      <c r="V40" s="396"/>
      <c r="W40" s="4"/>
    </row>
    <row r="41" spans="2:26" ht="3.75" customHeight="1" x14ac:dyDescent="0.25">
      <c r="B41" s="11"/>
      <c r="C41" s="736"/>
      <c r="D41" s="731"/>
      <c r="E41" s="731"/>
      <c r="F41" s="731"/>
      <c r="G41" s="396"/>
      <c r="H41" s="736"/>
      <c r="I41" s="731"/>
      <c r="J41" s="731"/>
      <c r="K41" s="731"/>
      <c r="L41" s="4"/>
      <c r="M41" s="396"/>
      <c r="N41" s="1296"/>
      <c r="O41" s="396"/>
      <c r="P41" s="396"/>
      <c r="Q41" s="396"/>
      <c r="R41" s="396"/>
      <c r="S41" s="396"/>
      <c r="T41" s="396"/>
      <c r="U41" s="396"/>
      <c r="V41" s="396"/>
      <c r="W41" s="4"/>
    </row>
    <row r="42" spans="2:26" ht="18.75" customHeight="1" x14ac:dyDescent="0.25">
      <c r="B42" s="11"/>
      <c r="C42" s="736" t="s">
        <v>1498</v>
      </c>
      <c r="D42" s="396"/>
      <c r="E42" s="589"/>
      <c r="F42" s="396"/>
      <c r="G42" s="396"/>
      <c r="H42" s="736" t="s">
        <v>1498</v>
      </c>
      <c r="I42" s="396"/>
      <c r="J42" s="589"/>
      <c r="K42" s="396"/>
      <c r="L42" s="4"/>
      <c r="M42" s="396"/>
      <c r="N42" s="1296"/>
      <c r="O42" s="396"/>
      <c r="P42" s="396"/>
      <c r="Q42" s="396"/>
      <c r="R42" s="396"/>
      <c r="S42" s="396"/>
      <c r="T42" s="396"/>
      <c r="U42" s="396"/>
      <c r="V42" s="396"/>
      <c r="W42" s="4"/>
      <c r="X42" s="396"/>
    </row>
    <row r="43" spans="2:26" ht="3.75" customHeight="1" thickBot="1" x14ac:dyDescent="0.3">
      <c r="B43" s="11"/>
      <c r="C43" s="736"/>
      <c r="D43" s="396"/>
      <c r="E43" s="396"/>
      <c r="F43" s="396"/>
      <c r="G43" s="396"/>
      <c r="H43" s="736"/>
      <c r="I43" s="396"/>
      <c r="J43" s="396"/>
      <c r="K43" s="396"/>
      <c r="L43" s="4"/>
      <c r="M43" s="396"/>
      <c r="N43" s="276" t="s">
        <v>1196</v>
      </c>
      <c r="O43" s="396"/>
      <c r="P43" s="396"/>
      <c r="Q43" s="396"/>
      <c r="R43" s="396"/>
      <c r="S43" s="746" t="s">
        <v>1196</v>
      </c>
      <c r="T43" s="396"/>
      <c r="U43" s="396"/>
      <c r="V43" s="396"/>
      <c r="W43" s="4"/>
      <c r="X43" s="396"/>
    </row>
    <row r="44" spans="2:26" ht="18.75" customHeight="1" thickBot="1" x14ac:dyDescent="0.3">
      <c r="B44" s="11"/>
      <c r="C44" s="736" t="s">
        <v>1357</v>
      </c>
      <c r="D44" s="322" t="str">
        <f>Unformatted!E575</f>
        <v>N/A</v>
      </c>
      <c r="E44" s="736" t="s">
        <v>1358</v>
      </c>
      <c r="F44" s="322" t="str">
        <f>Unformatted!E576</f>
        <v>N/A</v>
      </c>
      <c r="G44" s="396"/>
      <c r="H44" s="736" t="s">
        <v>1357</v>
      </c>
      <c r="I44" s="322" t="str">
        <f>Unformatted!E579</f>
        <v>N/A</v>
      </c>
      <c r="J44" s="736" t="s">
        <v>1358</v>
      </c>
      <c r="K44" s="322" t="str">
        <f>Unformatted!E580</f>
        <v>N/A</v>
      </c>
      <c r="L44" s="4"/>
      <c r="M44" s="396"/>
      <c r="N44" s="11"/>
      <c r="O44" s="396"/>
      <c r="P44" s="396"/>
      <c r="Q44" s="396"/>
      <c r="R44" s="396"/>
      <c r="S44" s="396"/>
      <c r="T44" s="396"/>
      <c r="U44" s="396"/>
      <c r="V44" s="396"/>
      <c r="W44" s="4"/>
      <c r="X44" s="396"/>
    </row>
    <row r="45" spans="2:26" ht="7.5" customHeight="1" x14ac:dyDescent="0.25">
      <c r="B45" s="11"/>
      <c r="C45" s="396"/>
      <c r="D45" s="396"/>
      <c r="E45" s="396"/>
      <c r="F45" s="396"/>
      <c r="G45" s="396"/>
      <c r="H45" s="396"/>
      <c r="I45" s="396"/>
      <c r="J45" s="396"/>
      <c r="K45" s="396"/>
      <c r="L45" s="4"/>
      <c r="N45" s="11"/>
      <c r="O45" s="396"/>
      <c r="P45" s="396"/>
      <c r="Q45" s="396"/>
      <c r="R45" s="396"/>
      <c r="S45" s="396"/>
      <c r="T45" s="396"/>
      <c r="U45" s="396"/>
      <c r="V45" s="396"/>
      <c r="W45" s="4"/>
      <c r="X45" s="396"/>
    </row>
    <row r="46" spans="2:26" ht="15.75" x14ac:dyDescent="0.25">
      <c r="B46" s="11"/>
      <c r="C46" s="396"/>
      <c r="D46" s="396"/>
      <c r="E46" s="396"/>
      <c r="F46" s="396"/>
      <c r="G46" s="396"/>
      <c r="H46" s="396"/>
      <c r="I46" s="396"/>
      <c r="J46" s="396"/>
      <c r="K46" s="396"/>
      <c r="L46" s="4"/>
      <c r="M46" s="396"/>
      <c r="N46" s="276"/>
      <c r="O46" s="731"/>
      <c r="P46" s="731"/>
      <c r="Q46" s="731"/>
      <c r="R46" s="396"/>
      <c r="S46" s="746"/>
      <c r="T46" s="731"/>
      <c r="U46" s="731"/>
      <c r="V46" s="731"/>
      <c r="W46" s="4"/>
      <c r="X46" s="396"/>
    </row>
    <row r="47" spans="2:26" ht="15.75" thickBot="1" x14ac:dyDescent="0.3">
      <c r="B47" s="12"/>
      <c r="C47" s="5"/>
      <c r="D47" s="5"/>
      <c r="E47" s="5"/>
      <c r="F47" s="5"/>
      <c r="G47" s="5"/>
      <c r="H47" s="5"/>
      <c r="I47" s="5"/>
      <c r="J47" s="5"/>
      <c r="K47" s="5"/>
      <c r="L47" s="6"/>
      <c r="N47" s="12"/>
      <c r="O47" s="5"/>
      <c r="P47" s="5"/>
      <c r="Q47" s="5"/>
      <c r="R47" s="5"/>
      <c r="S47" s="5"/>
      <c r="T47" s="5"/>
      <c r="U47" s="5"/>
      <c r="V47" s="5"/>
      <c r="W47" s="6"/>
      <c r="X47" s="396"/>
    </row>
  </sheetData>
  <sheetProtection sheet="1" selectLockedCells="1"/>
  <mergeCells count="33">
    <mergeCell ref="N40:N42"/>
    <mergeCell ref="T18:V18"/>
    <mergeCell ref="O18:Q18"/>
    <mergeCell ref="B4:L4"/>
    <mergeCell ref="N4:W4"/>
    <mergeCell ref="C6:F6"/>
    <mergeCell ref="H6:K6"/>
    <mergeCell ref="D8:F8"/>
    <mergeCell ref="I8:K8"/>
    <mergeCell ref="C14:F14"/>
    <mergeCell ref="H14:K14"/>
    <mergeCell ref="D16:F16"/>
    <mergeCell ref="I16:K16"/>
    <mergeCell ref="N16:W16"/>
    <mergeCell ref="C22:F22"/>
    <mergeCell ref="H22:K22"/>
    <mergeCell ref="T22:V22"/>
    <mergeCell ref="O22:Q22"/>
    <mergeCell ref="C30:F30"/>
    <mergeCell ref="H30:K30"/>
    <mergeCell ref="O30:Q30"/>
    <mergeCell ref="T30:V30"/>
    <mergeCell ref="C38:F38"/>
    <mergeCell ref="H38:K38"/>
    <mergeCell ref="D40:F40"/>
    <mergeCell ref="I40:K40"/>
    <mergeCell ref="D24:F24"/>
    <mergeCell ref="I24:K24"/>
    <mergeCell ref="O34:Q34"/>
    <mergeCell ref="T34:V34"/>
    <mergeCell ref="O37:Q37"/>
    <mergeCell ref="D32:F32"/>
    <mergeCell ref="I32:K3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6549" r:id="rId3" name="TextBox2">
          <controlPr locked="0" defaultSize="0" autoLine="0" autoPict="0" linkedCell="Unformatted!E582" r:id="rId4">
            <anchor moveWithCells="1">
              <from>
                <xdr:col>13</xdr:col>
                <xdr:colOff>85725</xdr:colOff>
                <xdr:row>4</xdr:row>
                <xdr:rowOff>66675</xdr:rowOff>
              </from>
              <to>
                <xdr:col>22</xdr:col>
                <xdr:colOff>57150</xdr:colOff>
                <xdr:row>13</xdr:row>
                <xdr:rowOff>228600</xdr:rowOff>
              </to>
            </anchor>
          </controlPr>
        </control>
      </mc:Choice>
      <mc:Fallback>
        <control shapeId="236549" r:id="rId3" name="TextBox2"/>
      </mc:Fallback>
    </mc:AlternateContent>
    <mc:AlternateContent xmlns:mc="http://schemas.openxmlformats.org/markup-compatibility/2006">
      <mc:Choice Requires="x14">
        <control shapeId="236592" r:id="rId5" name="TextBox1">
          <controlPr locked="0" defaultSize="0" autoLine="0" autoPict="0" linkedCell="Unformatted!E601" r:id="rId6">
            <anchor moveWithCells="1">
              <from>
                <xdr:col>13</xdr:col>
                <xdr:colOff>857250</xdr:colOff>
                <xdr:row>39</xdr:row>
                <xdr:rowOff>9525</xdr:rowOff>
              </from>
              <to>
                <xdr:col>22</xdr:col>
                <xdr:colOff>66675</xdr:colOff>
                <xdr:row>46</xdr:row>
                <xdr:rowOff>133350</xdr:rowOff>
              </to>
            </anchor>
          </controlPr>
        </control>
      </mc:Choice>
      <mc:Fallback>
        <control shapeId="236592" r:id="rId5" name="TextBox1"/>
      </mc:Fallback>
    </mc:AlternateContent>
    <mc:AlternateContent xmlns:mc="http://schemas.openxmlformats.org/markup-compatibility/2006">
      <mc:Choice Requires="x14">
        <control shapeId="236545" r:id="rId7" name="Drop Down 1">
          <controlPr defaultSize="0" autoLine="0" autoPict="0">
            <anchor moveWithCells="1">
              <from>
                <xdr:col>14</xdr:col>
                <xdr:colOff>0</xdr:colOff>
                <xdr:row>19</xdr:row>
                <xdr:rowOff>0</xdr:rowOff>
              </from>
              <to>
                <xdr:col>16</xdr:col>
                <xdr:colOff>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46" r:id="rId8" name="Drop Down 2">
          <controlPr defaultSize="0" autoLine="0" autoPict="0">
            <anchor moveWithCells="1">
              <from>
                <xdr:col>14</xdr:col>
                <xdr:colOff>0</xdr:colOff>
                <xdr:row>31</xdr:row>
                <xdr:rowOff>0</xdr:rowOff>
              </from>
              <to>
                <xdr:col>16</xdr:col>
                <xdr:colOff>0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47" r:id="rId9" name="Drop Down 3">
          <controlPr defaultSize="0" autoLine="0" autoPict="0">
            <anchor moveWithCells="1">
              <from>
                <xdr:col>19</xdr:col>
                <xdr:colOff>0</xdr:colOff>
                <xdr:row>19</xdr:row>
                <xdr:rowOff>0</xdr:rowOff>
              </from>
              <to>
                <xdr:col>21</xdr:col>
                <xdr:colOff>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48" r:id="rId10" name="Drop Down 4">
          <controlPr defaultSize="0" autoLine="0" autoPict="0">
            <anchor moveWithCells="1">
              <from>
                <xdr:col>19</xdr:col>
                <xdr:colOff>0</xdr:colOff>
                <xdr:row>31</xdr:row>
                <xdr:rowOff>0</xdr:rowOff>
              </from>
              <to>
                <xdr:col>21</xdr:col>
                <xdr:colOff>0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50" r:id="rId11" name="Group Box 6">
          <controlPr defaultSize="0" autoFill="0" autoPict="0">
            <anchor moveWithCells="1">
              <from>
                <xdr:col>3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51" r:id="rId12" name="Option Button 7">
          <controlPr locked="0" defaultSize="0" autoFill="0" autoLine="0" autoPict="0">
            <anchor moveWithCells="1">
              <from>
                <xdr:col>3</xdr:col>
                <xdr:colOff>314325</xdr:colOff>
                <xdr:row>9</xdr:row>
                <xdr:rowOff>19050</xdr:rowOff>
              </from>
              <to>
                <xdr:col>4</xdr:col>
                <xdr:colOff>219075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52" r:id="rId13" name="Option Button 8">
          <controlPr locked="0" defaultSize="0" autoFill="0" autoLine="0" autoPict="0">
            <anchor moveWithCells="1">
              <from>
                <xdr:col>4</xdr:col>
                <xdr:colOff>495300</xdr:colOff>
                <xdr:row>9</xdr:row>
                <xdr:rowOff>19050</xdr:rowOff>
              </from>
              <to>
                <xdr:col>5</xdr:col>
                <xdr:colOff>361950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80" r:id="rId14" name="Group Box 36">
          <controlPr defaultSize="0" autoFill="0" autoPict="0">
            <anchor moveWithCells="1">
              <from>
                <xdr:col>15</xdr:col>
                <xdr:colOff>114300</xdr:colOff>
                <xdr:row>23</xdr:row>
                <xdr:rowOff>0</xdr:rowOff>
              </from>
              <to>
                <xdr:col>17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81" r:id="rId15" name="Option Button 37">
          <controlPr locked="0" defaultSize="0" autoFill="0" autoLine="0" autoPict="0">
            <anchor moveWithCells="1">
              <from>
                <xdr:col>15</xdr:col>
                <xdr:colOff>171450</xdr:colOff>
                <xdr:row>23</xdr:row>
                <xdr:rowOff>19050</xdr:rowOff>
              </from>
              <to>
                <xdr:col>16</xdr:col>
                <xdr:colOff>142875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82" r:id="rId16" name="Option Button 38">
          <controlPr locked="0" defaultSize="0" autoFill="0" autoLine="0" autoPict="0">
            <anchor moveWithCells="1">
              <from>
                <xdr:col>16</xdr:col>
                <xdr:colOff>133350</xdr:colOff>
                <xdr:row>23</xdr:row>
                <xdr:rowOff>19050</xdr:rowOff>
              </from>
              <to>
                <xdr:col>16</xdr:col>
                <xdr:colOff>571500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83" r:id="rId17" name="Group Box 39">
          <controlPr defaultSize="0" autoFill="0" autoPict="0">
            <anchor moveWithCells="1">
              <from>
                <xdr:col>20</xdr:col>
                <xdr:colOff>114300</xdr:colOff>
                <xdr:row>23</xdr:row>
                <xdr:rowOff>0</xdr:rowOff>
              </from>
              <to>
                <xdr:col>22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84" r:id="rId18" name="Option Button 40">
          <controlPr locked="0" defaultSize="0" autoFill="0" autoLine="0" autoPict="0">
            <anchor moveWithCells="1">
              <from>
                <xdr:col>20</xdr:col>
                <xdr:colOff>171450</xdr:colOff>
                <xdr:row>23</xdr:row>
                <xdr:rowOff>19050</xdr:rowOff>
              </from>
              <to>
                <xdr:col>21</xdr:col>
                <xdr:colOff>142875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85" r:id="rId19" name="Option Button 41">
          <controlPr locked="0" defaultSize="0" autoFill="0" autoLine="0" autoPict="0">
            <anchor moveWithCells="1">
              <from>
                <xdr:col>21</xdr:col>
                <xdr:colOff>133350</xdr:colOff>
                <xdr:row>23</xdr:row>
                <xdr:rowOff>19050</xdr:rowOff>
              </from>
              <to>
                <xdr:col>21</xdr:col>
                <xdr:colOff>571500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86" r:id="rId20" name="Group Box 42">
          <controlPr defaultSize="0" autoFill="0" autoPict="0">
            <anchor moveWithCells="1">
              <from>
                <xdr:col>15</xdr:col>
                <xdr:colOff>114300</xdr:colOff>
                <xdr:row>35</xdr:row>
                <xdr:rowOff>0</xdr:rowOff>
              </from>
              <to>
                <xdr:col>17</xdr:col>
                <xdr:colOff>0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87" r:id="rId21" name="Option Button 43">
          <controlPr locked="0" defaultSize="0" autoFill="0" autoLine="0" autoPict="0">
            <anchor moveWithCells="1">
              <from>
                <xdr:col>15</xdr:col>
                <xdr:colOff>171450</xdr:colOff>
                <xdr:row>35</xdr:row>
                <xdr:rowOff>19050</xdr:rowOff>
              </from>
              <to>
                <xdr:col>16</xdr:col>
                <xdr:colOff>142875</xdr:colOff>
                <xdr:row>35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88" r:id="rId22" name="Option Button 44">
          <controlPr locked="0" defaultSize="0" autoFill="0" autoLine="0" autoPict="0">
            <anchor moveWithCells="1">
              <from>
                <xdr:col>16</xdr:col>
                <xdr:colOff>133350</xdr:colOff>
                <xdr:row>35</xdr:row>
                <xdr:rowOff>19050</xdr:rowOff>
              </from>
              <to>
                <xdr:col>16</xdr:col>
                <xdr:colOff>571500</xdr:colOff>
                <xdr:row>35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89" r:id="rId23" name="Group Box 45">
          <controlPr defaultSize="0" autoFill="0" autoPict="0">
            <anchor moveWithCells="1">
              <from>
                <xdr:col>20</xdr:col>
                <xdr:colOff>114300</xdr:colOff>
                <xdr:row>35</xdr:row>
                <xdr:rowOff>0</xdr:rowOff>
              </from>
              <to>
                <xdr:col>22</xdr:col>
                <xdr:colOff>0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90" r:id="rId24" name="Option Button 46">
          <controlPr locked="0" defaultSize="0" autoFill="0" autoLine="0" autoPict="0">
            <anchor moveWithCells="1">
              <from>
                <xdr:col>20</xdr:col>
                <xdr:colOff>171450</xdr:colOff>
                <xdr:row>35</xdr:row>
                <xdr:rowOff>19050</xdr:rowOff>
              </from>
              <to>
                <xdr:col>21</xdr:col>
                <xdr:colOff>142875</xdr:colOff>
                <xdr:row>35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91" r:id="rId25" name="Option Button 47">
          <controlPr locked="0" defaultSize="0" autoFill="0" autoLine="0" autoPict="0">
            <anchor moveWithCells="1">
              <from>
                <xdr:col>21</xdr:col>
                <xdr:colOff>133350</xdr:colOff>
                <xdr:row>35</xdr:row>
                <xdr:rowOff>19050</xdr:rowOff>
              </from>
              <to>
                <xdr:col>21</xdr:col>
                <xdr:colOff>571500</xdr:colOff>
                <xdr:row>35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93" r:id="rId26" name="Group Box 49">
          <controlPr defaultSize="0" autoFill="0" autoPict="0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11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94" r:id="rId27" name="Option Button 50">
          <controlPr locked="0" defaultSize="0" autoFill="0" autoLine="0" autoPict="0">
            <anchor moveWithCells="1">
              <from>
                <xdr:col>8</xdr:col>
                <xdr:colOff>314325</xdr:colOff>
                <xdr:row>9</xdr:row>
                <xdr:rowOff>19050</xdr:rowOff>
              </from>
              <to>
                <xdr:col>9</xdr:col>
                <xdr:colOff>219075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95" r:id="rId28" name="Option Button 51">
          <controlPr locked="0" defaultSize="0" autoFill="0" autoLine="0" autoPict="0">
            <anchor moveWithCells="1">
              <from>
                <xdr:col>9</xdr:col>
                <xdr:colOff>495300</xdr:colOff>
                <xdr:row>9</xdr:row>
                <xdr:rowOff>19050</xdr:rowOff>
              </from>
              <to>
                <xdr:col>10</xdr:col>
                <xdr:colOff>361950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96" r:id="rId29" name="Group Box 52">
          <controlPr defaultSize="0" autoFill="0" autoPict="0">
            <anchor moveWithCells="1">
              <from>
                <xdr:col>3</xdr:col>
                <xdr:colOff>0</xdr:colOff>
                <xdr:row>17</xdr:row>
                <xdr:rowOff>0</xdr:rowOff>
              </from>
              <to>
                <xdr:col>6</xdr:col>
                <xdr:colOff>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97" r:id="rId30" name="Option Button 53">
          <controlPr locked="0" defaultSize="0" autoFill="0" autoLine="0" autoPict="0">
            <anchor moveWithCells="1">
              <from>
                <xdr:col>3</xdr:col>
                <xdr:colOff>314325</xdr:colOff>
                <xdr:row>17</xdr:row>
                <xdr:rowOff>19050</xdr:rowOff>
              </from>
              <to>
                <xdr:col>4</xdr:col>
                <xdr:colOff>219075</xdr:colOff>
                <xdr:row>17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98" r:id="rId31" name="Option Button 54">
          <controlPr locked="0" defaultSize="0" autoFill="0" autoLine="0" autoPict="0">
            <anchor moveWithCells="1">
              <from>
                <xdr:col>4</xdr:col>
                <xdr:colOff>495300</xdr:colOff>
                <xdr:row>17</xdr:row>
                <xdr:rowOff>19050</xdr:rowOff>
              </from>
              <to>
                <xdr:col>5</xdr:col>
                <xdr:colOff>361950</xdr:colOff>
                <xdr:row>17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599" r:id="rId32" name="Group Box 55">
          <controlPr defaultSize="0" autoFill="0" autoPict="0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11</xdr:col>
                <xdr:colOff>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00" r:id="rId33" name="Option Button 56">
          <controlPr locked="0" defaultSize="0" autoFill="0" autoLine="0" autoPict="0">
            <anchor moveWithCells="1">
              <from>
                <xdr:col>8</xdr:col>
                <xdr:colOff>314325</xdr:colOff>
                <xdr:row>17</xdr:row>
                <xdr:rowOff>19050</xdr:rowOff>
              </from>
              <to>
                <xdr:col>9</xdr:col>
                <xdr:colOff>219075</xdr:colOff>
                <xdr:row>17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01" r:id="rId34" name="Option Button 57">
          <controlPr locked="0" defaultSize="0" autoFill="0" autoLine="0" autoPict="0">
            <anchor moveWithCells="1">
              <from>
                <xdr:col>9</xdr:col>
                <xdr:colOff>495300</xdr:colOff>
                <xdr:row>17</xdr:row>
                <xdr:rowOff>19050</xdr:rowOff>
              </from>
              <to>
                <xdr:col>10</xdr:col>
                <xdr:colOff>361950</xdr:colOff>
                <xdr:row>17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11" r:id="rId35" name="Group Box 67">
          <controlPr defaultSize="0" autoFill="0" autoPict="0">
            <anchor moveWithCells="1">
              <from>
                <xdr:col>3</xdr:col>
                <xdr:colOff>0</xdr:colOff>
                <xdr:row>25</xdr:row>
                <xdr:rowOff>0</xdr:rowOff>
              </from>
              <to>
                <xdr:col>6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12" r:id="rId36" name="Option Button 68">
          <controlPr locked="0" defaultSize="0" autoFill="0" autoLine="0" autoPict="0">
            <anchor moveWithCells="1">
              <from>
                <xdr:col>3</xdr:col>
                <xdr:colOff>314325</xdr:colOff>
                <xdr:row>25</xdr:row>
                <xdr:rowOff>19050</xdr:rowOff>
              </from>
              <to>
                <xdr:col>4</xdr:col>
                <xdr:colOff>219075</xdr:colOff>
                <xdr:row>25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13" r:id="rId37" name="Option Button 69">
          <controlPr locked="0" defaultSize="0" autoFill="0" autoLine="0" autoPict="0">
            <anchor moveWithCells="1">
              <from>
                <xdr:col>4</xdr:col>
                <xdr:colOff>495300</xdr:colOff>
                <xdr:row>25</xdr:row>
                <xdr:rowOff>19050</xdr:rowOff>
              </from>
              <to>
                <xdr:col>5</xdr:col>
                <xdr:colOff>361950</xdr:colOff>
                <xdr:row>25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14" r:id="rId38" name="Group Box 70">
          <controlPr defaultSize="0" autoFill="0" autoPict="0">
            <anchor moveWithCells="1">
              <from>
                <xdr:col>8</xdr:col>
                <xdr:colOff>0</xdr:colOff>
                <xdr:row>25</xdr:row>
                <xdr:rowOff>0</xdr:rowOff>
              </from>
              <to>
                <xdr:col>11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15" r:id="rId39" name="Option Button 71">
          <controlPr locked="0" defaultSize="0" autoFill="0" autoLine="0" autoPict="0">
            <anchor moveWithCells="1">
              <from>
                <xdr:col>8</xdr:col>
                <xdr:colOff>314325</xdr:colOff>
                <xdr:row>25</xdr:row>
                <xdr:rowOff>19050</xdr:rowOff>
              </from>
              <to>
                <xdr:col>9</xdr:col>
                <xdr:colOff>219075</xdr:colOff>
                <xdr:row>25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16" r:id="rId40" name="Option Button 72">
          <controlPr locked="0" defaultSize="0" autoFill="0" autoLine="0" autoPict="0">
            <anchor moveWithCells="1">
              <from>
                <xdr:col>9</xdr:col>
                <xdr:colOff>495300</xdr:colOff>
                <xdr:row>25</xdr:row>
                <xdr:rowOff>19050</xdr:rowOff>
              </from>
              <to>
                <xdr:col>10</xdr:col>
                <xdr:colOff>361950</xdr:colOff>
                <xdr:row>25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17" r:id="rId41" name="Group Box 73">
          <controlPr defaultSize="0" autoFill="0" autoPict="0">
            <anchor moveWithCells="1">
              <from>
                <xdr:col>3</xdr:col>
                <xdr:colOff>0</xdr:colOff>
                <xdr:row>33</xdr:row>
                <xdr:rowOff>0</xdr:rowOff>
              </from>
              <to>
                <xdr:col>6</xdr:col>
                <xdr:colOff>0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18" r:id="rId42" name="Option Button 74">
          <controlPr locked="0" defaultSize="0" autoFill="0" autoLine="0" autoPict="0">
            <anchor moveWithCells="1">
              <from>
                <xdr:col>3</xdr:col>
                <xdr:colOff>314325</xdr:colOff>
                <xdr:row>33</xdr:row>
                <xdr:rowOff>19050</xdr:rowOff>
              </from>
              <to>
                <xdr:col>4</xdr:col>
                <xdr:colOff>219075</xdr:colOff>
                <xdr:row>33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19" r:id="rId43" name="Option Button 75">
          <controlPr locked="0" defaultSize="0" autoFill="0" autoLine="0" autoPict="0">
            <anchor moveWithCells="1">
              <from>
                <xdr:col>4</xdr:col>
                <xdr:colOff>495300</xdr:colOff>
                <xdr:row>33</xdr:row>
                <xdr:rowOff>19050</xdr:rowOff>
              </from>
              <to>
                <xdr:col>5</xdr:col>
                <xdr:colOff>361950</xdr:colOff>
                <xdr:row>33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20" r:id="rId44" name="Group Box 76">
          <controlPr defaultSize="0" autoFill="0" autoPict="0">
            <anchor moveWithCells="1">
              <from>
                <xdr:col>8</xdr:col>
                <xdr:colOff>0</xdr:colOff>
                <xdr:row>33</xdr:row>
                <xdr:rowOff>0</xdr:rowOff>
              </from>
              <to>
                <xdr:col>11</xdr:col>
                <xdr:colOff>0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21" r:id="rId45" name="Option Button 77">
          <controlPr locked="0" defaultSize="0" autoFill="0" autoLine="0" autoPict="0">
            <anchor moveWithCells="1">
              <from>
                <xdr:col>8</xdr:col>
                <xdr:colOff>314325</xdr:colOff>
                <xdr:row>33</xdr:row>
                <xdr:rowOff>19050</xdr:rowOff>
              </from>
              <to>
                <xdr:col>9</xdr:col>
                <xdr:colOff>219075</xdr:colOff>
                <xdr:row>33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22" r:id="rId46" name="Option Button 78">
          <controlPr locked="0" defaultSize="0" autoFill="0" autoLine="0" autoPict="0">
            <anchor moveWithCells="1">
              <from>
                <xdr:col>9</xdr:col>
                <xdr:colOff>495300</xdr:colOff>
                <xdr:row>33</xdr:row>
                <xdr:rowOff>19050</xdr:rowOff>
              </from>
              <to>
                <xdr:col>10</xdr:col>
                <xdr:colOff>361950</xdr:colOff>
                <xdr:row>33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23" r:id="rId47" name="Group Box 79">
          <controlPr defaultSize="0" autoFill="0" autoPict="0">
            <anchor moveWithCells="1">
              <from>
                <xdr:col>3</xdr:col>
                <xdr:colOff>0</xdr:colOff>
                <xdr:row>41</xdr:row>
                <xdr:rowOff>0</xdr:rowOff>
              </from>
              <to>
                <xdr:col>6</xdr:col>
                <xdr:colOff>0</xdr:colOff>
                <xdr:row>42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24" r:id="rId48" name="Option Button 80">
          <controlPr locked="0" defaultSize="0" autoFill="0" autoLine="0" autoPict="0">
            <anchor moveWithCells="1">
              <from>
                <xdr:col>3</xdr:col>
                <xdr:colOff>314325</xdr:colOff>
                <xdr:row>41</xdr:row>
                <xdr:rowOff>19050</xdr:rowOff>
              </from>
              <to>
                <xdr:col>4</xdr:col>
                <xdr:colOff>219075</xdr:colOff>
                <xdr:row>41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25" r:id="rId49" name="Option Button 81">
          <controlPr locked="0" defaultSize="0" autoFill="0" autoLine="0" autoPict="0">
            <anchor moveWithCells="1">
              <from>
                <xdr:col>4</xdr:col>
                <xdr:colOff>495300</xdr:colOff>
                <xdr:row>41</xdr:row>
                <xdr:rowOff>19050</xdr:rowOff>
              </from>
              <to>
                <xdr:col>5</xdr:col>
                <xdr:colOff>361950</xdr:colOff>
                <xdr:row>41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26" r:id="rId50" name="Group Box 82">
          <controlPr defaultSize="0" autoFill="0" autoPict="0">
            <anchor moveWithCells="1">
              <from>
                <xdr:col>8</xdr:col>
                <xdr:colOff>0</xdr:colOff>
                <xdr:row>41</xdr:row>
                <xdr:rowOff>0</xdr:rowOff>
              </from>
              <to>
                <xdr:col>11</xdr:col>
                <xdr:colOff>0</xdr:colOff>
                <xdr:row>42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27" r:id="rId51" name="Option Button 83">
          <controlPr locked="0" defaultSize="0" autoFill="0" autoLine="0" autoPict="0">
            <anchor moveWithCells="1">
              <from>
                <xdr:col>8</xdr:col>
                <xdr:colOff>314325</xdr:colOff>
                <xdr:row>41</xdr:row>
                <xdr:rowOff>19050</xdr:rowOff>
              </from>
              <to>
                <xdr:col>9</xdr:col>
                <xdr:colOff>219075</xdr:colOff>
                <xdr:row>41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628" r:id="rId52" name="Option Button 84">
          <controlPr locked="0" defaultSize="0" autoFill="0" autoLine="0" autoPict="0">
            <anchor moveWithCells="1">
              <from>
                <xdr:col>9</xdr:col>
                <xdr:colOff>495300</xdr:colOff>
                <xdr:row>41</xdr:row>
                <xdr:rowOff>19050</xdr:rowOff>
              </from>
              <to>
                <xdr:col>10</xdr:col>
                <xdr:colOff>361950</xdr:colOff>
                <xdr:row>41</xdr:row>
                <xdr:rowOff>228600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531E5-C8BF-43AD-AC63-065E19AF15F0}">
  <sheetPr codeName="Sheet24"/>
  <dimension ref="B1:AB59"/>
  <sheetViews>
    <sheetView showGridLines="0" showRowColHeaders="0" zoomScaleNormal="100" workbookViewId="0">
      <selection activeCell="M8" sqref="M8:O8"/>
    </sheetView>
  </sheetViews>
  <sheetFormatPr defaultColWidth="9.140625" defaultRowHeight="15" x14ac:dyDescent="0.25"/>
  <cols>
    <col min="1" max="1" width="2.85546875" customWidth="1"/>
    <col min="2" max="2" width="1.42578125" customWidth="1"/>
    <col min="9" max="9" width="12.140625" customWidth="1"/>
    <col min="10" max="10" width="8.5703125" customWidth="1"/>
    <col min="11" max="11" width="8.42578125" customWidth="1"/>
    <col min="12" max="12" width="2.140625" customWidth="1"/>
    <col min="15" max="15" width="25.140625" customWidth="1"/>
    <col min="16" max="16" width="2.140625" customWidth="1"/>
    <col min="21" max="21" width="9.140625" customWidth="1"/>
    <col min="22" max="22" width="4.85546875" customWidth="1"/>
    <col min="23" max="23" width="2.85546875" customWidth="1"/>
    <col min="24" max="24" width="8.7109375" customWidth="1"/>
    <col min="25" max="25" width="5" customWidth="1"/>
  </cols>
  <sheetData>
    <row r="1" spans="2:28" ht="11.25" customHeight="1" x14ac:dyDescent="0.25"/>
    <row r="2" spans="2:28" ht="22.5" customHeight="1" x14ac:dyDescent="0.35">
      <c r="H2" s="204" t="s">
        <v>752</v>
      </c>
    </row>
    <row r="3" spans="2:28" ht="15" customHeight="1" thickBot="1" x14ac:dyDescent="0.3"/>
    <row r="4" spans="2:28" ht="24" thickBot="1" x14ac:dyDescent="0.4">
      <c r="B4" s="992" t="s">
        <v>747</v>
      </c>
      <c r="C4" s="993"/>
      <c r="D4" s="993"/>
      <c r="E4" s="993"/>
      <c r="F4" s="993"/>
      <c r="G4" s="993"/>
      <c r="H4" s="993"/>
      <c r="I4" s="993"/>
      <c r="J4" s="993"/>
      <c r="K4" s="993"/>
      <c r="L4" s="993"/>
      <c r="M4" s="993"/>
      <c r="N4" s="993"/>
      <c r="O4" s="993"/>
      <c r="P4" s="993"/>
      <c r="Q4" s="993"/>
      <c r="R4" s="993"/>
      <c r="S4" s="993"/>
      <c r="T4" s="993"/>
      <c r="U4" s="993"/>
      <c r="V4" s="993"/>
      <c r="W4" s="993"/>
      <c r="X4" s="993"/>
      <c r="Y4" s="994"/>
    </row>
    <row r="5" spans="2:28" ht="7.5" customHeight="1" x14ac:dyDescent="0.25">
      <c r="B5" s="11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6"/>
      <c r="R5" s="396"/>
      <c r="S5" s="396"/>
      <c r="T5" s="396"/>
      <c r="U5" s="396"/>
      <c r="V5" s="396"/>
      <c r="W5" s="396"/>
      <c r="X5" s="396"/>
      <c r="Y5" s="4"/>
    </row>
    <row r="6" spans="2:28" ht="19.5" customHeight="1" x14ac:dyDescent="0.3">
      <c r="B6" s="11"/>
      <c r="C6" s="219" t="s">
        <v>748</v>
      </c>
      <c r="D6" s="220"/>
      <c r="E6" s="220"/>
      <c r="F6" s="220"/>
      <c r="G6" s="220"/>
      <c r="H6" s="220"/>
      <c r="I6" s="220"/>
      <c r="J6" s="221" t="s">
        <v>177</v>
      </c>
      <c r="K6" s="886" t="s">
        <v>178</v>
      </c>
      <c r="L6" s="396"/>
      <c r="M6" s="219" t="s">
        <v>746</v>
      </c>
      <c r="N6" s="220"/>
      <c r="O6" s="222"/>
      <c r="P6" s="396"/>
      <c r="Q6" s="742" t="s">
        <v>952</v>
      </c>
      <c r="R6" s="396"/>
      <c r="S6" s="396"/>
      <c r="T6" s="396"/>
      <c r="U6" s="396"/>
      <c r="V6" s="396"/>
      <c r="W6" s="396"/>
      <c r="X6" s="396"/>
      <c r="Y6" s="4"/>
    </row>
    <row r="7" spans="2:28" ht="3.75" customHeight="1" x14ac:dyDescent="0.25">
      <c r="B7" s="11"/>
      <c r="C7" s="742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4"/>
    </row>
    <row r="8" spans="2:28" ht="19.5" customHeight="1" x14ac:dyDescent="0.25">
      <c r="B8" s="11"/>
      <c r="C8" s="1268" t="s">
        <v>753</v>
      </c>
      <c r="D8" s="1268"/>
      <c r="E8" s="1268"/>
      <c r="F8" s="1268"/>
      <c r="G8" s="1268"/>
      <c r="H8" s="1268"/>
      <c r="I8" s="1268"/>
      <c r="J8" s="396"/>
      <c r="K8" s="396"/>
      <c r="L8" s="396"/>
      <c r="M8" s="1083"/>
      <c r="N8" s="1084"/>
      <c r="O8" s="1085"/>
      <c r="P8" s="396"/>
      <c r="Q8" s="396"/>
      <c r="R8" s="396"/>
      <c r="S8" s="396"/>
      <c r="T8" s="396"/>
      <c r="U8" s="396"/>
      <c r="V8" s="396"/>
      <c r="W8" s="396"/>
      <c r="X8" s="396"/>
      <c r="Y8" s="4"/>
    </row>
    <row r="9" spans="2:28" ht="3.75" customHeight="1" x14ac:dyDescent="0.25">
      <c r="B9" s="11"/>
      <c r="C9" s="742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6"/>
      <c r="R9" s="396"/>
      <c r="S9" s="396"/>
      <c r="T9" s="396"/>
      <c r="U9" s="396"/>
      <c r="V9" s="396"/>
      <c r="W9" s="396"/>
      <c r="X9" s="396"/>
      <c r="Y9" s="4"/>
    </row>
    <row r="10" spans="2:28" ht="19.5" customHeight="1" x14ac:dyDescent="0.25">
      <c r="B10" s="11"/>
      <c r="C10" s="1268" t="s">
        <v>1543</v>
      </c>
      <c r="D10" s="1268"/>
      <c r="E10" s="1268"/>
      <c r="F10" s="1268"/>
      <c r="G10" s="1268"/>
      <c r="H10" s="1268"/>
      <c r="I10" s="1268"/>
      <c r="J10" s="396"/>
      <c r="K10" s="396"/>
      <c r="L10" s="396"/>
      <c r="M10" s="1083"/>
      <c r="N10" s="1084"/>
      <c r="O10" s="1085"/>
      <c r="P10" s="396"/>
      <c r="Q10" s="396"/>
      <c r="R10" s="396"/>
      <c r="S10" s="396"/>
      <c r="T10" s="396"/>
      <c r="U10" s="396"/>
      <c r="V10" s="396"/>
      <c r="W10" s="396"/>
      <c r="X10" s="396"/>
      <c r="Y10" s="4"/>
    </row>
    <row r="11" spans="2:28" ht="3.75" customHeight="1" x14ac:dyDescent="0.25">
      <c r="B11" s="11"/>
      <c r="C11" s="742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6"/>
      <c r="R11" s="396"/>
      <c r="S11" s="396"/>
      <c r="T11" s="396"/>
      <c r="U11" s="396"/>
      <c r="V11" s="396"/>
      <c r="W11" s="396"/>
      <c r="X11" s="396"/>
      <c r="Y11" s="4"/>
    </row>
    <row r="12" spans="2:28" s="611" customFormat="1" ht="18.75" customHeight="1" x14ac:dyDescent="0.25">
      <c r="B12" s="11"/>
      <c r="C12" s="1268" t="s">
        <v>1091</v>
      </c>
      <c r="D12" s="1268"/>
      <c r="E12" s="1268"/>
      <c r="F12" s="1268"/>
      <c r="G12" s="1268"/>
      <c r="H12" s="1268"/>
      <c r="I12" s="1268"/>
      <c r="J12" s="396"/>
      <c r="K12" s="396"/>
      <c r="L12" s="396"/>
      <c r="M12" s="1083"/>
      <c r="N12" s="1084"/>
      <c r="O12" s="1085"/>
      <c r="P12" s="396"/>
      <c r="Q12" s="396"/>
      <c r="R12" s="396"/>
      <c r="S12" s="396"/>
      <c r="T12" s="396"/>
      <c r="U12" s="396"/>
      <c r="V12" s="396"/>
      <c r="W12" s="396"/>
      <c r="X12" s="396"/>
      <c r="Y12" s="4"/>
    </row>
    <row r="13" spans="2:28" s="611" customFormat="1" ht="3.75" customHeight="1" x14ac:dyDescent="0.25">
      <c r="B13" s="11"/>
      <c r="C13" s="742"/>
      <c r="D13" s="396"/>
      <c r="E13" s="396"/>
      <c r="F13" s="396"/>
      <c r="G13" s="396"/>
      <c r="H13" s="396"/>
      <c r="I13" s="396"/>
      <c r="J13" s="396"/>
      <c r="K13" s="396"/>
      <c r="L13" s="396"/>
      <c r="M13" s="396"/>
      <c r="N13" s="396"/>
      <c r="O13" s="396"/>
      <c r="P13" s="396"/>
      <c r="Q13" s="396"/>
      <c r="R13" s="396"/>
      <c r="S13" s="396"/>
      <c r="T13" s="396"/>
      <c r="U13" s="396"/>
      <c r="V13" s="396"/>
      <c r="W13" s="396"/>
      <c r="X13" s="396"/>
      <c r="Y13" s="4"/>
    </row>
    <row r="14" spans="2:28" s="611" customFormat="1" ht="18.75" customHeight="1" x14ac:dyDescent="0.25">
      <c r="B14" s="11"/>
      <c r="C14" s="1268" t="s">
        <v>1542</v>
      </c>
      <c r="D14" s="1268"/>
      <c r="E14" s="1268"/>
      <c r="F14" s="1268"/>
      <c r="G14" s="1268"/>
      <c r="H14" s="1268"/>
      <c r="I14" s="1268"/>
      <c r="J14" s="396"/>
      <c r="K14" s="396"/>
      <c r="L14" s="396"/>
      <c r="M14" s="1083"/>
      <c r="N14" s="1084"/>
      <c r="O14" s="1085"/>
      <c r="P14" s="396"/>
      <c r="Q14" s="396"/>
      <c r="R14" s="396"/>
      <c r="S14" s="396"/>
      <c r="T14" s="396"/>
      <c r="U14" s="396"/>
      <c r="V14" s="396"/>
      <c r="W14" s="396"/>
      <c r="X14" s="396"/>
      <c r="Y14" s="4"/>
    </row>
    <row r="15" spans="2:28" s="611" customFormat="1" ht="3.75" customHeight="1" x14ac:dyDescent="0.25">
      <c r="B15" s="11"/>
      <c r="C15" s="742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/>
      <c r="P15" s="396"/>
      <c r="Q15" s="396"/>
      <c r="R15" s="396"/>
      <c r="S15" s="396"/>
      <c r="T15" s="396"/>
      <c r="U15" s="396"/>
      <c r="V15" s="396"/>
      <c r="W15" s="396"/>
      <c r="X15" s="396"/>
      <c r="Y15" s="4"/>
    </row>
    <row r="16" spans="2:28" ht="19.5" customHeight="1" x14ac:dyDescent="0.3">
      <c r="B16" s="11"/>
      <c r="C16" s="219" t="s">
        <v>891</v>
      </c>
      <c r="D16" s="220"/>
      <c r="E16" s="220"/>
      <c r="F16" s="220"/>
      <c r="G16" s="220"/>
      <c r="H16" s="220"/>
      <c r="I16" s="221"/>
      <c r="J16" s="221" t="s">
        <v>177</v>
      </c>
      <c r="K16" s="886" t="s">
        <v>178</v>
      </c>
      <c r="L16" s="885"/>
      <c r="M16" s="219" t="s">
        <v>746</v>
      </c>
      <c r="N16" s="220"/>
      <c r="O16" s="222"/>
      <c r="P16" s="396"/>
      <c r="Q16" s="396"/>
      <c r="R16" s="396"/>
      <c r="S16" s="396"/>
      <c r="T16" s="396"/>
      <c r="U16" s="396"/>
      <c r="V16" s="396"/>
      <c r="W16" s="396"/>
      <c r="X16" s="396"/>
      <c r="Y16" s="4"/>
      <c r="AB16" s="396"/>
    </row>
    <row r="17" spans="2:28" ht="3.75" customHeight="1" x14ac:dyDescent="0.25">
      <c r="B17" s="11"/>
      <c r="C17" s="742"/>
      <c r="D17" s="396"/>
      <c r="E17" s="396"/>
      <c r="F17" s="396"/>
      <c r="G17" s="396"/>
      <c r="H17" s="396"/>
      <c r="I17" s="396"/>
      <c r="J17" s="396"/>
      <c r="K17" s="396"/>
      <c r="L17" s="396"/>
      <c r="M17" s="396"/>
      <c r="N17" s="396"/>
      <c r="O17" s="396"/>
      <c r="P17" s="396"/>
      <c r="Q17" s="396"/>
      <c r="R17" s="396"/>
      <c r="S17" s="396"/>
      <c r="T17" s="396"/>
      <c r="U17" s="396"/>
      <c r="V17" s="396"/>
      <c r="W17" s="396"/>
      <c r="X17" s="396"/>
      <c r="Y17" s="4"/>
    </row>
    <row r="18" spans="2:28" ht="19.5" customHeight="1" x14ac:dyDescent="0.25">
      <c r="B18" s="11"/>
      <c r="C18" s="1268" t="s">
        <v>883</v>
      </c>
      <c r="D18" s="1268"/>
      <c r="E18" s="1268"/>
      <c r="F18" s="1268"/>
      <c r="G18" s="1268"/>
      <c r="H18" s="1268"/>
      <c r="I18" s="1268"/>
      <c r="J18" s="396"/>
      <c r="K18" s="396"/>
      <c r="L18" s="396"/>
      <c r="M18" s="1083"/>
      <c r="N18" s="1084"/>
      <c r="O18" s="1085"/>
      <c r="P18" s="396"/>
      <c r="Q18" s="396"/>
      <c r="R18" s="396"/>
      <c r="S18" s="396"/>
      <c r="T18" s="396"/>
      <c r="U18" s="396"/>
      <c r="V18" s="396"/>
      <c r="W18" s="396"/>
      <c r="X18" s="396"/>
      <c r="Y18" s="4"/>
    </row>
    <row r="19" spans="2:28" ht="3.75" customHeight="1" x14ac:dyDescent="0.25">
      <c r="B19" s="11"/>
      <c r="C19" s="742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6"/>
      <c r="R19" s="396"/>
      <c r="S19" s="396"/>
      <c r="T19" s="396"/>
      <c r="U19" s="396"/>
      <c r="V19" s="396"/>
      <c r="W19" s="396"/>
      <c r="X19" s="396"/>
      <c r="Y19" s="4"/>
    </row>
    <row r="20" spans="2:28" ht="19.5" customHeight="1" x14ac:dyDescent="0.25">
      <c r="B20" s="11"/>
      <c r="C20" s="1268" t="s">
        <v>895</v>
      </c>
      <c r="D20" s="1268"/>
      <c r="E20" s="1268"/>
      <c r="F20" s="1268"/>
      <c r="G20" s="1268"/>
      <c r="H20" s="1268"/>
      <c r="I20" s="1268"/>
      <c r="J20" s="396"/>
      <c r="K20" s="396"/>
      <c r="L20" s="396"/>
      <c r="M20" s="1083"/>
      <c r="N20" s="1084"/>
      <c r="O20" s="1085"/>
      <c r="P20" s="396"/>
      <c r="Q20" s="396"/>
      <c r="R20" s="396"/>
      <c r="S20" s="396"/>
      <c r="T20" s="396"/>
      <c r="U20" s="396"/>
      <c r="V20" s="396"/>
      <c r="W20" s="396"/>
      <c r="X20" s="396"/>
      <c r="Y20" s="4"/>
    </row>
    <row r="21" spans="2:28" ht="3.75" customHeight="1" x14ac:dyDescent="0.25">
      <c r="B21" s="11"/>
      <c r="C21" s="742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6"/>
      <c r="R21" s="396"/>
      <c r="S21" s="396"/>
      <c r="T21" s="396"/>
      <c r="U21" s="396"/>
      <c r="V21" s="396"/>
      <c r="W21" s="396"/>
      <c r="X21" s="396"/>
      <c r="Y21" s="4"/>
    </row>
    <row r="22" spans="2:28" ht="19.5" customHeight="1" x14ac:dyDescent="0.25">
      <c r="B22" s="11"/>
      <c r="C22" s="1268" t="s">
        <v>1035</v>
      </c>
      <c r="D22" s="1268"/>
      <c r="E22" s="1268"/>
      <c r="F22" s="1268"/>
      <c r="G22" s="1268"/>
      <c r="H22" s="1268"/>
      <c r="I22" s="1268"/>
      <c r="J22" s="396"/>
      <c r="K22" s="396"/>
      <c r="L22" s="396"/>
      <c r="M22" s="1083"/>
      <c r="N22" s="1084"/>
      <c r="O22" s="1085"/>
      <c r="P22" s="396"/>
      <c r="Q22" s="396"/>
      <c r="R22" s="396"/>
      <c r="S22" s="396"/>
      <c r="T22" s="396"/>
      <c r="U22" s="396"/>
      <c r="V22" s="396"/>
      <c r="W22" s="396"/>
      <c r="X22" s="396"/>
      <c r="Y22" s="4"/>
    </row>
    <row r="23" spans="2:28" ht="3.75" customHeight="1" x14ac:dyDescent="0.25">
      <c r="B23" s="11"/>
      <c r="C23" s="742"/>
      <c r="D23" s="396"/>
      <c r="E23" s="396"/>
      <c r="F23" s="396"/>
      <c r="G23" s="396"/>
      <c r="H23" s="396"/>
      <c r="I23" s="396"/>
      <c r="J23" s="396"/>
      <c r="K23" s="396"/>
      <c r="L23" s="396"/>
      <c r="M23" s="396"/>
      <c r="N23" s="396"/>
      <c r="O23" s="396"/>
      <c r="P23" s="396"/>
      <c r="Q23" s="396"/>
      <c r="R23" s="396"/>
      <c r="S23" s="396"/>
      <c r="T23" s="396"/>
      <c r="U23" s="396"/>
      <c r="V23" s="396"/>
      <c r="W23" s="396"/>
      <c r="X23" s="396"/>
      <c r="Y23" s="4"/>
    </row>
    <row r="24" spans="2:28" ht="19.5" customHeight="1" x14ac:dyDescent="0.25">
      <c r="B24" s="11"/>
      <c r="C24" s="1268" t="s">
        <v>757</v>
      </c>
      <c r="D24" s="1268"/>
      <c r="E24" s="1268"/>
      <c r="F24" s="1268"/>
      <c r="G24" s="1268"/>
      <c r="H24" s="1268"/>
      <c r="I24" s="1268"/>
      <c r="J24" s="396"/>
      <c r="K24" s="396"/>
      <c r="L24" s="396"/>
      <c r="M24" s="1083"/>
      <c r="N24" s="1084"/>
      <c r="O24" s="1085"/>
      <c r="P24" s="396"/>
      <c r="Q24" s="396"/>
      <c r="R24" s="396"/>
      <c r="S24" s="396"/>
      <c r="T24" s="396"/>
      <c r="U24" s="396"/>
      <c r="V24" s="396"/>
      <c r="W24" s="396"/>
      <c r="X24" s="396"/>
      <c r="Y24" s="4"/>
    </row>
    <row r="25" spans="2:28" ht="3.75" customHeight="1" x14ac:dyDescent="0.25">
      <c r="B25" s="11"/>
      <c r="C25" s="742"/>
      <c r="D25" s="396"/>
      <c r="E25" s="396"/>
      <c r="F25" s="396"/>
      <c r="G25" s="396"/>
      <c r="H25" s="396"/>
      <c r="I25" s="396"/>
      <c r="J25" s="396"/>
      <c r="K25" s="396"/>
      <c r="L25" s="396"/>
      <c r="M25" s="396"/>
      <c r="N25" s="396"/>
      <c r="O25" s="396"/>
      <c r="P25" s="396"/>
      <c r="Q25" s="396"/>
      <c r="R25" s="396"/>
      <c r="S25" s="396"/>
      <c r="T25" s="396"/>
      <c r="U25" s="396"/>
      <c r="V25" s="396"/>
      <c r="W25" s="396"/>
      <c r="X25" s="396"/>
      <c r="Y25" s="4"/>
    </row>
    <row r="26" spans="2:28" ht="19.5" customHeight="1" x14ac:dyDescent="0.25">
      <c r="B26" s="11"/>
      <c r="C26" s="1268" t="s">
        <v>718</v>
      </c>
      <c r="D26" s="1268"/>
      <c r="E26" s="1268"/>
      <c r="F26" s="1268"/>
      <c r="G26" s="1268"/>
      <c r="H26" s="1268"/>
      <c r="I26" s="1268"/>
      <c r="J26" s="396"/>
      <c r="K26" s="396"/>
      <c r="L26" s="396"/>
      <c r="M26" s="1083"/>
      <c r="N26" s="1084"/>
      <c r="O26" s="1085"/>
      <c r="P26" s="396"/>
      <c r="Q26" s="396"/>
      <c r="R26" s="396"/>
      <c r="S26" s="396"/>
      <c r="T26" s="396"/>
      <c r="U26" s="396"/>
      <c r="V26" s="396"/>
      <c r="W26" s="396"/>
      <c r="X26" s="396"/>
      <c r="Y26" s="4"/>
    </row>
    <row r="27" spans="2:28" ht="3.75" customHeight="1" x14ac:dyDescent="0.25">
      <c r="B27" s="11"/>
      <c r="C27" s="742"/>
      <c r="D27" s="396"/>
      <c r="E27" s="396"/>
      <c r="F27" s="396"/>
      <c r="G27" s="396"/>
      <c r="H27" s="396"/>
      <c r="I27" s="396"/>
      <c r="J27" s="396"/>
      <c r="K27" s="396"/>
      <c r="L27" s="396"/>
      <c r="M27" s="396"/>
      <c r="N27" s="396"/>
      <c r="O27" s="396"/>
      <c r="P27" s="396"/>
      <c r="Q27" s="396"/>
      <c r="R27" s="396"/>
      <c r="S27" s="396"/>
      <c r="T27" s="396"/>
      <c r="U27" s="396"/>
      <c r="V27" s="396"/>
      <c r="W27" s="396"/>
      <c r="X27" s="396"/>
      <c r="Y27" s="4"/>
    </row>
    <row r="28" spans="2:28" ht="19.5" customHeight="1" x14ac:dyDescent="0.25">
      <c r="B28" s="11"/>
      <c r="C28" s="1268" t="s">
        <v>892</v>
      </c>
      <c r="D28" s="1268"/>
      <c r="E28" s="1268"/>
      <c r="F28" s="1268"/>
      <c r="G28" s="1268"/>
      <c r="H28" s="1268"/>
      <c r="I28" s="1268"/>
      <c r="J28" s="396"/>
      <c r="K28" s="396"/>
      <c r="L28" s="396"/>
      <c r="M28" s="1083"/>
      <c r="N28" s="1084"/>
      <c r="O28" s="1085"/>
      <c r="P28" s="396"/>
      <c r="Q28" s="742"/>
      <c r="R28" s="396"/>
      <c r="S28" s="396"/>
      <c r="T28" s="396"/>
      <c r="U28" s="396"/>
      <c r="V28" s="396"/>
      <c r="W28" s="396"/>
      <c r="X28" s="396"/>
      <c r="Y28" s="4"/>
    </row>
    <row r="29" spans="2:28" ht="3.75" customHeight="1" x14ac:dyDescent="0.25">
      <c r="B29" s="11"/>
      <c r="C29" s="742"/>
      <c r="D29" s="396"/>
      <c r="E29" s="396"/>
      <c r="F29" s="396"/>
      <c r="G29" s="396"/>
      <c r="H29" s="396"/>
      <c r="I29" s="396"/>
      <c r="J29" s="396"/>
      <c r="K29" s="396"/>
      <c r="L29" s="396"/>
      <c r="M29" s="396"/>
      <c r="N29" s="396"/>
      <c r="O29" s="396"/>
      <c r="P29" s="396"/>
      <c r="Q29" s="396"/>
      <c r="R29" s="396"/>
      <c r="S29" s="396"/>
      <c r="T29" s="396"/>
      <c r="U29" s="396"/>
      <c r="V29" s="396"/>
      <c r="W29" s="396"/>
      <c r="X29" s="396"/>
      <c r="Y29" s="4"/>
      <c r="AB29" s="217"/>
    </row>
    <row r="30" spans="2:28" ht="19.5" customHeight="1" x14ac:dyDescent="0.25">
      <c r="B30" s="11"/>
      <c r="C30" s="1268" t="s">
        <v>893</v>
      </c>
      <c r="D30" s="1268"/>
      <c r="E30" s="1268"/>
      <c r="F30" s="1268"/>
      <c r="G30" s="1268"/>
      <c r="H30" s="1268"/>
      <c r="I30" s="1268"/>
      <c r="J30" s="396"/>
      <c r="K30" s="396"/>
      <c r="L30" s="396"/>
      <c r="M30" s="1297"/>
      <c r="N30" s="1298"/>
      <c r="O30" s="1299"/>
      <c r="P30" s="396"/>
      <c r="Q30" s="742"/>
      <c r="R30" s="396"/>
      <c r="S30" s="396"/>
      <c r="T30" s="396"/>
      <c r="U30" s="396"/>
      <c r="V30" s="396"/>
      <c r="W30" s="396"/>
      <c r="X30" s="396"/>
      <c r="Y30" s="4"/>
    </row>
    <row r="31" spans="2:28" ht="3.75" customHeight="1" x14ac:dyDescent="0.3">
      <c r="B31" s="11"/>
      <c r="C31" s="454"/>
      <c r="D31" s="396"/>
      <c r="E31" s="396"/>
      <c r="F31" s="396"/>
      <c r="G31" s="396"/>
      <c r="H31" s="396"/>
      <c r="I31" s="885"/>
      <c r="J31" s="885"/>
      <c r="K31" s="885"/>
      <c r="L31" s="885"/>
      <c r="M31" s="885"/>
      <c r="N31" s="396"/>
      <c r="O31" s="396"/>
      <c r="P31" s="396"/>
      <c r="Q31" s="396"/>
      <c r="R31" s="396"/>
      <c r="S31" s="396"/>
      <c r="T31" s="396"/>
      <c r="U31" s="396"/>
      <c r="V31" s="396"/>
      <c r="W31" s="396"/>
      <c r="X31" s="396"/>
      <c r="Y31" s="4"/>
    </row>
    <row r="32" spans="2:28" ht="19.5" customHeight="1" x14ac:dyDescent="0.3">
      <c r="B32" s="11"/>
      <c r="C32" s="1268" t="s">
        <v>756</v>
      </c>
      <c r="D32" s="1268"/>
      <c r="E32" s="1268"/>
      <c r="F32" s="1268"/>
      <c r="G32" s="1268"/>
      <c r="H32" s="1268"/>
      <c r="I32" s="1268"/>
      <c r="J32" s="396"/>
      <c r="K32" s="396"/>
      <c r="L32" s="885"/>
      <c r="M32" s="1297"/>
      <c r="N32" s="1298"/>
      <c r="O32" s="1299"/>
      <c r="P32" s="396"/>
      <c r="Q32" s="742"/>
      <c r="R32" s="396"/>
      <c r="S32" s="396"/>
      <c r="T32" s="396"/>
      <c r="U32" s="396"/>
      <c r="V32" s="396"/>
      <c r="W32" s="396"/>
      <c r="X32" s="396"/>
      <c r="Y32" s="4"/>
    </row>
    <row r="33" spans="2:25" ht="3.75" customHeight="1" x14ac:dyDescent="0.25">
      <c r="B33" s="11"/>
      <c r="C33" s="742"/>
      <c r="D33" s="396"/>
      <c r="E33" s="396"/>
      <c r="F33" s="396"/>
      <c r="G33" s="396"/>
      <c r="H33" s="396"/>
      <c r="I33" s="396"/>
      <c r="J33" s="396"/>
      <c r="K33" s="396"/>
      <c r="L33" s="396"/>
      <c r="M33" s="396"/>
      <c r="N33" s="396"/>
      <c r="O33" s="396"/>
      <c r="P33" s="396"/>
      <c r="Q33" s="396"/>
      <c r="R33" s="396"/>
      <c r="S33" s="396"/>
      <c r="T33" s="396"/>
      <c r="U33" s="396"/>
      <c r="V33" s="396"/>
      <c r="W33" s="396"/>
      <c r="X33" s="396"/>
      <c r="Y33" s="4"/>
    </row>
    <row r="34" spans="2:25" ht="19.5" customHeight="1" x14ac:dyDescent="0.25">
      <c r="B34" s="11"/>
      <c r="C34" s="1268" t="s">
        <v>1544</v>
      </c>
      <c r="D34" s="1268"/>
      <c r="E34" s="1268"/>
      <c r="F34" s="1268"/>
      <c r="G34" s="1268"/>
      <c r="H34" s="1268"/>
      <c r="I34" s="1268"/>
      <c r="J34" s="396"/>
      <c r="K34" s="396"/>
      <c r="L34" s="396"/>
      <c r="M34" s="1083"/>
      <c r="N34" s="1084"/>
      <c r="O34" s="1085"/>
      <c r="P34" s="396"/>
      <c r="Q34" s="742"/>
      <c r="R34" s="396"/>
      <c r="S34" s="396"/>
      <c r="T34" s="396"/>
      <c r="U34" s="396"/>
      <c r="V34" s="396"/>
      <c r="W34" s="396"/>
      <c r="X34" s="396"/>
      <c r="Y34" s="4"/>
    </row>
    <row r="35" spans="2:25" ht="3.75" customHeight="1" x14ac:dyDescent="0.25">
      <c r="B35" s="11"/>
      <c r="C35" s="742"/>
      <c r="D35" s="396"/>
      <c r="E35" s="396"/>
      <c r="F35" s="396"/>
      <c r="G35" s="396"/>
      <c r="H35" s="396"/>
      <c r="I35" s="396"/>
      <c r="J35" s="396"/>
      <c r="K35" s="396"/>
      <c r="L35" s="396"/>
      <c r="M35" s="396"/>
      <c r="N35" s="396"/>
      <c r="O35" s="396"/>
      <c r="P35" s="396"/>
      <c r="Q35" s="396"/>
      <c r="R35" s="396"/>
      <c r="S35" s="396"/>
      <c r="T35" s="396"/>
      <c r="U35" s="396"/>
      <c r="V35" s="396"/>
      <c r="W35" s="396"/>
      <c r="X35" s="396"/>
      <c r="Y35" s="4"/>
    </row>
    <row r="36" spans="2:25" ht="19.5" customHeight="1" x14ac:dyDescent="0.25">
      <c r="B36" s="11"/>
      <c r="C36" s="1268" t="s">
        <v>725</v>
      </c>
      <c r="D36" s="1268"/>
      <c r="E36" s="1268"/>
      <c r="F36" s="1268"/>
      <c r="G36" s="1268"/>
      <c r="H36" s="1268"/>
      <c r="I36" s="1268"/>
      <c r="J36" s="396"/>
      <c r="K36" s="396"/>
      <c r="L36" s="396"/>
      <c r="M36" s="1083"/>
      <c r="N36" s="1084"/>
      <c r="O36" s="1085"/>
      <c r="P36" s="396"/>
      <c r="Q36" s="742"/>
      <c r="R36" s="396"/>
      <c r="S36" s="396"/>
      <c r="T36" s="396"/>
      <c r="U36" s="396"/>
      <c r="V36" s="396"/>
      <c r="W36" s="396"/>
      <c r="X36" s="396"/>
      <c r="Y36" s="4"/>
    </row>
    <row r="37" spans="2:25" ht="7.5" customHeight="1" thickBot="1" x14ac:dyDescent="0.3">
      <c r="B37" s="12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6"/>
    </row>
    <row r="38" spans="2:25" ht="18.75" customHeight="1" x14ac:dyDescent="0.25">
      <c r="B38" s="396"/>
      <c r="C38" s="405"/>
      <c r="D38" s="405"/>
      <c r="E38" s="405"/>
      <c r="F38" s="405"/>
      <c r="G38" s="405"/>
      <c r="H38" s="405"/>
      <c r="I38" s="405"/>
      <c r="J38" s="405"/>
      <c r="K38" s="405"/>
      <c r="L38" s="405"/>
      <c r="M38" s="405"/>
      <c r="N38" s="405"/>
      <c r="O38" s="405"/>
      <c r="P38" s="405"/>
      <c r="Q38" s="405"/>
      <c r="R38" s="405"/>
      <c r="S38" s="405"/>
      <c r="T38" s="405"/>
      <c r="U38" s="405"/>
      <c r="V38" s="405"/>
      <c r="W38" s="405"/>
      <c r="X38" s="405"/>
      <c r="Y38" s="396"/>
    </row>
    <row r="39" spans="2:25" ht="3.75" customHeight="1" x14ac:dyDescent="0.25">
      <c r="B39" s="396"/>
      <c r="C39" s="405"/>
      <c r="D39" s="405"/>
      <c r="E39" s="405"/>
      <c r="F39" s="405"/>
      <c r="G39" s="405"/>
      <c r="H39" s="405"/>
      <c r="I39" s="405"/>
      <c r="J39" s="405"/>
      <c r="K39" s="405"/>
      <c r="L39" s="405"/>
      <c r="M39" s="405"/>
      <c r="N39" s="405"/>
      <c r="O39" s="405"/>
      <c r="P39" s="405"/>
      <c r="Q39" s="405"/>
      <c r="R39" s="405"/>
      <c r="S39" s="405"/>
      <c r="T39" s="405"/>
      <c r="U39" s="405"/>
      <c r="V39" s="405"/>
      <c r="W39" s="405"/>
      <c r="X39" s="405"/>
      <c r="Y39" s="396"/>
    </row>
    <row r="40" spans="2:25" ht="18.75" customHeight="1" x14ac:dyDescent="0.25">
      <c r="B40" s="396"/>
      <c r="C40" s="405"/>
      <c r="D40" s="405"/>
      <c r="E40" s="405"/>
      <c r="F40" s="405"/>
      <c r="G40" s="405"/>
      <c r="H40" s="405"/>
      <c r="I40" s="405"/>
      <c r="J40" s="405"/>
      <c r="K40" s="405"/>
      <c r="L40" s="405"/>
      <c r="M40" s="405"/>
      <c r="N40" s="405"/>
      <c r="O40" s="405"/>
      <c r="P40" s="405"/>
      <c r="Q40" s="405"/>
      <c r="R40" s="405"/>
      <c r="S40" s="405"/>
      <c r="T40" s="405"/>
      <c r="U40" s="405"/>
      <c r="V40" s="405"/>
      <c r="W40" s="405"/>
      <c r="X40" s="405"/>
      <c r="Y40" s="396"/>
    </row>
    <row r="41" spans="2:25" ht="3" customHeight="1" x14ac:dyDescent="0.25">
      <c r="B41" s="396"/>
      <c r="C41" s="405"/>
      <c r="D41" s="405"/>
      <c r="E41" s="405"/>
      <c r="F41" s="405"/>
      <c r="G41" s="405"/>
      <c r="H41" s="405"/>
      <c r="I41" s="405"/>
      <c r="J41" s="405"/>
      <c r="K41" s="405"/>
      <c r="L41" s="405"/>
      <c r="M41" s="405"/>
      <c r="N41" s="405"/>
      <c r="O41" s="405"/>
      <c r="P41" s="405"/>
      <c r="Q41" s="405"/>
      <c r="R41" s="405"/>
      <c r="S41" s="405"/>
      <c r="T41" s="405"/>
      <c r="U41" s="405"/>
      <c r="V41" s="405"/>
      <c r="W41" s="405"/>
      <c r="X41" s="405"/>
      <c r="Y41" s="396"/>
    </row>
    <row r="42" spans="2:25" ht="18.75" customHeight="1" x14ac:dyDescent="0.25">
      <c r="B42" s="396"/>
      <c r="C42" s="405"/>
      <c r="D42" s="405"/>
      <c r="E42" s="405"/>
      <c r="F42" s="405"/>
      <c r="G42" s="405"/>
      <c r="H42" s="405"/>
      <c r="I42" s="405"/>
      <c r="J42" s="405"/>
      <c r="K42" s="405"/>
      <c r="L42" s="405"/>
      <c r="M42" s="405"/>
      <c r="N42" s="405"/>
      <c r="O42" s="405"/>
      <c r="P42" s="405"/>
      <c r="Q42" s="405"/>
      <c r="R42" s="405"/>
      <c r="S42" s="405"/>
      <c r="T42" s="405"/>
      <c r="U42" s="405"/>
      <c r="V42" s="405"/>
      <c r="W42" s="405"/>
      <c r="X42" s="405"/>
      <c r="Y42" s="396"/>
    </row>
    <row r="43" spans="2:25" ht="3.75" customHeight="1" x14ac:dyDescent="0.25">
      <c r="B43" s="396"/>
      <c r="C43" s="405"/>
      <c r="D43" s="405"/>
      <c r="E43" s="405"/>
      <c r="F43" s="405"/>
      <c r="G43" s="405"/>
      <c r="H43" s="405"/>
      <c r="I43" s="405"/>
      <c r="J43" s="405"/>
      <c r="K43" s="405"/>
      <c r="L43" s="405"/>
      <c r="M43" s="405"/>
      <c r="N43" s="405"/>
      <c r="O43" s="405"/>
      <c r="P43" s="405"/>
      <c r="Q43" s="405"/>
      <c r="R43" s="405"/>
      <c r="S43" s="405"/>
      <c r="T43" s="405"/>
      <c r="U43" s="405"/>
      <c r="V43" s="405"/>
      <c r="W43" s="405"/>
      <c r="X43" s="405"/>
      <c r="Y43" s="396"/>
    </row>
    <row r="44" spans="2:25" ht="18.75" customHeight="1" x14ac:dyDescent="0.25">
      <c r="B44" s="396"/>
      <c r="C44" s="405"/>
      <c r="D44" s="405"/>
      <c r="E44" s="405"/>
      <c r="F44" s="405"/>
      <c r="G44" s="405"/>
      <c r="H44" s="405"/>
      <c r="I44" s="405"/>
      <c r="J44" s="405"/>
      <c r="K44" s="405"/>
      <c r="L44" s="405"/>
      <c r="M44" s="405"/>
      <c r="N44" s="405"/>
      <c r="O44" s="405"/>
      <c r="P44" s="405"/>
      <c r="Q44" s="405"/>
      <c r="R44" s="405"/>
      <c r="S44" s="405"/>
      <c r="T44" s="405"/>
      <c r="U44" s="405"/>
      <c r="V44" s="405"/>
      <c r="W44" s="405"/>
      <c r="X44" s="405"/>
      <c r="Y44" s="396"/>
    </row>
    <row r="45" spans="2:25" ht="3.75" customHeight="1" x14ac:dyDescent="0.25">
      <c r="B45" s="396"/>
      <c r="C45" s="405"/>
      <c r="D45" s="405"/>
      <c r="E45" s="405"/>
      <c r="F45" s="405"/>
      <c r="G45" s="405"/>
      <c r="H45" s="405"/>
      <c r="I45" s="405"/>
      <c r="J45" s="405"/>
      <c r="K45" s="405"/>
      <c r="L45" s="405"/>
      <c r="M45" s="405"/>
      <c r="N45" s="405"/>
      <c r="O45" s="405"/>
      <c r="P45" s="405"/>
      <c r="Q45" s="405"/>
      <c r="R45" s="405"/>
      <c r="S45" s="405"/>
      <c r="T45" s="405"/>
      <c r="U45" s="405"/>
      <c r="V45" s="405"/>
      <c r="W45" s="405"/>
      <c r="X45" s="405"/>
      <c r="Y45" s="396"/>
    </row>
    <row r="46" spans="2:25" ht="18.75" customHeight="1" x14ac:dyDescent="0.25">
      <c r="B46" s="396"/>
      <c r="C46" s="405"/>
      <c r="D46" s="405"/>
      <c r="E46" s="405"/>
      <c r="F46" s="405"/>
      <c r="G46" s="405"/>
      <c r="H46" s="405"/>
      <c r="I46" s="405"/>
      <c r="J46" s="405"/>
      <c r="K46" s="405"/>
      <c r="L46" s="405"/>
      <c r="M46" s="405"/>
      <c r="N46" s="405"/>
      <c r="O46" s="405"/>
      <c r="P46" s="405"/>
      <c r="Q46" s="405"/>
      <c r="R46" s="405"/>
      <c r="S46" s="405"/>
      <c r="T46" s="405"/>
      <c r="U46" s="405"/>
      <c r="V46" s="405"/>
      <c r="W46" s="405"/>
      <c r="X46" s="405"/>
      <c r="Y46" s="396"/>
    </row>
    <row r="47" spans="2:25" ht="3.75" customHeight="1" x14ac:dyDescent="0.25">
      <c r="B47" s="396"/>
      <c r="C47" s="405"/>
      <c r="D47" s="405"/>
      <c r="E47" s="405"/>
      <c r="F47" s="405"/>
      <c r="G47" s="405"/>
      <c r="H47" s="405"/>
      <c r="I47" s="405"/>
      <c r="J47" s="405"/>
      <c r="K47" s="405"/>
      <c r="L47" s="405"/>
      <c r="M47" s="405"/>
      <c r="N47" s="405"/>
      <c r="O47" s="405"/>
      <c r="P47" s="405"/>
      <c r="Q47" s="405"/>
      <c r="R47" s="405"/>
      <c r="S47" s="405"/>
      <c r="T47" s="405"/>
      <c r="U47" s="405"/>
      <c r="V47" s="405"/>
      <c r="W47" s="405"/>
      <c r="X47" s="405"/>
      <c r="Y47" s="396"/>
    </row>
    <row r="48" spans="2:25" ht="18.75" customHeight="1" x14ac:dyDescent="0.25">
      <c r="B48" s="396"/>
      <c r="C48" s="405"/>
      <c r="D48" s="405"/>
      <c r="E48" s="405"/>
      <c r="F48" s="405"/>
      <c r="G48" s="405"/>
      <c r="H48" s="405"/>
      <c r="I48" s="405"/>
      <c r="J48" s="405"/>
      <c r="K48" s="405"/>
      <c r="L48" s="405"/>
      <c r="M48" s="405"/>
      <c r="N48" s="405"/>
      <c r="O48" s="405"/>
      <c r="P48" s="405"/>
      <c r="Q48" s="405"/>
      <c r="R48" s="405"/>
      <c r="S48" s="405"/>
      <c r="T48" s="405"/>
      <c r="U48" s="405"/>
      <c r="V48" s="405"/>
      <c r="W48" s="405"/>
      <c r="X48" s="405"/>
      <c r="Y48" s="396"/>
    </row>
    <row r="49" spans="2:25" ht="3.75" customHeight="1" x14ac:dyDescent="0.25">
      <c r="B49" s="396"/>
      <c r="C49" s="405"/>
      <c r="D49" s="405"/>
      <c r="E49" s="405"/>
      <c r="F49" s="405"/>
      <c r="G49" s="405"/>
      <c r="H49" s="405"/>
      <c r="I49" s="405"/>
      <c r="J49" s="405"/>
      <c r="K49" s="405"/>
      <c r="L49" s="405"/>
      <c r="M49" s="405"/>
      <c r="N49" s="405"/>
      <c r="O49" s="405"/>
      <c r="P49" s="405"/>
      <c r="Q49" s="405"/>
      <c r="R49" s="405"/>
      <c r="S49" s="405"/>
      <c r="T49" s="405"/>
      <c r="U49" s="405"/>
      <c r="V49" s="405"/>
      <c r="W49" s="405"/>
      <c r="X49" s="405"/>
      <c r="Y49" s="396"/>
    </row>
    <row r="50" spans="2:25" ht="18.75" customHeight="1" x14ac:dyDescent="0.25">
      <c r="B50" s="396"/>
      <c r="C50" s="405"/>
      <c r="D50" s="405"/>
      <c r="E50" s="405"/>
      <c r="F50" s="405"/>
      <c r="G50" s="405"/>
      <c r="H50" s="405"/>
      <c r="I50" s="405"/>
      <c r="J50" s="405"/>
      <c r="K50" s="405"/>
      <c r="L50" s="405"/>
      <c r="M50" s="405"/>
      <c r="N50" s="405"/>
      <c r="O50" s="405"/>
      <c r="P50" s="405"/>
      <c r="Q50" s="405"/>
      <c r="R50" s="405"/>
      <c r="S50" s="405"/>
      <c r="T50" s="405"/>
      <c r="U50" s="405"/>
      <c r="V50" s="405"/>
      <c r="W50" s="405"/>
      <c r="X50" s="405"/>
      <c r="Y50" s="396"/>
    </row>
    <row r="51" spans="2:25" ht="3.75" customHeight="1" x14ac:dyDescent="0.25">
      <c r="B51" s="396"/>
      <c r="C51" s="405"/>
      <c r="D51" s="405"/>
      <c r="E51" s="405"/>
      <c r="F51" s="405"/>
      <c r="G51" s="405"/>
      <c r="H51" s="405"/>
      <c r="I51" s="405"/>
      <c r="J51" s="405"/>
      <c r="K51" s="405"/>
      <c r="L51" s="405"/>
      <c r="M51" s="405"/>
      <c r="N51" s="405"/>
      <c r="O51" s="405"/>
      <c r="P51" s="405"/>
      <c r="Q51" s="405"/>
      <c r="R51" s="405"/>
      <c r="S51" s="405"/>
      <c r="T51" s="405"/>
      <c r="U51" s="405"/>
      <c r="V51" s="405"/>
      <c r="W51" s="405"/>
      <c r="X51" s="405"/>
      <c r="Y51" s="396"/>
    </row>
    <row r="52" spans="2:25" ht="18.75" customHeight="1" x14ac:dyDescent="0.25">
      <c r="B52" s="396"/>
      <c r="C52" s="405"/>
      <c r="D52" s="405"/>
      <c r="E52" s="405"/>
      <c r="F52" s="405"/>
      <c r="G52" s="405"/>
      <c r="H52" s="405"/>
      <c r="I52" s="405"/>
      <c r="J52" s="405"/>
      <c r="K52" s="405"/>
      <c r="L52" s="405"/>
      <c r="M52" s="405"/>
      <c r="N52" s="405"/>
      <c r="O52" s="405"/>
      <c r="P52" s="405"/>
      <c r="Q52" s="405"/>
      <c r="R52" s="405"/>
      <c r="S52" s="405"/>
      <c r="T52" s="405"/>
      <c r="U52" s="405"/>
      <c r="V52" s="405"/>
      <c r="W52" s="405"/>
      <c r="X52" s="405"/>
      <c r="Y52" s="396"/>
    </row>
    <row r="53" spans="2:25" ht="7.5" customHeight="1" x14ac:dyDescent="0.25">
      <c r="B53" s="396"/>
      <c r="C53" s="396"/>
      <c r="D53" s="396"/>
      <c r="E53" s="396"/>
      <c r="F53" s="396"/>
      <c r="G53" s="396"/>
      <c r="H53" s="396"/>
      <c r="I53" s="396"/>
      <c r="J53" s="396"/>
      <c r="K53" s="396"/>
      <c r="L53" s="396"/>
      <c r="M53" s="396"/>
      <c r="N53" s="396"/>
      <c r="O53" s="396"/>
      <c r="P53" s="396"/>
      <c r="Q53" s="396"/>
      <c r="R53" s="396"/>
      <c r="S53" s="396"/>
      <c r="T53" s="396"/>
      <c r="U53" s="396"/>
      <c r="V53" s="396"/>
      <c r="W53" s="396"/>
      <c r="X53" s="396"/>
      <c r="Y53" s="396"/>
    </row>
    <row r="54" spans="2:25" ht="18.75" customHeight="1" x14ac:dyDescent="0.25"/>
    <row r="55" spans="2:25" ht="3.75" customHeight="1" x14ac:dyDescent="0.25"/>
    <row r="56" spans="2:25" ht="18.75" customHeight="1" x14ac:dyDescent="0.25"/>
    <row r="57" spans="2:25" ht="3.75" customHeight="1" x14ac:dyDescent="0.25"/>
    <row r="58" spans="2:25" ht="18.75" customHeight="1" x14ac:dyDescent="0.25"/>
    <row r="59" spans="2:25" ht="3.75" customHeight="1" x14ac:dyDescent="0.25"/>
  </sheetData>
  <sheetProtection sheet="1" selectLockedCells="1"/>
  <mergeCells count="29">
    <mergeCell ref="C18:I18"/>
    <mergeCell ref="C12:I12"/>
    <mergeCell ref="C8:I8"/>
    <mergeCell ref="C30:I30"/>
    <mergeCell ref="C28:I28"/>
    <mergeCell ref="C26:I26"/>
    <mergeCell ref="C24:I24"/>
    <mergeCell ref="C22:I22"/>
    <mergeCell ref="C14:I14"/>
    <mergeCell ref="C10:I10"/>
    <mergeCell ref="C36:I36"/>
    <mergeCell ref="C32:I32"/>
    <mergeCell ref="C34:I34"/>
    <mergeCell ref="C20:I20"/>
    <mergeCell ref="M26:O26"/>
    <mergeCell ref="M20:O20"/>
    <mergeCell ref="M22:O22"/>
    <mergeCell ref="M24:O24"/>
    <mergeCell ref="M18:O18"/>
    <mergeCell ref="M28:O28"/>
    <mergeCell ref="M34:O34"/>
    <mergeCell ref="M30:O30"/>
    <mergeCell ref="M36:O36"/>
    <mergeCell ref="M32:O32"/>
    <mergeCell ref="M12:O12"/>
    <mergeCell ref="M14:O14"/>
    <mergeCell ref="B4:Y4"/>
    <mergeCell ref="M8:O8"/>
    <mergeCell ref="M10:O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8168" r:id="rId3" name="TextBox1">
          <controlPr defaultSize="0" autoLine="0" linkedCell="Unformatted!E618" r:id="rId4">
            <anchor moveWithCells="1">
              <from>
                <xdr:col>16</xdr:col>
                <xdr:colOff>0</xdr:colOff>
                <xdr:row>6</xdr:row>
                <xdr:rowOff>0</xdr:rowOff>
              </from>
              <to>
                <xdr:col>24</xdr:col>
                <xdr:colOff>228600</xdr:colOff>
                <xdr:row>36</xdr:row>
                <xdr:rowOff>9525</xdr:rowOff>
              </to>
            </anchor>
          </controlPr>
        </control>
      </mc:Choice>
      <mc:Fallback>
        <control shapeId="88168" r:id="rId3" name="TextBox1"/>
      </mc:Fallback>
    </mc:AlternateContent>
    <mc:AlternateContent xmlns:mc="http://schemas.openxmlformats.org/markup-compatibility/2006">
      <mc:Choice Requires="x14">
        <control shapeId="88065" r:id="rId5" name="Group Box 1">
          <controlPr defaultSize="0" autoFill="0" autoPict="0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11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66" r:id="rId6" name="Group Box 2">
          <controlPr defaultSize="0" autoFill="0" autoPict="0">
            <anchor moveWithCells="1">
              <from>
                <xdr:col>2</xdr:col>
                <xdr:colOff>0</xdr:colOff>
                <xdr:row>9</xdr:row>
                <xdr:rowOff>0</xdr:rowOff>
              </from>
              <to>
                <xdr:col>11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68" r:id="rId7" name="Group Box 4">
          <controlPr defaultSize="0" autoFill="0" autoPict="0">
            <anchor moveWithCells="1">
              <from>
                <xdr:col>2</xdr:col>
                <xdr:colOff>0</xdr:colOff>
                <xdr:row>17</xdr:row>
                <xdr:rowOff>0</xdr:rowOff>
              </from>
              <to>
                <xdr:col>11</xdr:col>
                <xdr:colOff>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69" r:id="rId8" name="Group Box 5">
          <controlPr defaultSize="0" autoFill="0" autoPict="0">
            <anchor moveWithCells="1">
              <from>
                <xdr:col>2</xdr:col>
                <xdr:colOff>0</xdr:colOff>
                <xdr:row>19</xdr:row>
                <xdr:rowOff>9525</xdr:rowOff>
              </from>
              <to>
                <xdr:col>11</xdr:col>
                <xdr:colOff>0</xdr:colOff>
                <xdr:row>20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70" r:id="rId9" name="Group Box 6">
          <controlPr defaultSize="0" autoFill="0" autoPict="0">
            <anchor moveWithCells="1">
              <from>
                <xdr:col>2</xdr:col>
                <xdr:colOff>0</xdr:colOff>
                <xdr:row>21</xdr:row>
                <xdr:rowOff>0</xdr:rowOff>
              </from>
              <to>
                <xdr:col>11</xdr:col>
                <xdr:colOff>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71" r:id="rId10" name="Group Box 7">
          <controlPr defaultSize="0" autoFill="0" autoPict="0">
            <anchor moveWithCells="1">
              <from>
                <xdr:col>2</xdr:col>
                <xdr:colOff>0</xdr:colOff>
                <xdr:row>23</xdr:row>
                <xdr:rowOff>0</xdr:rowOff>
              </from>
              <to>
                <xdr:col>11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72" r:id="rId11" name="Group Box 8">
          <controlPr defaultSize="0" autoFill="0" autoPict="0">
            <anchor moveWithCells="1">
              <from>
                <xdr:col>2</xdr:col>
                <xdr:colOff>0</xdr:colOff>
                <xdr:row>25</xdr:row>
                <xdr:rowOff>9525</xdr:rowOff>
              </from>
              <to>
                <xdr:col>11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73" r:id="rId12" name="Group Box 9">
          <controlPr defaultSize="0" autoFill="0" autoPict="0">
            <anchor moveWithCells="1">
              <from>
                <xdr:col>2</xdr:col>
                <xdr:colOff>0</xdr:colOff>
                <xdr:row>27</xdr:row>
                <xdr:rowOff>0</xdr:rowOff>
              </from>
              <to>
                <xdr:col>11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94" r:id="rId13" name="Option Button 30">
          <controlPr defaultSize="0" autoFill="0" autoLine="0" autoPict="0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9</xdr:col>
                <xdr:colOff>561975</xdr:colOff>
                <xdr:row>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95" r:id="rId14" name="Option Button 31">
          <controlPr defaultSize="0" autoFill="0" autoLine="0" autoPict="0">
            <anchor moveWithCells="1">
              <from>
                <xdr:col>10</xdr:col>
                <xdr:colOff>9525</xdr:colOff>
                <xdr:row>7</xdr:row>
                <xdr:rowOff>9525</xdr:rowOff>
              </from>
              <to>
                <xdr:col>10</xdr:col>
                <xdr:colOff>552450</xdr:colOff>
                <xdr:row>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96" r:id="rId15" name="Option Button 32">
          <controlPr defaultSize="0" autoFill="0" autoLine="0" autoPict="0">
            <anchor moveWithCells="1">
              <from>
                <xdr:col>9</xdr:col>
                <xdr:colOff>9525</xdr:colOff>
                <xdr:row>9</xdr:row>
                <xdr:rowOff>9525</xdr:rowOff>
              </from>
              <to>
                <xdr:col>9</xdr:col>
                <xdr:colOff>561975</xdr:colOff>
                <xdr:row>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98" r:id="rId16" name="Option Button 34">
          <controlPr defaultSize="0" autoFill="0" autoLine="0" autoPict="0">
            <anchor moveWithCells="1">
              <from>
                <xdr:col>9</xdr:col>
                <xdr:colOff>9525</xdr:colOff>
                <xdr:row>17</xdr:row>
                <xdr:rowOff>9525</xdr:rowOff>
              </from>
              <to>
                <xdr:col>9</xdr:col>
                <xdr:colOff>561975</xdr:colOff>
                <xdr:row>17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099" r:id="rId17" name="Option Button 35">
          <controlPr defaultSize="0" autoFill="0" autoLine="0" autoPict="0">
            <anchor moveWithCells="1">
              <from>
                <xdr:col>9</xdr:col>
                <xdr:colOff>9525</xdr:colOff>
                <xdr:row>19</xdr:row>
                <xdr:rowOff>9525</xdr:rowOff>
              </from>
              <to>
                <xdr:col>9</xdr:col>
                <xdr:colOff>561975</xdr:colOff>
                <xdr:row>19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00" r:id="rId18" name="Option Button 36">
          <controlPr defaultSize="0" autoFill="0" autoLine="0" autoPict="0">
            <anchor moveWithCells="1">
              <from>
                <xdr:col>9</xdr:col>
                <xdr:colOff>9525</xdr:colOff>
                <xdr:row>21</xdr:row>
                <xdr:rowOff>9525</xdr:rowOff>
              </from>
              <to>
                <xdr:col>9</xdr:col>
                <xdr:colOff>561975</xdr:colOff>
                <xdr:row>21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01" r:id="rId19" name="Option Button 37">
          <controlPr defaultSize="0" autoFill="0" autoLine="0" autoPict="0">
            <anchor moveWithCells="1">
              <from>
                <xdr:col>9</xdr:col>
                <xdr:colOff>9525</xdr:colOff>
                <xdr:row>23</xdr:row>
                <xdr:rowOff>9525</xdr:rowOff>
              </from>
              <to>
                <xdr:col>9</xdr:col>
                <xdr:colOff>561975</xdr:colOff>
                <xdr:row>23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02" r:id="rId20" name="Option Button 38">
          <controlPr defaultSize="0" autoFill="0" autoLine="0" autoPict="0">
            <anchor moveWithCells="1">
              <from>
                <xdr:col>9</xdr:col>
                <xdr:colOff>9525</xdr:colOff>
                <xdr:row>25</xdr:row>
                <xdr:rowOff>9525</xdr:rowOff>
              </from>
              <to>
                <xdr:col>9</xdr:col>
                <xdr:colOff>561975</xdr:colOff>
                <xdr:row>25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03" r:id="rId21" name="Option Button 39">
          <controlPr defaultSize="0" autoFill="0" autoLine="0" autoPict="0">
            <anchor moveWithCells="1">
              <from>
                <xdr:col>9</xdr:col>
                <xdr:colOff>9525</xdr:colOff>
                <xdr:row>27</xdr:row>
                <xdr:rowOff>9525</xdr:rowOff>
              </from>
              <to>
                <xdr:col>9</xdr:col>
                <xdr:colOff>561975</xdr:colOff>
                <xdr:row>27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04" r:id="rId22" name="Option Button 40">
          <controlPr defaultSize="0" autoFill="0" autoLine="0" autoPict="0">
            <anchor moveWithCells="1">
              <from>
                <xdr:col>10</xdr:col>
                <xdr:colOff>9525</xdr:colOff>
                <xdr:row>9</xdr:row>
                <xdr:rowOff>9525</xdr:rowOff>
              </from>
              <to>
                <xdr:col>10</xdr:col>
                <xdr:colOff>552450</xdr:colOff>
                <xdr:row>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06" r:id="rId23" name="Option Button 42">
          <controlPr defaultSize="0" autoFill="0" autoLine="0" autoPict="0">
            <anchor moveWithCells="1">
              <from>
                <xdr:col>10</xdr:col>
                <xdr:colOff>9525</xdr:colOff>
                <xdr:row>17</xdr:row>
                <xdr:rowOff>9525</xdr:rowOff>
              </from>
              <to>
                <xdr:col>10</xdr:col>
                <xdr:colOff>552450</xdr:colOff>
                <xdr:row>17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07" r:id="rId24" name="Option Button 43">
          <controlPr defaultSize="0" autoFill="0" autoLine="0" autoPict="0">
            <anchor moveWithCells="1">
              <from>
                <xdr:col>10</xdr:col>
                <xdr:colOff>9525</xdr:colOff>
                <xdr:row>19</xdr:row>
                <xdr:rowOff>9525</xdr:rowOff>
              </from>
              <to>
                <xdr:col>10</xdr:col>
                <xdr:colOff>552450</xdr:colOff>
                <xdr:row>19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08" r:id="rId25" name="Option Button 44">
          <controlPr defaultSize="0" autoFill="0" autoLine="0" autoPict="0">
            <anchor moveWithCells="1">
              <from>
                <xdr:col>10</xdr:col>
                <xdr:colOff>9525</xdr:colOff>
                <xdr:row>21</xdr:row>
                <xdr:rowOff>9525</xdr:rowOff>
              </from>
              <to>
                <xdr:col>10</xdr:col>
                <xdr:colOff>552450</xdr:colOff>
                <xdr:row>21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09" r:id="rId26" name="Option Button 45">
          <controlPr defaultSize="0" autoFill="0" autoLine="0" autoPict="0">
            <anchor moveWithCells="1">
              <from>
                <xdr:col>10</xdr:col>
                <xdr:colOff>9525</xdr:colOff>
                <xdr:row>23</xdr:row>
                <xdr:rowOff>9525</xdr:rowOff>
              </from>
              <to>
                <xdr:col>10</xdr:col>
                <xdr:colOff>552450</xdr:colOff>
                <xdr:row>23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10" r:id="rId27" name="Option Button 46">
          <controlPr defaultSize="0" autoFill="0" autoLine="0" autoPict="0">
            <anchor moveWithCells="1">
              <from>
                <xdr:col>10</xdr:col>
                <xdr:colOff>9525</xdr:colOff>
                <xdr:row>25</xdr:row>
                <xdr:rowOff>9525</xdr:rowOff>
              </from>
              <to>
                <xdr:col>10</xdr:col>
                <xdr:colOff>552450</xdr:colOff>
                <xdr:row>25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11" r:id="rId28" name="Option Button 47">
          <controlPr defaultSize="0" autoFill="0" autoLine="0" autoPict="0">
            <anchor moveWithCells="1">
              <from>
                <xdr:col>10</xdr:col>
                <xdr:colOff>9525</xdr:colOff>
                <xdr:row>27</xdr:row>
                <xdr:rowOff>9525</xdr:rowOff>
              </from>
              <to>
                <xdr:col>10</xdr:col>
                <xdr:colOff>552450</xdr:colOff>
                <xdr:row>27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61" r:id="rId29" name="Group Box 97">
          <controlPr defaultSize="0" autoFill="0" autoPict="0">
            <anchor moveWithCells="1">
              <from>
                <xdr:col>2</xdr:col>
                <xdr:colOff>0</xdr:colOff>
                <xdr:row>29</xdr:row>
                <xdr:rowOff>0</xdr:rowOff>
              </from>
              <to>
                <xdr:col>11</xdr:col>
                <xdr:colOff>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62" r:id="rId30" name="Option Button 98">
          <controlPr defaultSize="0" autoFill="0" autoLine="0" autoPict="0">
            <anchor moveWithCells="1">
              <from>
                <xdr:col>9</xdr:col>
                <xdr:colOff>19050</xdr:colOff>
                <xdr:row>29</xdr:row>
                <xdr:rowOff>28575</xdr:rowOff>
              </from>
              <to>
                <xdr:col>9</xdr:col>
                <xdr:colOff>552450</xdr:colOff>
                <xdr:row>29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63" r:id="rId31" name="Option Button 99">
          <controlPr defaultSize="0" autoFill="0" autoLine="0" autoPict="0">
            <anchor moveWithCells="1">
              <from>
                <xdr:col>10</xdr:col>
                <xdr:colOff>19050</xdr:colOff>
                <xdr:row>29</xdr:row>
                <xdr:rowOff>19050</xdr:rowOff>
              </from>
              <to>
                <xdr:col>10</xdr:col>
                <xdr:colOff>542925</xdr:colOff>
                <xdr:row>29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64" r:id="rId32" name="Group Box 100">
          <controlPr defaultSize="0" autoFill="0" autoPict="0">
            <anchor moveWithCells="1">
              <from>
                <xdr:col>2</xdr:col>
                <xdr:colOff>0</xdr:colOff>
                <xdr:row>31</xdr:row>
                <xdr:rowOff>0</xdr:rowOff>
              </from>
              <to>
                <xdr:col>11</xdr:col>
                <xdr:colOff>0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65" r:id="rId33" name="Option Button 101">
          <controlPr defaultSize="0" autoFill="0" autoLine="0" autoPict="0">
            <anchor moveWithCells="1">
              <from>
                <xdr:col>9</xdr:col>
                <xdr:colOff>19050</xdr:colOff>
                <xdr:row>31</xdr:row>
                <xdr:rowOff>19050</xdr:rowOff>
              </from>
              <to>
                <xdr:col>9</xdr:col>
                <xdr:colOff>552450</xdr:colOff>
                <xdr:row>31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66" r:id="rId34" name="Option Button 102">
          <controlPr defaultSize="0" autoFill="0" autoLine="0" autoPict="0">
            <anchor moveWithCells="1">
              <from>
                <xdr:col>10</xdr:col>
                <xdr:colOff>19050</xdr:colOff>
                <xdr:row>31</xdr:row>
                <xdr:rowOff>19050</xdr:rowOff>
              </from>
              <to>
                <xdr:col>10</xdr:col>
                <xdr:colOff>542925</xdr:colOff>
                <xdr:row>31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73" r:id="rId35" name="Group Box 109">
          <controlPr defaultSize="0" autoFill="0" autoPict="0">
            <anchor moveWithCells="1">
              <from>
                <xdr:col>2</xdr:col>
                <xdr:colOff>0</xdr:colOff>
                <xdr:row>35</xdr:row>
                <xdr:rowOff>0</xdr:rowOff>
              </from>
              <to>
                <xdr:col>11</xdr:col>
                <xdr:colOff>0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76" r:id="rId36" name="Option Button 112">
          <controlPr defaultSize="0" autoFill="0" autoLine="0" autoPict="0">
            <anchor moveWithCells="1">
              <from>
                <xdr:col>9</xdr:col>
                <xdr:colOff>9525</xdr:colOff>
                <xdr:row>35</xdr:row>
                <xdr:rowOff>9525</xdr:rowOff>
              </from>
              <to>
                <xdr:col>9</xdr:col>
                <xdr:colOff>561975</xdr:colOff>
                <xdr:row>35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77" r:id="rId37" name="Option Button 113">
          <controlPr defaultSize="0" autoFill="0" autoLine="0" autoPict="0">
            <anchor moveWithCells="1">
              <from>
                <xdr:col>10</xdr:col>
                <xdr:colOff>9525</xdr:colOff>
                <xdr:row>35</xdr:row>
                <xdr:rowOff>9525</xdr:rowOff>
              </from>
              <to>
                <xdr:col>10</xdr:col>
                <xdr:colOff>552450</xdr:colOff>
                <xdr:row>35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78" r:id="rId38" name="Group Box 114">
          <controlPr defaultSize="0" autoFill="0" autoPict="0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11</xdr:col>
                <xdr:colOff>0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79" r:id="rId39" name="Option Button 115">
          <controlPr defaultSize="0" autoFill="0" autoLine="0" autoPict="0">
            <anchor moveWithCells="1">
              <from>
                <xdr:col>9</xdr:col>
                <xdr:colOff>9525</xdr:colOff>
                <xdr:row>11</xdr:row>
                <xdr:rowOff>9525</xdr:rowOff>
              </from>
              <to>
                <xdr:col>9</xdr:col>
                <xdr:colOff>561975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80" r:id="rId40" name="Option Button 116">
          <controlPr defaultSize="0" autoFill="0" autoLine="0" autoPict="0">
            <anchor moveWithCells="1">
              <from>
                <xdr:col>10</xdr:col>
                <xdr:colOff>9525</xdr:colOff>
                <xdr:row>11</xdr:row>
                <xdr:rowOff>9525</xdr:rowOff>
              </from>
              <to>
                <xdr:col>10</xdr:col>
                <xdr:colOff>552450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81" r:id="rId41" name="Group Box 117">
          <controlPr defaultSize="0" autoFill="0" autoPict="0">
            <anchor moveWithCells="1">
              <from>
                <xdr:col>2</xdr:col>
                <xdr:colOff>0</xdr:colOff>
                <xdr:row>13</xdr:row>
                <xdr:rowOff>0</xdr:rowOff>
              </from>
              <to>
                <xdr:col>11</xdr:col>
                <xdr:colOff>0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82" r:id="rId42" name="Option Button 118">
          <controlPr defaultSize="0" autoFill="0" autoLine="0" autoPict="0">
            <anchor moveWithCells="1">
              <from>
                <xdr:col>9</xdr:col>
                <xdr:colOff>9525</xdr:colOff>
                <xdr:row>13</xdr:row>
                <xdr:rowOff>9525</xdr:rowOff>
              </from>
              <to>
                <xdr:col>9</xdr:col>
                <xdr:colOff>561975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83" r:id="rId43" name="Option Button 119">
          <controlPr defaultSize="0" autoFill="0" autoLine="0" autoPict="0">
            <anchor moveWithCells="1">
              <from>
                <xdr:col>10</xdr:col>
                <xdr:colOff>9525</xdr:colOff>
                <xdr:row>13</xdr:row>
                <xdr:rowOff>9525</xdr:rowOff>
              </from>
              <to>
                <xdr:col>10</xdr:col>
                <xdr:colOff>552450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84" r:id="rId44" name="Group Box 120">
          <controlPr defaultSize="0" autoFill="0" autoPict="0">
            <anchor moveWithCells="1">
              <from>
                <xdr:col>2</xdr:col>
                <xdr:colOff>0</xdr:colOff>
                <xdr:row>33</xdr:row>
                <xdr:rowOff>0</xdr:rowOff>
              </from>
              <to>
                <xdr:col>11</xdr:col>
                <xdr:colOff>0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85" r:id="rId45" name="Option Button 121">
          <controlPr defaultSize="0" autoFill="0" autoLine="0" autoPict="0">
            <anchor moveWithCells="1">
              <from>
                <xdr:col>9</xdr:col>
                <xdr:colOff>9525</xdr:colOff>
                <xdr:row>33</xdr:row>
                <xdr:rowOff>9525</xdr:rowOff>
              </from>
              <to>
                <xdr:col>9</xdr:col>
                <xdr:colOff>561975</xdr:colOff>
                <xdr:row>33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8186" r:id="rId46" name="Option Button 122">
          <controlPr defaultSize="0" autoFill="0" autoLine="0" autoPict="0">
            <anchor moveWithCells="1">
              <from>
                <xdr:col>10</xdr:col>
                <xdr:colOff>9525</xdr:colOff>
                <xdr:row>33</xdr:row>
                <xdr:rowOff>9525</xdr:rowOff>
              </from>
              <to>
                <xdr:col>10</xdr:col>
                <xdr:colOff>552450</xdr:colOff>
                <xdr:row>33</xdr:row>
                <xdr:rowOff>238125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5052E-41F8-48FF-9527-3F797B4D6D98}">
  <sheetPr codeName="Sheet23"/>
  <dimension ref="A2:AP52"/>
  <sheetViews>
    <sheetView showGridLines="0" showRowColHeaders="0" zoomScaleNormal="100" workbookViewId="0">
      <selection activeCell="Z18" sqref="Z18:AF18"/>
    </sheetView>
  </sheetViews>
  <sheetFormatPr defaultRowHeight="15" x14ac:dyDescent="0.25"/>
  <cols>
    <col min="1" max="1" width="2.140625" customWidth="1"/>
    <col min="2" max="2" width="1.42578125" customWidth="1"/>
    <col min="3" max="3" width="12.85546875" customWidth="1"/>
    <col min="4" max="4" width="0.7109375" customWidth="1"/>
    <col min="5" max="5" width="11.42578125" customWidth="1"/>
    <col min="6" max="6" width="0.7109375" style="611" customWidth="1"/>
    <col min="7" max="7" width="7.85546875" customWidth="1"/>
    <col min="8" max="8" width="0.7109375" customWidth="1"/>
    <col min="9" max="9" width="11.42578125" customWidth="1"/>
    <col min="10" max="11" width="2.42578125" customWidth="1"/>
    <col min="12" max="12" width="11.42578125" customWidth="1"/>
    <col min="13" max="13" width="0.7109375" customWidth="1"/>
    <col min="14" max="14" width="8.5703125" customWidth="1"/>
    <col min="15" max="15" width="0.7109375" customWidth="1"/>
    <col min="16" max="16" width="11.42578125" customWidth="1"/>
    <col min="17" max="17" width="0.7109375" customWidth="1"/>
    <col min="18" max="18" width="10.7109375" customWidth="1"/>
    <col min="19" max="19" width="4.7109375" customWidth="1"/>
    <col min="20" max="20" width="2.140625" customWidth="1"/>
    <col min="21" max="22" width="2.85546875" customWidth="1"/>
    <col min="23" max="23" width="4.7109375" customWidth="1"/>
    <col min="25" max="25" width="0.7109375" customWidth="1"/>
    <col min="27" max="27" width="3.5703125" customWidth="1"/>
    <col min="29" max="29" width="3.85546875" customWidth="1"/>
    <col min="32" max="32" width="2.85546875" customWidth="1"/>
    <col min="33" max="33" width="2.140625" customWidth="1"/>
  </cols>
  <sheetData>
    <row r="2" spans="2:42" ht="23.25" x14ac:dyDescent="0.35">
      <c r="L2" s="327" t="s">
        <v>1062</v>
      </c>
    </row>
    <row r="3" spans="2:42" ht="15.75" thickBot="1" x14ac:dyDescent="0.3"/>
    <row r="4" spans="2:42" ht="24" thickBot="1" x14ac:dyDescent="0.4">
      <c r="B4" s="992" t="s">
        <v>585</v>
      </c>
      <c r="C4" s="993"/>
      <c r="D4" s="993"/>
      <c r="E4" s="993"/>
      <c r="F4" s="993"/>
      <c r="G4" s="993"/>
      <c r="H4" s="993"/>
      <c r="I4" s="993"/>
      <c r="J4" s="993"/>
      <c r="K4" s="993"/>
      <c r="L4" s="993"/>
      <c r="M4" s="993"/>
      <c r="N4" s="993"/>
      <c r="O4" s="993"/>
      <c r="P4" s="993"/>
      <c r="Q4" s="993"/>
      <c r="R4" s="993"/>
      <c r="S4" s="994"/>
      <c r="T4" s="168"/>
      <c r="U4" s="992" t="s">
        <v>759</v>
      </c>
      <c r="V4" s="993"/>
      <c r="W4" s="993"/>
      <c r="X4" s="993"/>
      <c r="Y4" s="993"/>
      <c r="Z4" s="993"/>
      <c r="AA4" s="993"/>
      <c r="AB4" s="993"/>
      <c r="AC4" s="993"/>
      <c r="AD4" s="993"/>
      <c r="AE4" s="993"/>
      <c r="AF4" s="993"/>
      <c r="AG4" s="994"/>
    </row>
    <row r="5" spans="2:42" ht="7.5" customHeight="1" x14ac:dyDescent="0.35">
      <c r="B5" s="11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6"/>
      <c r="R5" s="396"/>
      <c r="S5" s="4"/>
      <c r="U5" s="270"/>
      <c r="V5" s="768"/>
      <c r="W5" s="768"/>
      <c r="X5" s="768"/>
      <c r="Y5" s="768"/>
      <c r="Z5" s="768"/>
      <c r="AA5" s="768"/>
      <c r="AB5" s="768"/>
      <c r="AC5" s="768"/>
      <c r="AD5" s="768"/>
      <c r="AE5" s="768"/>
      <c r="AF5" s="768"/>
      <c r="AG5" s="237"/>
    </row>
    <row r="6" spans="2:42" ht="16.5" customHeight="1" x14ac:dyDescent="0.25">
      <c r="B6" s="11"/>
      <c r="C6" s="1066" t="s">
        <v>588</v>
      </c>
      <c r="D6" s="1312" t="str">
        <f>IF(Unformatted!E627&lt;&gt;0,Unformatted!E624&amp;" x "&amp;Unformatted!E627,Unformatted!E624)</f>
        <v>2W/4W</v>
      </c>
      <c r="E6" s="1312"/>
      <c r="F6" s="1312"/>
      <c r="G6" s="1066" t="s">
        <v>586</v>
      </c>
      <c r="H6" s="412"/>
      <c r="I6" s="1308" t="str">
        <f>Unformatted!G623&amp;" Oz. In."</f>
        <v xml:space="preserve"> Oz. In.</v>
      </c>
      <c r="J6" s="1066" t="s">
        <v>518</v>
      </c>
      <c r="K6" s="1066"/>
      <c r="L6" s="1313">
        <v>28.349499999999999</v>
      </c>
      <c r="M6" s="412"/>
      <c r="N6" s="1066" t="s">
        <v>586</v>
      </c>
      <c r="O6" s="412"/>
      <c r="P6" s="1308" t="str">
        <f>Unformatted!F623&amp;" Gm. In."</f>
        <v xml:space="preserve"> Gm. In.</v>
      </c>
      <c r="Q6" s="1308"/>
      <c r="R6" s="1308"/>
      <c r="S6" s="135"/>
      <c r="T6" s="134"/>
      <c r="U6" s="11"/>
      <c r="V6" s="396"/>
      <c r="W6" s="769" t="s">
        <v>448</v>
      </c>
      <c r="X6" s="396"/>
      <c r="Y6" s="396"/>
      <c r="Z6" s="727" t="s">
        <v>575</v>
      </c>
      <c r="AA6" s="742"/>
      <c r="AB6" s="396"/>
      <c r="AC6" s="1018" t="s">
        <v>1041</v>
      </c>
      <c r="AD6" s="1018"/>
      <c r="AE6" s="1018"/>
      <c r="AF6" s="1018"/>
      <c r="AG6" s="4"/>
    </row>
    <row r="7" spans="2:42" ht="3.75" customHeight="1" thickBot="1" x14ac:dyDescent="0.3">
      <c r="B7" s="11"/>
      <c r="C7" s="1066"/>
      <c r="D7" s="412"/>
      <c r="E7" s="936"/>
      <c r="F7" s="919"/>
      <c r="G7" s="1066"/>
      <c r="H7" s="412"/>
      <c r="I7" s="1308"/>
      <c r="J7" s="1066"/>
      <c r="K7" s="1066"/>
      <c r="L7" s="1313"/>
      <c r="M7" s="412"/>
      <c r="N7" s="1066"/>
      <c r="O7" s="412"/>
      <c r="P7" s="1308"/>
      <c r="Q7" s="1308"/>
      <c r="R7" s="1308"/>
      <c r="S7" s="135"/>
      <c r="T7" s="134"/>
      <c r="U7" s="11"/>
      <c r="V7" s="396"/>
      <c r="W7" s="396"/>
      <c r="X7" s="396"/>
      <c r="Y7" s="396"/>
      <c r="Z7" s="396"/>
      <c r="AA7" s="396"/>
      <c r="AB7" s="396"/>
      <c r="AC7" s="396"/>
      <c r="AD7" s="396"/>
      <c r="AE7" s="396"/>
      <c r="AF7" s="396"/>
      <c r="AG7" s="4"/>
    </row>
    <row r="8" spans="2:42" ht="16.5" customHeight="1" thickBot="1" x14ac:dyDescent="0.3">
      <c r="B8" s="11"/>
      <c r="C8" s="1066"/>
      <c r="D8" s="1066" t="str">
        <f>Unformatted!F625</f>
        <v>1800</v>
      </c>
      <c r="E8" s="1066"/>
      <c r="F8" s="1066"/>
      <c r="G8" s="1066"/>
      <c r="H8" s="412"/>
      <c r="I8" s="1308"/>
      <c r="J8" s="1066"/>
      <c r="K8" s="1066"/>
      <c r="L8" s="732" t="s">
        <v>587</v>
      </c>
      <c r="M8" s="412"/>
      <c r="N8" s="1066"/>
      <c r="O8" s="729"/>
      <c r="P8" s="1308"/>
      <c r="Q8" s="1308"/>
      <c r="R8" s="1308"/>
      <c r="S8" s="135"/>
      <c r="T8" s="134"/>
      <c r="U8" s="11"/>
      <c r="V8" s="741" t="s">
        <v>285</v>
      </c>
      <c r="W8" s="396"/>
      <c r="X8" s="396"/>
      <c r="Y8" s="396"/>
      <c r="Z8" s="396"/>
      <c r="AA8" s="396"/>
      <c r="AB8" s="746" t="s">
        <v>853</v>
      </c>
      <c r="AC8" s="1314"/>
      <c r="AD8" s="1315"/>
      <c r="AE8" s="1315"/>
      <c r="AF8" s="1316"/>
      <c r="AG8" s="4"/>
    </row>
    <row r="9" spans="2:42" ht="3.75" customHeight="1" thickBot="1" x14ac:dyDescent="0.3">
      <c r="B9" s="11"/>
      <c r="C9" s="728"/>
      <c r="D9" s="412"/>
      <c r="E9" s="728"/>
      <c r="F9" s="728"/>
      <c r="G9" s="728"/>
      <c r="H9" s="412"/>
      <c r="I9" s="761"/>
      <c r="J9" s="728"/>
      <c r="K9" s="728"/>
      <c r="L9" s="728"/>
      <c r="M9" s="412"/>
      <c r="N9" s="728"/>
      <c r="O9" s="729"/>
      <c r="P9" s="761"/>
      <c r="Q9" s="441"/>
      <c r="R9" s="441"/>
      <c r="S9" s="135"/>
      <c r="T9" s="134"/>
      <c r="U9" s="11"/>
      <c r="V9" s="741"/>
      <c r="W9" s="396"/>
      <c r="X9" s="396"/>
      <c r="Y9" s="396"/>
      <c r="Z9" s="396"/>
      <c r="AA9" s="396"/>
      <c r="AB9" s="746"/>
      <c r="AC9" s="731"/>
      <c r="AD9" s="731"/>
      <c r="AE9" s="731"/>
      <c r="AF9" s="396"/>
      <c r="AG9" s="4"/>
    </row>
    <row r="10" spans="2:42" ht="16.5" customHeight="1" thickBot="1" x14ac:dyDescent="0.3">
      <c r="B10" s="11"/>
      <c r="C10" s="762" t="str">
        <f>IF(AND(Unformatted!E233=0,Unformatted!F627=0),"ROTOR WEIGHT UNRECORDED",IF(AND(Unformatted!E233&lt;&gt;0,Unformatted!F627&lt;&gt;0,Unformatted!E233&lt;&gt;Unformatted!F627),"WARNING: ROTOR WEIGHT DIFFERENT THAN RECORDED IN MECHANICAL INSPECTIONS",""))</f>
        <v>ROTOR WEIGHT UNRECORDED</v>
      </c>
      <c r="D10" s="412"/>
      <c r="E10" s="728"/>
      <c r="F10" s="728"/>
      <c r="G10" s="728"/>
      <c r="H10" s="412"/>
      <c r="I10" s="761"/>
      <c r="J10" s="728"/>
      <c r="K10" s="728"/>
      <c r="L10" s="728"/>
      <c r="M10" s="412"/>
      <c r="N10" s="728"/>
      <c r="O10" s="729"/>
      <c r="P10" s="761"/>
      <c r="Q10" s="441"/>
      <c r="R10" s="441"/>
      <c r="S10" s="135"/>
      <c r="T10" s="134"/>
      <c r="U10" s="11"/>
      <c r="V10" s="746" t="s">
        <v>286</v>
      </c>
      <c r="W10" s="396"/>
      <c r="X10" s="396"/>
      <c r="Y10" s="396"/>
      <c r="Z10" s="396"/>
      <c r="AA10" s="396"/>
      <c r="AB10" s="746" t="s">
        <v>854</v>
      </c>
      <c r="AC10" s="1314"/>
      <c r="AD10" s="1315"/>
      <c r="AE10" s="1315"/>
      <c r="AF10" s="1316"/>
      <c r="AG10" s="4"/>
    </row>
    <row r="11" spans="2:42" ht="3.75" customHeight="1" x14ac:dyDescent="0.25">
      <c r="B11" s="11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6"/>
      <c r="R11" s="396"/>
      <c r="S11" s="4"/>
      <c r="U11" s="11"/>
      <c r="V11" s="396"/>
      <c r="W11" s="396"/>
      <c r="X11" s="396"/>
      <c r="Y11" s="396"/>
      <c r="Z11" s="396"/>
      <c r="AA11" s="396"/>
      <c r="AB11" s="396"/>
      <c r="AC11" s="396"/>
      <c r="AD11" s="396"/>
      <c r="AE11" s="396"/>
      <c r="AF11" s="396"/>
      <c r="AG11" s="4"/>
    </row>
    <row r="12" spans="2:42" ht="16.5" customHeight="1" x14ac:dyDescent="0.25">
      <c r="B12" s="11"/>
      <c r="C12" s="396"/>
      <c r="D12" s="48"/>
      <c r="E12" s="1310" t="s">
        <v>644</v>
      </c>
      <c r="F12" s="1169"/>
      <c r="G12" s="1311"/>
      <c r="H12" s="228"/>
      <c r="I12" s="739" t="s">
        <v>887</v>
      </c>
      <c r="J12" s="396"/>
      <c r="K12" s="731"/>
      <c r="L12" s="731"/>
      <c r="M12" s="171"/>
      <c r="N12" s="1310" t="s">
        <v>644</v>
      </c>
      <c r="O12" s="1169"/>
      <c r="P12" s="1311"/>
      <c r="Q12" s="228"/>
      <c r="R12" s="304" t="s">
        <v>887</v>
      </c>
      <c r="S12" s="4"/>
      <c r="U12" s="959" t="s">
        <v>1593</v>
      </c>
      <c r="V12" s="396"/>
      <c r="W12" s="396"/>
      <c r="X12" s="396"/>
      <c r="Y12" s="396"/>
      <c r="Z12" s="396"/>
      <c r="AA12" s="396"/>
      <c r="AB12" s="742"/>
      <c r="AC12" s="396"/>
      <c r="AD12" s="746" t="s">
        <v>1036</v>
      </c>
      <c r="AE12" s="396"/>
      <c r="AF12" s="396"/>
      <c r="AG12" s="4"/>
    </row>
    <row r="13" spans="2:42" ht="3.75" customHeight="1" thickBot="1" x14ac:dyDescent="0.4">
      <c r="B13" s="11"/>
      <c r="C13" s="50"/>
      <c r="D13" s="396"/>
      <c r="E13" s="226"/>
      <c r="F13" s="226"/>
      <c r="G13" s="226"/>
      <c r="H13" s="228"/>
      <c r="I13" s="612"/>
      <c r="J13" s="396"/>
      <c r="K13" s="189"/>
      <c r="L13" s="189"/>
      <c r="M13" s="731"/>
      <c r="N13" s="226"/>
      <c r="O13" s="226"/>
      <c r="P13" s="226"/>
      <c r="Q13" s="731"/>
      <c r="R13" s="612"/>
      <c r="S13" s="4"/>
      <c r="U13" s="271"/>
      <c r="V13" s="396"/>
      <c r="W13" s="768"/>
      <c r="X13" s="768"/>
      <c r="Y13" s="768"/>
      <c r="Z13" s="768"/>
      <c r="AA13" s="768"/>
      <c r="AB13" s="768"/>
      <c r="AC13" s="768"/>
      <c r="AD13" s="768"/>
      <c r="AE13" s="768"/>
      <c r="AF13" s="768"/>
      <c r="AG13" s="4"/>
    </row>
    <row r="14" spans="2:42" ht="16.5" customHeight="1" thickBot="1" x14ac:dyDescent="0.3">
      <c r="B14" s="11"/>
      <c r="C14" s="302" t="s">
        <v>929</v>
      </c>
      <c r="D14" s="47"/>
      <c r="E14" s="1300"/>
      <c r="F14" s="1301"/>
      <c r="G14" s="1302"/>
      <c r="H14" s="731"/>
      <c r="I14" s="326"/>
      <c r="J14" s="396"/>
      <c r="K14" s="1303" t="s">
        <v>643</v>
      </c>
      <c r="L14" s="1309"/>
      <c r="M14" s="49"/>
      <c r="N14" s="1300"/>
      <c r="O14" s="1301"/>
      <c r="P14" s="1302"/>
      <c r="Q14" s="731"/>
      <c r="R14" s="326"/>
      <c r="S14" s="230"/>
      <c r="U14" s="770" t="s">
        <v>1594</v>
      </c>
      <c r="V14" s="396"/>
      <c r="W14" s="396"/>
      <c r="X14" s="396"/>
      <c r="Y14" s="396"/>
      <c r="Z14" s="396"/>
      <c r="AA14" s="396"/>
      <c r="AB14" s="746" t="s">
        <v>1520</v>
      </c>
      <c r="AC14" s="1317"/>
      <c r="AD14" s="1318"/>
      <c r="AE14" s="1318"/>
      <c r="AF14" s="1319"/>
      <c r="AG14" s="4"/>
      <c r="AI14" s="396"/>
      <c r="AM14" s="396"/>
      <c r="AN14" s="503"/>
      <c r="AO14" s="503"/>
      <c r="AP14" s="503"/>
    </row>
    <row r="15" spans="2:42" ht="4.5" customHeight="1" thickBot="1" x14ac:dyDescent="0.4">
      <c r="B15" s="11"/>
      <c r="C15" s="609"/>
      <c r="D15" s="396"/>
      <c r="E15" s="731"/>
      <c r="F15" s="731"/>
      <c r="G15" s="731"/>
      <c r="H15" s="228"/>
      <c r="I15" s="396"/>
      <c r="J15" s="396"/>
      <c r="K15" s="227"/>
      <c r="L15" s="227"/>
      <c r="M15" s="415"/>
      <c r="N15" s="731"/>
      <c r="O15" s="731"/>
      <c r="P15" s="731"/>
      <c r="Q15" s="731"/>
      <c r="R15" s="396">
        <v>8</v>
      </c>
      <c r="S15" s="4"/>
      <c r="U15" s="11"/>
      <c r="V15" s="396"/>
      <c r="W15" s="396"/>
      <c r="X15" s="396"/>
      <c r="Y15" s="396"/>
      <c r="Z15" s="396"/>
      <c r="AA15" s="396"/>
      <c r="AB15" s="396"/>
      <c r="AC15" s="396"/>
      <c r="AD15" s="396"/>
      <c r="AE15" s="768"/>
      <c r="AF15" s="768"/>
      <c r="AG15" s="237"/>
    </row>
    <row r="16" spans="2:42" ht="16.5" customHeight="1" thickBot="1" x14ac:dyDescent="0.4">
      <c r="B16" s="11"/>
      <c r="C16" s="303" t="s">
        <v>640</v>
      </c>
      <c r="D16" s="47"/>
      <c r="E16" s="1300"/>
      <c r="F16" s="1301"/>
      <c r="G16" s="1302"/>
      <c r="H16" s="731"/>
      <c r="I16" s="326"/>
      <c r="J16" s="396"/>
      <c r="K16" s="1303" t="s">
        <v>656</v>
      </c>
      <c r="L16" s="1304"/>
      <c r="M16" s="49"/>
      <c r="N16" s="1305"/>
      <c r="O16" s="1306"/>
      <c r="P16" s="1307"/>
      <c r="Q16" s="731"/>
      <c r="R16" s="326"/>
      <c r="S16" s="4"/>
      <c r="U16" s="11"/>
      <c r="V16" s="396"/>
      <c r="W16" s="396"/>
      <c r="X16" s="746" t="s">
        <v>1519</v>
      </c>
      <c r="Y16" s="396"/>
      <c r="Z16" s="1339"/>
      <c r="AA16" s="1340"/>
      <c r="AB16" s="1340"/>
      <c r="AC16" s="1340"/>
      <c r="AD16" s="1340"/>
      <c r="AE16" s="1340"/>
      <c r="AF16" s="1341"/>
      <c r="AG16" s="237"/>
    </row>
    <row r="17" spans="2:40" ht="7.5" customHeight="1" thickBot="1" x14ac:dyDescent="0.4">
      <c r="B17" s="11"/>
      <c r="C17" s="396"/>
      <c r="D17" s="396"/>
      <c r="E17" s="396"/>
      <c r="F17" s="396"/>
      <c r="G17" s="396"/>
      <c r="H17" s="396"/>
      <c r="I17" s="396"/>
      <c r="J17" s="396"/>
      <c r="K17" s="396"/>
      <c r="L17" s="396"/>
      <c r="M17" s="396"/>
      <c r="N17" s="396"/>
      <c r="O17" s="396"/>
      <c r="P17" s="396"/>
      <c r="Q17" s="396"/>
      <c r="R17" s="396"/>
      <c r="S17" s="4"/>
      <c r="U17" s="11"/>
      <c r="V17" s="396"/>
      <c r="W17" s="768"/>
      <c r="X17" s="768"/>
      <c r="Y17" s="768"/>
      <c r="Z17" s="768"/>
      <c r="AA17" s="768"/>
      <c r="AB17" s="768"/>
      <c r="AC17" s="768"/>
      <c r="AD17" s="396"/>
      <c r="AE17" s="396"/>
      <c r="AF17" s="396"/>
      <c r="AG17" s="237"/>
    </row>
    <row r="18" spans="2:40" ht="18.75" customHeight="1" thickBot="1" x14ac:dyDescent="0.3">
      <c r="B18" s="11"/>
      <c r="C18" s="396"/>
      <c r="D18" s="396"/>
      <c r="E18" s="396"/>
      <c r="F18" s="396"/>
      <c r="G18" s="746" t="s">
        <v>1089</v>
      </c>
      <c r="H18" s="396"/>
      <c r="I18" s="1327"/>
      <c r="J18" s="1315"/>
      <c r="K18" s="1316"/>
      <c r="L18" s="1017" t="s">
        <v>846</v>
      </c>
      <c r="M18" s="1018"/>
      <c r="N18" s="1018"/>
      <c r="O18" s="1018"/>
      <c r="P18" s="1018"/>
      <c r="Q18" s="1018"/>
      <c r="R18" s="1018"/>
      <c r="S18" s="1324"/>
      <c r="T18" s="217"/>
      <c r="U18" s="11"/>
      <c r="V18" s="396"/>
      <c r="W18" s="396"/>
      <c r="X18" s="460" t="s">
        <v>1518</v>
      </c>
      <c r="Y18" s="746"/>
      <c r="Z18" s="1314"/>
      <c r="AA18" s="1315"/>
      <c r="AB18" s="1315"/>
      <c r="AC18" s="1315"/>
      <c r="AD18" s="1315"/>
      <c r="AE18" s="1315"/>
      <c r="AF18" s="1316"/>
      <c r="AG18" s="4"/>
      <c r="AM18" s="396"/>
      <c r="AN18" s="396"/>
    </row>
    <row r="19" spans="2:40" ht="3.75" customHeight="1" thickBot="1" x14ac:dyDescent="0.3">
      <c r="B19" s="11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6"/>
      <c r="R19" s="396"/>
      <c r="S19" s="4"/>
      <c r="U19" s="11"/>
      <c r="V19" s="396"/>
      <c r="W19" s="396"/>
      <c r="X19" s="396"/>
      <c r="Y19" s="396"/>
      <c r="Z19" s="396"/>
      <c r="AA19" s="396"/>
      <c r="AB19" s="396"/>
      <c r="AC19" s="396"/>
      <c r="AD19" s="396"/>
      <c r="AE19" s="396"/>
      <c r="AF19" s="396"/>
      <c r="AG19" s="4"/>
    </row>
    <row r="20" spans="2:40" ht="18.75" customHeight="1" thickBot="1" x14ac:dyDescent="0.3">
      <c r="B20" s="11"/>
      <c r="C20" s="396"/>
      <c r="D20" s="396"/>
      <c r="E20" s="396"/>
      <c r="F20" s="396"/>
      <c r="G20" s="746" t="s">
        <v>870</v>
      </c>
      <c r="H20" s="263"/>
      <c r="I20" s="1334"/>
      <c r="J20" s="1335"/>
      <c r="K20" s="1336"/>
      <c r="L20" s="396"/>
      <c r="M20" s="396"/>
      <c r="N20" s="396"/>
      <c r="O20" s="396"/>
      <c r="P20" s="396"/>
      <c r="Q20" s="396"/>
      <c r="R20" s="396"/>
      <c r="S20" s="4"/>
      <c r="U20" s="1328" t="s">
        <v>928</v>
      </c>
      <c r="V20" s="1329"/>
      <c r="W20" s="1329"/>
      <c r="X20" s="1329"/>
      <c r="Y20" s="1329"/>
      <c r="Z20" s="1329"/>
      <c r="AA20" s="1329"/>
      <c r="AB20" s="1329"/>
      <c r="AC20" s="1329"/>
      <c r="AD20" s="1329"/>
      <c r="AE20" s="1329"/>
      <c r="AF20" s="1329"/>
      <c r="AG20" s="1330"/>
    </row>
    <row r="21" spans="2:40" ht="3.75" customHeight="1" thickBot="1" x14ac:dyDescent="0.3">
      <c r="B21" s="11"/>
      <c r="C21" s="396"/>
      <c r="D21" s="396"/>
      <c r="E21" s="731"/>
      <c r="F21" s="731"/>
      <c r="G21" s="731"/>
      <c r="H21" s="731"/>
      <c r="I21" s="396"/>
      <c r="J21" s="396"/>
      <c r="K21" s="415"/>
      <c r="L21" s="396"/>
      <c r="M21" s="396"/>
      <c r="N21" s="396"/>
      <c r="O21" s="396"/>
      <c r="P21" s="396"/>
      <c r="Q21" s="396"/>
      <c r="R21" s="396"/>
      <c r="S21" s="4"/>
      <c r="U21" s="1331"/>
      <c r="V21" s="1332"/>
      <c r="W21" s="1332"/>
      <c r="X21" s="1332"/>
      <c r="Y21" s="1332"/>
      <c r="Z21" s="1332"/>
      <c r="AA21" s="1332"/>
      <c r="AB21" s="1332"/>
      <c r="AC21" s="1332"/>
      <c r="AD21" s="1332"/>
      <c r="AE21" s="1332"/>
      <c r="AF21" s="1332"/>
      <c r="AG21" s="1333"/>
    </row>
    <row r="22" spans="2:40" ht="18.75" customHeight="1" thickBot="1" x14ac:dyDescent="0.4">
      <c r="B22" s="11"/>
      <c r="C22" s="396"/>
      <c r="D22" s="396"/>
      <c r="E22" s="396"/>
      <c r="F22" s="396"/>
      <c r="G22" s="746" t="s">
        <v>871</v>
      </c>
      <c r="H22" s="396"/>
      <c r="I22" s="1334"/>
      <c r="J22" s="1335"/>
      <c r="K22" s="1336"/>
      <c r="L22" s="396"/>
      <c r="M22" s="396"/>
      <c r="N22" s="396"/>
      <c r="O22" s="396"/>
      <c r="P22" s="396"/>
      <c r="Q22" s="396"/>
      <c r="R22" s="396"/>
      <c r="S22" s="4"/>
      <c r="U22" s="11"/>
      <c r="V22" s="396"/>
      <c r="W22" s="1346" t="str">
        <f>"Thrust Bearings Found:  "&amp;Unformatted!E662</f>
        <v>Thrust Bearings Found:  No</v>
      </c>
      <c r="X22" s="1346"/>
      <c r="Y22" s="1346"/>
      <c r="Z22" s="1346"/>
      <c r="AA22" s="1346"/>
      <c r="AB22" s="1347"/>
      <c r="AC22" s="1344" t="str">
        <f>"Bearing Configuration: (Originally "&amp;Unformatted!E223&amp;")"</f>
        <v>Bearing Configuration: (Originally N/A)</v>
      </c>
      <c r="AD22" s="1344"/>
      <c r="AE22" s="1344"/>
      <c r="AF22" s="1344"/>
      <c r="AG22" s="237"/>
    </row>
    <row r="23" spans="2:40" ht="3.75" customHeight="1" thickBot="1" x14ac:dyDescent="0.3">
      <c r="B23" s="11"/>
      <c r="C23" s="396"/>
      <c r="D23" s="396"/>
      <c r="E23" s="396"/>
      <c r="F23" s="396"/>
      <c r="G23" s="396"/>
      <c r="H23" s="396"/>
      <c r="I23" s="396"/>
      <c r="J23" s="396"/>
      <c r="K23" s="396"/>
      <c r="L23" s="396"/>
      <c r="M23" s="396"/>
      <c r="N23" s="396"/>
      <c r="O23" s="396"/>
      <c r="P23" s="396"/>
      <c r="Q23" s="396"/>
      <c r="R23" s="396"/>
      <c r="S23" s="4"/>
      <c r="U23" s="11"/>
      <c r="V23" s="396"/>
      <c r="W23" s="1030"/>
      <c r="X23" s="1030"/>
      <c r="Y23" s="1030"/>
      <c r="Z23" s="1030"/>
      <c r="AA23" s="1030"/>
      <c r="AB23" s="1348"/>
      <c r="AC23" s="1345"/>
      <c r="AD23" s="1345"/>
      <c r="AE23" s="1345"/>
      <c r="AF23" s="1345"/>
      <c r="AG23" s="4"/>
    </row>
    <row r="24" spans="2:40" ht="18.75" customHeight="1" thickBot="1" x14ac:dyDescent="0.3">
      <c r="B24" s="11"/>
      <c r="C24" s="763"/>
      <c r="D24" s="736" t="s">
        <v>1511</v>
      </c>
      <c r="E24" s="1320" t="s">
        <v>1512</v>
      </c>
      <c r="F24" s="1321"/>
      <c r="G24" s="1321"/>
      <c r="H24" s="1321"/>
      <c r="I24" s="1322"/>
      <c r="J24" s="396"/>
      <c r="K24" s="396"/>
      <c r="L24" s="736" t="s">
        <v>1511</v>
      </c>
      <c r="M24" s="396"/>
      <c r="N24" s="1317"/>
      <c r="O24" s="1318"/>
      <c r="P24" s="1318"/>
      <c r="Q24" s="1318"/>
      <c r="R24" s="1319"/>
      <c r="S24" s="4"/>
      <c r="U24" s="11"/>
      <c r="V24" s="396"/>
      <c r="W24" s="1030"/>
      <c r="X24" s="1030"/>
      <c r="Y24" s="1030"/>
      <c r="Z24" s="1030"/>
      <c r="AA24" s="1030"/>
      <c r="AB24" s="1348"/>
      <c r="AC24" s="1345"/>
      <c r="AD24" s="1345"/>
      <c r="AE24" s="1345"/>
      <c r="AF24" s="1345"/>
      <c r="AG24" s="4"/>
      <c r="AI24" s="760"/>
      <c r="AJ24" s="760"/>
      <c r="AK24" s="760"/>
      <c r="AL24" s="760"/>
      <c r="AM24" s="760"/>
    </row>
    <row r="25" spans="2:40" ht="3.75" customHeight="1" thickBot="1" x14ac:dyDescent="0.4">
      <c r="B25" s="11"/>
      <c r="C25" s="396"/>
      <c r="D25" s="396"/>
      <c r="E25" s="396"/>
      <c r="F25" s="396"/>
      <c r="G25" s="396"/>
      <c r="H25" s="396"/>
      <c r="I25" s="396"/>
      <c r="J25" s="396"/>
      <c r="K25" s="396"/>
      <c r="L25" s="396"/>
      <c r="M25" s="396"/>
      <c r="N25" s="396"/>
      <c r="O25" s="396"/>
      <c r="P25" s="396"/>
      <c r="Q25" s="396"/>
      <c r="R25" s="396"/>
      <c r="S25" s="4"/>
      <c r="U25" s="11"/>
      <c r="V25" s="396"/>
      <c r="W25" s="396"/>
      <c r="X25" s="396"/>
      <c r="Y25" s="396"/>
      <c r="Z25" s="396"/>
      <c r="AA25" s="396"/>
      <c r="AB25" s="396"/>
      <c r="AC25" s="1345"/>
      <c r="AD25" s="1345"/>
      <c r="AE25" s="1345"/>
      <c r="AF25" s="1345"/>
      <c r="AG25" s="237"/>
    </row>
    <row r="26" spans="2:40" ht="18.75" customHeight="1" thickBot="1" x14ac:dyDescent="0.4">
      <c r="B26" s="11"/>
      <c r="C26" s="736" t="s">
        <v>72</v>
      </c>
      <c r="D26" s="396"/>
      <c r="E26" s="86"/>
      <c r="F26" s="396"/>
      <c r="G26" s="736" t="s">
        <v>1515</v>
      </c>
      <c r="H26" s="396"/>
      <c r="I26" s="958" t="str">
        <f>Unformatted!E639&amp;" Gin"</f>
        <v>N/A Gin</v>
      </c>
      <c r="J26" s="396"/>
      <c r="K26" s="48"/>
      <c r="L26" s="735" t="s">
        <v>72</v>
      </c>
      <c r="M26" s="396"/>
      <c r="N26" s="1007"/>
      <c r="O26" s="1008"/>
      <c r="P26" s="736" t="s">
        <v>588</v>
      </c>
      <c r="Q26" s="396"/>
      <c r="R26" s="958" t="str">
        <f>Unformatted!E646 &amp;" Gin"</f>
        <v>N/A Gin</v>
      </c>
      <c r="S26" s="4"/>
      <c r="U26" s="11"/>
      <c r="V26" s="1310" t="s">
        <v>534</v>
      </c>
      <c r="W26" s="1169"/>
      <c r="X26" s="1311"/>
      <c r="Y26" s="283"/>
      <c r="Z26" s="1334" t="str">
        <f>Unformatted!E219</f>
        <v>N/A</v>
      </c>
      <c r="AA26" s="1336"/>
      <c r="AB26" s="396"/>
      <c r="AC26" s="1345"/>
      <c r="AD26" s="1345"/>
      <c r="AE26" s="1345"/>
      <c r="AF26" s="1345"/>
      <c r="AG26" s="237"/>
    </row>
    <row r="27" spans="2:40" ht="3.75" customHeight="1" thickBot="1" x14ac:dyDescent="0.4">
      <c r="B27" s="11"/>
      <c r="C27" s="396"/>
      <c r="D27" s="396"/>
      <c r="E27" s="396"/>
      <c r="F27" s="396"/>
      <c r="G27" s="396"/>
      <c r="H27" s="396"/>
      <c r="I27" s="396"/>
      <c r="J27" s="396"/>
      <c r="K27" s="48"/>
      <c r="L27" s="47"/>
      <c r="M27" s="396"/>
      <c r="N27" s="396"/>
      <c r="O27" s="396"/>
      <c r="P27" s="396"/>
      <c r="Q27" s="396"/>
      <c r="R27" s="396"/>
      <c r="S27" s="4"/>
      <c r="U27" s="11"/>
      <c r="V27" s="396"/>
      <c r="W27" s="396"/>
      <c r="X27" s="396"/>
      <c r="Y27" s="396"/>
      <c r="Z27" s="396"/>
      <c r="AA27" s="396"/>
      <c r="AB27" s="396"/>
      <c r="AC27" s="768"/>
      <c r="AD27" s="483"/>
      <c r="AE27" s="483"/>
      <c r="AF27" s="768"/>
      <c r="AG27" s="237"/>
    </row>
    <row r="28" spans="2:40" ht="18.75" customHeight="1" thickBot="1" x14ac:dyDescent="0.4">
      <c r="B28" s="11"/>
      <c r="C28" s="396"/>
      <c r="D28" s="396"/>
      <c r="E28" s="248" t="s">
        <v>644</v>
      </c>
      <c r="F28" s="759"/>
      <c r="G28" s="248" t="s">
        <v>887</v>
      </c>
      <c r="H28" s="396"/>
      <c r="I28" s="396"/>
      <c r="J28" s="396"/>
      <c r="K28" s="48"/>
      <c r="L28" s="47"/>
      <c r="M28" s="396"/>
      <c r="N28" s="396"/>
      <c r="O28" s="396"/>
      <c r="P28" s="248" t="s">
        <v>644</v>
      </c>
      <c r="Q28" s="396"/>
      <c r="R28" s="248" t="s">
        <v>887</v>
      </c>
      <c r="S28" s="4"/>
      <c r="U28" s="11"/>
      <c r="V28" s="1310" t="s">
        <v>535</v>
      </c>
      <c r="W28" s="1169"/>
      <c r="X28" s="1311"/>
      <c r="Y28" s="283"/>
      <c r="Z28" s="1334" t="str">
        <f>Unformatted!E220</f>
        <v>N/A</v>
      </c>
      <c r="AA28" s="1336"/>
      <c r="AB28" s="768"/>
      <c r="AC28" s="768"/>
      <c r="AD28" s="483"/>
      <c r="AE28" s="483"/>
      <c r="AF28" s="768"/>
      <c r="AG28" s="237"/>
    </row>
    <row r="29" spans="2:40" ht="3.75" customHeight="1" thickBot="1" x14ac:dyDescent="0.4">
      <c r="B29" s="11"/>
      <c r="C29" s="396"/>
      <c r="D29" s="396"/>
      <c r="E29" s="396"/>
      <c r="F29" s="396"/>
      <c r="G29" s="396"/>
      <c r="H29" s="396"/>
      <c r="I29" s="396"/>
      <c r="J29" s="396"/>
      <c r="K29" s="48"/>
      <c r="L29" s="47"/>
      <c r="M29" s="396"/>
      <c r="N29" s="396"/>
      <c r="O29" s="396"/>
      <c r="P29" s="396"/>
      <c r="Q29" s="396"/>
      <c r="R29" s="396"/>
      <c r="S29" s="4"/>
      <c r="U29" s="11"/>
      <c r="V29" s="396"/>
      <c r="W29" s="396"/>
      <c r="X29" s="396"/>
      <c r="Y29" s="396"/>
      <c r="Z29" s="396"/>
      <c r="AA29" s="396"/>
      <c r="AB29" s="768"/>
      <c r="AC29" s="768"/>
      <c r="AD29" s="483"/>
      <c r="AE29" s="483"/>
      <c r="AF29" s="768"/>
      <c r="AG29" s="237"/>
    </row>
    <row r="30" spans="2:40" ht="18.75" customHeight="1" thickBot="1" x14ac:dyDescent="0.4">
      <c r="B30" s="11"/>
      <c r="C30" s="758" t="s">
        <v>1513</v>
      </c>
      <c r="D30" s="396"/>
      <c r="E30" s="374"/>
      <c r="F30" s="394"/>
      <c r="G30" s="765"/>
      <c r="H30" s="396"/>
      <c r="I30" s="396"/>
      <c r="J30" s="396"/>
      <c r="K30" s="48"/>
      <c r="L30" s="47"/>
      <c r="M30" s="1325" t="s">
        <v>1513</v>
      </c>
      <c r="N30" s="1326"/>
      <c r="O30" s="396"/>
      <c r="P30" s="374"/>
      <c r="Q30" s="396"/>
      <c r="R30" s="765"/>
      <c r="S30" s="4"/>
      <c r="U30" s="11"/>
      <c r="V30" s="1310" t="s">
        <v>536</v>
      </c>
      <c r="W30" s="1169"/>
      <c r="X30" s="1311"/>
      <c r="Y30" s="283"/>
      <c r="Z30" s="1334" t="str">
        <f>Unformatted!G221</f>
        <v>N/A</v>
      </c>
      <c r="AA30" s="1336"/>
      <c r="AB30" s="768"/>
      <c r="AC30" s="768"/>
      <c r="AD30" s="768"/>
      <c r="AE30" s="768"/>
      <c r="AF30" s="396"/>
      <c r="AG30" s="237"/>
    </row>
    <row r="31" spans="2:40" ht="3.75" customHeight="1" thickBot="1" x14ac:dyDescent="0.4">
      <c r="B31" s="11"/>
      <c r="C31" s="396"/>
      <c r="D31" s="396"/>
      <c r="E31" s="396"/>
      <c r="F31" s="396"/>
      <c r="G31" s="396"/>
      <c r="H31" s="396"/>
      <c r="I31" s="396"/>
      <c r="J31" s="396"/>
      <c r="K31" s="48"/>
      <c r="L31" s="47"/>
      <c r="M31" s="396"/>
      <c r="N31" s="396"/>
      <c r="O31" s="396"/>
      <c r="P31" s="396"/>
      <c r="Q31" s="396"/>
      <c r="R31" s="396"/>
      <c r="S31" s="4"/>
      <c r="U31" s="11"/>
      <c r="V31" s="396"/>
      <c r="W31" s="396"/>
      <c r="X31" s="396"/>
      <c r="Y31" s="396"/>
      <c r="Z31" s="396"/>
      <c r="AA31" s="396"/>
      <c r="AB31" s="396"/>
      <c r="AC31" s="768"/>
      <c r="AD31" s="768"/>
      <c r="AE31" s="768"/>
      <c r="AF31" s="396"/>
      <c r="AG31" s="237"/>
    </row>
    <row r="32" spans="2:40" ht="16.5" customHeight="1" thickBot="1" x14ac:dyDescent="0.4">
      <c r="B32" s="11"/>
      <c r="C32" s="758" t="s">
        <v>1514</v>
      </c>
      <c r="D32" s="396"/>
      <c r="E32" s="374"/>
      <c r="F32" s="394"/>
      <c r="G32" s="374"/>
      <c r="H32" s="396"/>
      <c r="I32" s="396"/>
      <c r="J32" s="396"/>
      <c r="K32" s="48"/>
      <c r="L32" s="47"/>
      <c r="M32" s="1325" t="s">
        <v>1514</v>
      </c>
      <c r="N32" s="1326"/>
      <c r="O32" s="396"/>
      <c r="P32" s="374"/>
      <c r="Q32" s="396"/>
      <c r="R32" s="374"/>
      <c r="S32" s="4"/>
      <c r="U32" s="11"/>
      <c r="V32" s="1310" t="s">
        <v>517</v>
      </c>
      <c r="W32" s="1169"/>
      <c r="X32" s="1311"/>
      <c r="Y32" s="283"/>
      <c r="Z32" s="1342" t="str">
        <f>Unformatted!F666</f>
        <v>N/A</v>
      </c>
      <c r="AA32" s="1343"/>
      <c r="AB32" s="771"/>
      <c r="AC32" s="396"/>
      <c r="AD32" s="768"/>
      <c r="AE32" s="768"/>
      <c r="AF32" s="396"/>
      <c r="AG32" s="237"/>
    </row>
    <row r="33" spans="1:33" ht="3.75" customHeight="1" x14ac:dyDescent="0.35">
      <c r="B33" s="11"/>
      <c r="C33" s="396"/>
      <c r="D33" s="396"/>
      <c r="E33" s="396"/>
      <c r="F33" s="396"/>
      <c r="G33" s="396"/>
      <c r="H33" s="396"/>
      <c r="I33" s="396"/>
      <c r="J33" s="396"/>
      <c r="K33" s="48"/>
      <c r="L33" s="47"/>
      <c r="M33" s="396"/>
      <c r="N33" s="396"/>
      <c r="O33" s="396"/>
      <c r="P33" s="396"/>
      <c r="Q33" s="396"/>
      <c r="R33" s="396"/>
      <c r="S33" s="4"/>
      <c r="U33" s="11"/>
      <c r="V33" s="396"/>
      <c r="W33" s="396"/>
      <c r="X33" s="396"/>
      <c r="Y33" s="396"/>
      <c r="Z33" s="396"/>
      <c r="AA33" s="396"/>
      <c r="AB33" s="396"/>
      <c r="AC33" s="396"/>
      <c r="AD33" s="768"/>
      <c r="AE33" s="768"/>
      <c r="AF33" s="396"/>
      <c r="AG33" s="237"/>
    </row>
    <row r="34" spans="1:33" ht="16.5" customHeight="1" x14ac:dyDescent="0.35">
      <c r="B34" s="11"/>
      <c r="C34" s="1018" t="s">
        <v>846</v>
      </c>
      <c r="D34" s="1018"/>
      <c r="E34" s="1018"/>
      <c r="F34" s="1018"/>
      <c r="G34" s="1018"/>
      <c r="H34" s="1018"/>
      <c r="I34" s="1018"/>
      <c r="J34" s="1018"/>
      <c r="K34" s="48"/>
      <c r="L34" s="1323" t="s">
        <v>846</v>
      </c>
      <c r="M34" s="1018"/>
      <c r="N34" s="1018"/>
      <c r="O34" s="1018"/>
      <c r="P34" s="1018"/>
      <c r="Q34" s="1018"/>
      <c r="R34" s="1018"/>
      <c r="S34" s="1324"/>
      <c r="U34" s="11"/>
      <c r="V34" s="396"/>
      <c r="W34" s="396"/>
      <c r="X34" s="741" t="s">
        <v>688</v>
      </c>
      <c r="Y34" s="415"/>
      <c r="Z34" s="396"/>
      <c r="AA34" s="396"/>
      <c r="AB34" s="771"/>
      <c r="AC34" s="396"/>
      <c r="AD34" s="768"/>
      <c r="AE34" s="768"/>
      <c r="AF34" s="396"/>
      <c r="AG34" s="237"/>
    </row>
    <row r="35" spans="1:33" ht="3.75" customHeight="1" thickBot="1" x14ac:dyDescent="0.4">
      <c r="B35" s="11"/>
      <c r="C35" s="396"/>
      <c r="D35" s="396"/>
      <c r="E35" s="396"/>
      <c r="F35" s="396"/>
      <c r="G35" s="396"/>
      <c r="H35" s="396"/>
      <c r="I35" s="396"/>
      <c r="J35" s="396"/>
      <c r="K35" s="48"/>
      <c r="L35" s="47"/>
      <c r="M35" s="396"/>
      <c r="N35" s="396"/>
      <c r="O35" s="396"/>
      <c r="P35" s="396"/>
      <c r="Q35" s="396"/>
      <c r="R35" s="396"/>
      <c r="S35" s="4"/>
      <c r="U35" s="11"/>
      <c r="V35" s="396"/>
      <c r="W35" s="396"/>
      <c r="X35" s="396"/>
      <c r="Y35" s="396"/>
      <c r="Z35" s="396"/>
      <c r="AA35" s="396"/>
      <c r="AB35" s="396"/>
      <c r="AC35" s="396"/>
      <c r="AD35" s="768"/>
      <c r="AE35" s="768"/>
      <c r="AF35" s="396"/>
      <c r="AG35" s="237"/>
    </row>
    <row r="36" spans="1:33" ht="16.5" customHeight="1" thickBot="1" x14ac:dyDescent="0.4">
      <c r="B36" s="130"/>
      <c r="C36" s="396"/>
      <c r="D36" s="396"/>
      <c r="E36" s="396"/>
      <c r="F36" s="396"/>
      <c r="G36" s="396"/>
      <c r="H36" s="396"/>
      <c r="I36" s="396"/>
      <c r="J36" s="396"/>
      <c r="K36" s="48"/>
      <c r="L36" s="47"/>
      <c r="M36" s="396"/>
      <c r="N36" s="396"/>
      <c r="O36" s="396"/>
      <c r="P36" s="396"/>
      <c r="Q36" s="396"/>
      <c r="R36" s="396"/>
      <c r="S36" s="4"/>
      <c r="U36" s="11"/>
      <c r="W36" s="396"/>
      <c r="X36" s="741" t="s">
        <v>1523</v>
      </c>
      <c r="Y36" s="396"/>
      <c r="Z36" s="1337"/>
      <c r="AA36" s="1338"/>
      <c r="AB36" s="772"/>
      <c r="AC36" s="396"/>
      <c r="AD36" s="396"/>
      <c r="AE36" s="396"/>
      <c r="AF36" s="396"/>
      <c r="AG36" s="237"/>
    </row>
    <row r="37" spans="1:33" ht="3.75" customHeight="1" x14ac:dyDescent="0.35">
      <c r="B37" s="11"/>
      <c r="C37" s="396"/>
      <c r="D37" s="396"/>
      <c r="E37" s="396"/>
      <c r="F37" s="396"/>
      <c r="G37" s="396"/>
      <c r="H37" s="396"/>
      <c r="I37" s="396"/>
      <c r="J37" s="396"/>
      <c r="K37" s="48"/>
      <c r="L37" s="47"/>
      <c r="M37" s="396"/>
      <c r="N37" s="396"/>
      <c r="O37" s="396"/>
      <c r="P37" s="396"/>
      <c r="Q37" s="396"/>
      <c r="R37" s="396"/>
      <c r="S37" s="4"/>
      <c r="U37" s="11"/>
      <c r="V37" s="396"/>
      <c r="W37" s="396"/>
      <c r="X37" s="396"/>
      <c r="Y37" s="396"/>
      <c r="Z37" s="396"/>
      <c r="AA37" s="396"/>
      <c r="AB37" s="396"/>
      <c r="AC37" s="396"/>
      <c r="AD37" s="396"/>
      <c r="AE37" s="396"/>
      <c r="AF37" s="396"/>
      <c r="AG37" s="237"/>
    </row>
    <row r="38" spans="1:33" ht="18.75" customHeight="1" x14ac:dyDescent="0.35">
      <c r="B38" s="11"/>
      <c r="C38" s="396"/>
      <c r="D38" s="396"/>
      <c r="E38" s="396"/>
      <c r="F38" s="396"/>
      <c r="G38" s="396"/>
      <c r="H38" s="396"/>
      <c r="I38" s="396"/>
      <c r="J38" s="396"/>
      <c r="K38" s="48"/>
      <c r="L38" s="396"/>
      <c r="M38" s="396"/>
      <c r="N38" s="396"/>
      <c r="O38" s="396"/>
      <c r="P38" s="396"/>
      <c r="Q38" s="396"/>
      <c r="R38" s="396"/>
      <c r="S38" s="4"/>
      <c r="U38" s="11"/>
      <c r="V38" s="743" t="s">
        <v>1034</v>
      </c>
      <c r="W38" s="396"/>
      <c r="X38" s="396"/>
      <c r="Y38" s="396"/>
      <c r="Z38" s="396"/>
      <c r="AA38" s="396"/>
      <c r="AB38" s="771"/>
      <c r="AC38" s="396"/>
      <c r="AD38" s="396"/>
      <c r="AE38" s="396"/>
      <c r="AF38" s="396"/>
      <c r="AG38" s="237"/>
    </row>
    <row r="39" spans="1:33" ht="15" customHeight="1" x14ac:dyDescent="0.35">
      <c r="A39" s="4"/>
      <c r="B39" s="224"/>
      <c r="C39" s="915" t="s">
        <v>931</v>
      </c>
      <c r="D39" s="871"/>
      <c r="E39" s="396"/>
      <c r="F39" s="871"/>
      <c r="G39" s="871"/>
      <c r="H39" s="396"/>
      <c r="I39" s="396"/>
      <c r="J39" s="767"/>
      <c r="K39" s="767"/>
      <c r="L39" s="396"/>
      <c r="M39" s="396"/>
      <c r="N39" s="396"/>
      <c r="O39" s="396"/>
      <c r="P39" s="396"/>
      <c r="Q39" s="396"/>
      <c r="R39" s="396"/>
      <c r="S39" s="916"/>
      <c r="T39" s="225"/>
      <c r="U39" s="11"/>
      <c r="V39" s="396"/>
      <c r="W39" s="396"/>
      <c r="X39" s="396"/>
      <c r="Y39" s="396"/>
      <c r="Z39" s="396"/>
      <c r="AA39" s="396"/>
      <c r="AB39" s="396"/>
      <c r="AC39" s="396"/>
      <c r="AD39" s="396"/>
      <c r="AE39" s="396"/>
      <c r="AF39" s="396"/>
      <c r="AG39" s="237"/>
    </row>
    <row r="40" spans="1:33" ht="15" customHeight="1" x14ac:dyDescent="0.35">
      <c r="B40" s="224"/>
      <c r="C40" s="764"/>
      <c r="D40" s="871"/>
      <c r="E40" s="871"/>
      <c r="F40" s="871"/>
      <c r="G40" s="871"/>
      <c r="H40" s="396"/>
      <c r="I40" s="396"/>
      <c r="J40" s="871"/>
      <c r="K40" s="871"/>
      <c r="L40" s="396"/>
      <c r="M40" s="396"/>
      <c r="N40" s="396"/>
      <c r="O40" s="396"/>
      <c r="P40" s="396"/>
      <c r="Q40" s="396"/>
      <c r="R40" s="396"/>
      <c r="S40" s="4"/>
      <c r="U40" s="11"/>
      <c r="V40" s="396"/>
      <c r="W40" s="396"/>
      <c r="X40" s="396"/>
      <c r="Y40" s="396"/>
      <c r="Z40" s="396"/>
      <c r="AA40" s="396"/>
      <c r="AB40" s="396"/>
      <c r="AC40" s="396"/>
      <c r="AD40" s="396"/>
      <c r="AE40" s="396"/>
      <c r="AF40" s="396"/>
      <c r="AG40" s="4"/>
    </row>
    <row r="41" spans="1:33" ht="3.75" customHeight="1" x14ac:dyDescent="0.25">
      <c r="B41" s="11"/>
      <c r="C41" s="396"/>
      <c r="D41" s="396"/>
      <c r="E41" s="396"/>
      <c r="F41" s="396"/>
      <c r="G41" s="396"/>
      <c r="H41" s="396"/>
      <c r="I41" s="396"/>
      <c r="J41" s="396"/>
      <c r="K41" s="396"/>
      <c r="L41" s="396"/>
      <c r="M41" s="396"/>
      <c r="N41" s="396"/>
      <c r="O41" s="396"/>
      <c r="P41" s="396"/>
      <c r="Q41" s="396"/>
      <c r="R41" s="396"/>
      <c r="S41" s="4"/>
      <c r="U41" s="11"/>
      <c r="V41" s="396"/>
      <c r="W41" s="396"/>
      <c r="X41" s="396"/>
      <c r="Y41" s="396"/>
      <c r="Z41" s="396"/>
      <c r="AA41" s="396"/>
      <c r="AB41" s="396"/>
      <c r="AC41" s="396"/>
      <c r="AD41" s="396"/>
      <c r="AE41" s="396"/>
      <c r="AF41" s="396"/>
      <c r="AG41" s="4"/>
    </row>
    <row r="42" spans="1:33" ht="16.5" customHeight="1" x14ac:dyDescent="0.25">
      <c r="B42" s="11"/>
      <c r="C42" s="396"/>
      <c r="D42" s="396"/>
      <c r="E42" s="396"/>
      <c r="F42" s="396"/>
      <c r="G42" s="396"/>
      <c r="H42" s="396"/>
      <c r="I42" s="396"/>
      <c r="J42" s="731"/>
      <c r="K42" s="396"/>
      <c r="L42" s="396"/>
      <c r="M42" s="396"/>
      <c r="N42" s="396"/>
      <c r="O42" s="396"/>
      <c r="P42" s="396"/>
      <c r="Q42" s="396"/>
      <c r="R42" s="396"/>
      <c r="S42" s="4"/>
      <c r="U42" s="11"/>
      <c r="V42" s="396"/>
      <c r="W42" s="396"/>
      <c r="X42" s="396"/>
      <c r="Y42" s="746"/>
      <c r="Z42" s="396"/>
      <c r="AA42" s="396"/>
      <c r="AB42" s="396"/>
      <c r="AC42" s="396"/>
      <c r="AD42" s="396"/>
      <c r="AE42" s="396"/>
      <c r="AF42" s="396"/>
      <c r="AG42" s="4"/>
    </row>
    <row r="43" spans="1:33" ht="3.75" customHeight="1" x14ac:dyDescent="0.25">
      <c r="B43" s="11"/>
      <c r="C43" s="396"/>
      <c r="D43" s="396"/>
      <c r="E43" s="396"/>
      <c r="F43" s="396"/>
      <c r="G43" s="396"/>
      <c r="H43" s="396"/>
      <c r="I43" s="396"/>
      <c r="J43" s="743"/>
      <c r="K43" s="743"/>
      <c r="L43" s="743"/>
      <c r="M43" s="396"/>
      <c r="N43" s="396"/>
      <c r="O43" s="396"/>
      <c r="P43" s="396"/>
      <c r="Q43" s="396"/>
      <c r="R43" s="396"/>
      <c r="S43" s="4"/>
      <c r="U43" s="11"/>
      <c r="V43" s="396"/>
      <c r="W43" s="396"/>
      <c r="X43" s="396"/>
      <c r="Y43" s="396"/>
      <c r="Z43" s="396"/>
      <c r="AA43" s="396"/>
      <c r="AB43" s="396"/>
      <c r="AC43" s="396"/>
      <c r="AD43" s="396"/>
      <c r="AE43" s="396"/>
      <c r="AF43" s="396"/>
      <c r="AG43" s="4"/>
    </row>
    <row r="44" spans="1:33" ht="16.5" customHeight="1" x14ac:dyDescent="0.35">
      <c r="B44" s="11"/>
      <c r="C44" s="396"/>
      <c r="D44" s="396"/>
      <c r="E44" s="396"/>
      <c r="F44" s="396"/>
      <c r="G44" s="396"/>
      <c r="H44" s="396"/>
      <c r="I44" s="396"/>
      <c r="J44" s="743"/>
      <c r="K44" s="743"/>
      <c r="L44" s="743"/>
      <c r="M44" s="396"/>
      <c r="N44" s="396"/>
      <c r="O44" s="396"/>
      <c r="P44" s="396"/>
      <c r="Q44" s="396"/>
      <c r="R44" s="396"/>
      <c r="S44" s="4"/>
      <c r="U44" s="11"/>
      <c r="W44" s="396"/>
      <c r="X44" s="396"/>
      <c r="Y44" s="396"/>
      <c r="Z44" s="396"/>
      <c r="AA44" s="396"/>
      <c r="AB44" s="396"/>
      <c r="AC44" s="396"/>
      <c r="AD44" s="768"/>
      <c r="AE44" s="768"/>
      <c r="AF44" s="396"/>
      <c r="AG44" s="4"/>
    </row>
    <row r="45" spans="1:33" ht="3.75" customHeight="1" x14ac:dyDescent="0.25">
      <c r="B45" s="11"/>
      <c r="C45" s="396"/>
      <c r="D45" s="396"/>
      <c r="E45" s="396"/>
      <c r="F45" s="396"/>
      <c r="G45" s="396"/>
      <c r="H45" s="396"/>
      <c r="I45" s="396"/>
      <c r="J45" s="396"/>
      <c r="K45" s="396"/>
      <c r="L45" s="396"/>
      <c r="M45" s="396"/>
      <c r="N45" s="396"/>
      <c r="O45" s="396"/>
      <c r="P45" s="396"/>
      <c r="Q45" s="396"/>
      <c r="R45" s="396"/>
      <c r="S45" s="4"/>
      <c r="U45" s="11"/>
      <c r="V45" s="396"/>
      <c r="W45" s="396"/>
      <c r="X45" s="396"/>
      <c r="Y45" s="396"/>
      <c r="Z45" s="396"/>
      <c r="AA45" s="396"/>
      <c r="AB45" s="396"/>
      <c r="AC45" s="396"/>
      <c r="AD45" s="396"/>
      <c r="AE45" s="396"/>
      <c r="AF45" s="396"/>
      <c r="AG45" s="4"/>
    </row>
    <row r="46" spans="1:33" ht="16.5" customHeight="1" x14ac:dyDescent="0.25">
      <c r="B46" s="11"/>
      <c r="C46" s="396"/>
      <c r="D46" s="396"/>
      <c r="E46" s="396"/>
      <c r="F46" s="396"/>
      <c r="G46" s="396"/>
      <c r="H46" s="396"/>
      <c r="I46" s="396"/>
      <c r="J46" s="396"/>
      <c r="K46" s="396"/>
      <c r="L46" s="396"/>
      <c r="M46" s="396"/>
      <c r="N46" s="396"/>
      <c r="O46" s="396"/>
      <c r="P46" s="396"/>
      <c r="Q46" s="396"/>
      <c r="R46" s="396"/>
      <c r="S46" s="4"/>
      <c r="U46" s="11"/>
      <c r="V46" s="396"/>
      <c r="W46" s="396"/>
      <c r="X46" s="396"/>
      <c r="Y46" s="396"/>
      <c r="Z46" s="396"/>
      <c r="AA46" s="396"/>
      <c r="AB46" s="396"/>
      <c r="AC46" s="396"/>
      <c r="AD46" s="396"/>
      <c r="AE46" s="396"/>
      <c r="AF46" s="396"/>
      <c r="AG46" s="4"/>
    </row>
    <row r="47" spans="1:33" ht="3.75" customHeight="1" x14ac:dyDescent="0.25">
      <c r="B47" s="11"/>
      <c r="C47" s="396"/>
      <c r="D47" s="396"/>
      <c r="E47" s="396"/>
      <c r="F47" s="396"/>
      <c r="G47" s="396"/>
      <c r="H47" s="396"/>
      <c r="I47" s="396"/>
      <c r="J47" s="396"/>
      <c r="K47" s="396"/>
      <c r="L47" s="396"/>
      <c r="M47" s="396"/>
      <c r="N47" s="396"/>
      <c r="O47" s="396"/>
      <c r="P47" s="396"/>
      <c r="Q47" s="396"/>
      <c r="R47" s="396"/>
      <c r="S47" s="4"/>
      <c r="U47" s="11"/>
      <c r="V47" s="396"/>
      <c r="W47" s="396"/>
      <c r="X47" s="396"/>
      <c r="Y47" s="396"/>
      <c r="Z47" s="396"/>
      <c r="AA47" s="396"/>
      <c r="AB47" s="396"/>
      <c r="AC47" s="396"/>
      <c r="AD47" s="396"/>
      <c r="AE47" s="396"/>
      <c r="AF47" s="396"/>
      <c r="AG47" s="4"/>
    </row>
    <row r="48" spans="1:33" ht="16.5" customHeight="1" x14ac:dyDescent="0.25">
      <c r="B48" s="11"/>
      <c r="C48" s="396"/>
      <c r="D48" s="396"/>
      <c r="E48" s="396"/>
      <c r="F48" s="396"/>
      <c r="G48" s="396"/>
      <c r="H48" s="396"/>
      <c r="I48" s="396"/>
      <c r="J48" s="396"/>
      <c r="K48" s="396"/>
      <c r="L48" s="396"/>
      <c r="M48" s="396"/>
      <c r="N48" s="396"/>
      <c r="O48" s="396"/>
      <c r="P48" s="396"/>
      <c r="Q48" s="396"/>
      <c r="R48" s="396"/>
      <c r="S48" s="4"/>
      <c r="U48" s="11"/>
      <c r="V48" s="396"/>
      <c r="W48" s="396"/>
      <c r="X48" s="396"/>
      <c r="Y48" s="396"/>
      <c r="Z48" s="396"/>
      <c r="AA48" s="396"/>
      <c r="AB48" s="396"/>
      <c r="AC48" s="396"/>
      <c r="AD48" s="396"/>
      <c r="AE48" s="396"/>
      <c r="AF48" s="396"/>
      <c r="AG48" s="4"/>
    </row>
    <row r="49" spans="2:33" ht="3.75" customHeight="1" thickBot="1" x14ac:dyDescent="0.3">
      <c r="B49" s="12"/>
      <c r="C49" s="5"/>
      <c r="D49" s="5"/>
      <c r="E49" s="260"/>
      <c r="F49" s="260"/>
      <c r="G49" s="520"/>
      <c r="H49" s="520"/>
      <c r="I49" s="520"/>
      <c r="J49" s="520"/>
      <c r="K49" s="5"/>
      <c r="L49" s="5"/>
      <c r="M49" s="5"/>
      <c r="N49" s="260"/>
      <c r="O49" s="260"/>
      <c r="P49" s="5"/>
      <c r="Q49" s="5"/>
      <c r="R49" s="5"/>
      <c r="S49" s="6"/>
      <c r="U49" s="12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6"/>
    </row>
    <row r="50" spans="2:33" ht="16.5" customHeight="1" x14ac:dyDescent="0.25">
      <c r="B50" s="93"/>
      <c r="C50" s="93"/>
      <c r="D50" s="93"/>
      <c r="E50" s="261"/>
      <c r="F50" s="261"/>
      <c r="G50" s="262"/>
      <c r="H50" s="262"/>
      <c r="I50" s="262"/>
      <c r="J50" s="262"/>
      <c r="K50" s="93"/>
      <c r="L50" s="93"/>
      <c r="M50" s="93"/>
      <c r="N50" s="93"/>
      <c r="O50" s="93"/>
      <c r="P50" s="93"/>
      <c r="Q50" s="93"/>
      <c r="R50" s="93"/>
      <c r="S50" s="93"/>
    </row>
    <row r="51" spans="2:33" ht="3.75" customHeight="1" x14ac:dyDescent="0.25">
      <c r="E51" s="1"/>
      <c r="F51" s="1"/>
      <c r="G51" s="13"/>
      <c r="H51" s="13"/>
      <c r="I51" s="13"/>
      <c r="J51" s="13"/>
    </row>
    <row r="52" spans="2:33" ht="16.5" customHeight="1" x14ac:dyDescent="0.25">
      <c r="E52" s="1"/>
      <c r="F52" s="1"/>
      <c r="G52" s="13"/>
      <c r="H52" s="13"/>
      <c r="I52" s="13"/>
      <c r="J52" s="13"/>
    </row>
  </sheetData>
  <sheetProtection sheet="1" selectLockedCells="1"/>
  <mergeCells count="49">
    <mergeCell ref="Z36:AA36"/>
    <mergeCell ref="Z16:AF16"/>
    <mergeCell ref="Z18:AF18"/>
    <mergeCell ref="V32:X32"/>
    <mergeCell ref="Z32:AA32"/>
    <mergeCell ref="AC22:AF26"/>
    <mergeCell ref="W22:AA24"/>
    <mergeCell ref="AB22:AB24"/>
    <mergeCell ref="Z30:AA30"/>
    <mergeCell ref="Z26:AA26"/>
    <mergeCell ref="Z28:AA28"/>
    <mergeCell ref="AC14:AF14"/>
    <mergeCell ref="N24:R24"/>
    <mergeCell ref="E24:I24"/>
    <mergeCell ref="N26:O26"/>
    <mergeCell ref="C34:J34"/>
    <mergeCell ref="L34:S34"/>
    <mergeCell ref="M30:N30"/>
    <mergeCell ref="M32:N32"/>
    <mergeCell ref="I18:K18"/>
    <mergeCell ref="V30:X30"/>
    <mergeCell ref="V28:X28"/>
    <mergeCell ref="V26:X26"/>
    <mergeCell ref="U20:AG21"/>
    <mergeCell ref="I20:K20"/>
    <mergeCell ref="I22:K22"/>
    <mergeCell ref="L18:S18"/>
    <mergeCell ref="U4:AG4"/>
    <mergeCell ref="L6:L7"/>
    <mergeCell ref="J6:K8"/>
    <mergeCell ref="E12:G12"/>
    <mergeCell ref="B4:S4"/>
    <mergeCell ref="C6:C8"/>
    <mergeCell ref="AC10:AF10"/>
    <mergeCell ref="AC8:AF8"/>
    <mergeCell ref="P6:R8"/>
    <mergeCell ref="AC6:AF6"/>
    <mergeCell ref="E16:G16"/>
    <mergeCell ref="K16:L16"/>
    <mergeCell ref="N16:P16"/>
    <mergeCell ref="N6:N8"/>
    <mergeCell ref="N14:P14"/>
    <mergeCell ref="E14:G14"/>
    <mergeCell ref="G6:G8"/>
    <mergeCell ref="I6:I8"/>
    <mergeCell ref="K14:L14"/>
    <mergeCell ref="N12:P12"/>
    <mergeCell ref="D6:F6"/>
    <mergeCell ref="D8:F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4854" r:id="rId3" name="TextBox1">
          <controlPr defaultSize="0" autoLine="0" autoPict="0" linkedCell="Unformatted!E649" r:id="rId4">
            <anchor moveWithCells="1">
              <from>
                <xdr:col>1</xdr:col>
                <xdr:colOff>47625</xdr:colOff>
                <xdr:row>39</xdr:row>
                <xdr:rowOff>19050</xdr:rowOff>
              </from>
              <to>
                <xdr:col>18</xdr:col>
                <xdr:colOff>257175</xdr:colOff>
                <xdr:row>48</xdr:row>
                <xdr:rowOff>9525</xdr:rowOff>
              </to>
            </anchor>
          </controlPr>
        </control>
      </mc:Choice>
      <mc:Fallback>
        <control shapeId="74854" r:id="rId3" name="TextBox1"/>
      </mc:Fallback>
    </mc:AlternateContent>
    <mc:AlternateContent xmlns:mc="http://schemas.openxmlformats.org/markup-compatibility/2006">
      <mc:Choice Requires="x14">
        <control shapeId="74800" r:id="rId5" name="TextBox2">
          <controlPr defaultSize="0" autoLine="0" autoPict="0" linkedCell="Unformatted!F670" r:id="rId6">
            <anchor moveWithCells="1">
              <from>
                <xdr:col>20</xdr:col>
                <xdr:colOff>76200</xdr:colOff>
                <xdr:row>38</xdr:row>
                <xdr:rowOff>9525</xdr:rowOff>
              </from>
              <to>
                <xdr:col>32</xdr:col>
                <xdr:colOff>9525</xdr:colOff>
                <xdr:row>47</xdr:row>
                <xdr:rowOff>180975</xdr:rowOff>
              </to>
            </anchor>
          </controlPr>
        </control>
      </mc:Choice>
      <mc:Fallback>
        <control shapeId="74800" r:id="rId5" name="TextBox2"/>
      </mc:Fallback>
    </mc:AlternateContent>
    <mc:AlternateContent xmlns:mc="http://schemas.openxmlformats.org/markup-compatibility/2006">
      <mc:Choice Requires="x14">
        <control shapeId="74773" r:id="rId7" name="Drop Down 21">
          <controlPr defaultSize="0" autoLine="0" autoPict="0">
            <anchor moveWithCells="1">
              <from>
                <xdr:col>21</xdr:col>
                <xdr:colOff>190500</xdr:colOff>
                <xdr:row>6</xdr:row>
                <xdr:rowOff>47625</xdr:rowOff>
              </from>
              <to>
                <xdr:col>23</xdr:col>
                <xdr:colOff>457200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774" r:id="rId8" name="Drop Down 22">
          <controlPr defaultSize="0" autoLine="0" autoPict="0">
            <anchor moveWithCells="1">
              <from>
                <xdr:col>24</xdr:col>
                <xdr:colOff>0</xdr:colOff>
                <xdr:row>6</xdr:row>
                <xdr:rowOff>47625</xdr:rowOff>
              </from>
              <to>
                <xdr:col>26</xdr:col>
                <xdr:colOff>114300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775" r:id="rId9" name="Drop Down 23">
          <controlPr defaultSize="0" autoLine="0" autoPict="0">
            <anchor moveWithCells="1">
              <from>
                <xdr:col>22</xdr:col>
                <xdr:colOff>0</xdr:colOff>
                <xdr:row>9</xdr:row>
                <xdr:rowOff>9525</xdr:rowOff>
              </from>
              <to>
                <xdr:col>23</xdr:col>
                <xdr:colOff>447675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776" r:id="rId10" name="Drop Down 24">
          <controlPr defaultSize="0" autoLine="0" autoPict="0">
            <anchor moveWithCells="1">
              <from>
                <xdr:col>24</xdr:col>
                <xdr:colOff>0</xdr:colOff>
                <xdr:row>9</xdr:row>
                <xdr:rowOff>0</xdr:rowOff>
              </from>
              <to>
                <xdr:col>26</xdr:col>
                <xdr:colOff>114300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777" r:id="rId11" name="Drop Down 25">
          <controlPr defaultSize="0" autoLine="0" autoPict="0">
            <anchor moveWithCells="1">
              <from>
                <xdr:col>23</xdr:col>
                <xdr:colOff>352425</xdr:colOff>
                <xdr:row>11</xdr:row>
                <xdr:rowOff>0</xdr:rowOff>
              </from>
              <to>
                <xdr:col>27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783" r:id="rId12" name="Group Box 31">
          <controlPr defaultSize="0" autoFill="0" autoPict="0">
            <anchor moveWithCells="1">
              <from>
                <xdr:col>29</xdr:col>
                <xdr:colOff>0</xdr:colOff>
                <xdr:row>26</xdr:row>
                <xdr:rowOff>0</xdr:rowOff>
              </from>
              <to>
                <xdr:col>31</xdr:col>
                <xdr:colOff>38100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784" r:id="rId13" name="Drop Down 32">
          <controlPr defaultSize="0" autoLine="0" autoPict="0">
            <anchor moveWithCells="1">
              <from>
                <xdr:col>24</xdr:col>
                <xdr:colOff>9525</xdr:colOff>
                <xdr:row>33</xdr:row>
                <xdr:rowOff>9525</xdr:rowOff>
              </from>
              <to>
                <xdr:col>27</xdr:col>
                <xdr:colOff>333375</xdr:colOff>
                <xdr:row>33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02" r:id="rId14" name="Drop Down 50">
          <controlPr defaultSize="0" autoLine="0" autoPict="0">
            <anchor moveWithCells="1">
              <from>
                <xdr:col>30</xdr:col>
                <xdr:colOff>0</xdr:colOff>
                <xdr:row>11</xdr:row>
                <xdr:rowOff>9525</xdr:rowOff>
              </from>
              <to>
                <xdr:col>32</xdr:col>
                <xdr:colOff>19050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04" r:id="rId15" name="Check Box 52">
          <controlPr defaultSize="0" autoFill="0" autoLine="0" autoPict="0">
            <anchor moveWithCells="1">
              <from>
                <xdr:col>11</xdr:col>
                <xdr:colOff>266700</xdr:colOff>
                <xdr:row>19</xdr:row>
                <xdr:rowOff>19050</xdr:rowOff>
              </from>
              <to>
                <xdr:col>15</xdr:col>
                <xdr:colOff>190500</xdr:colOff>
                <xdr:row>19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06" r:id="rId16" name="Check Box 54">
          <controlPr defaultSize="0" autoFill="0" autoLine="0" autoPict="0">
            <anchor moveWithCells="1">
              <from>
                <xdr:col>15</xdr:col>
                <xdr:colOff>495300</xdr:colOff>
                <xdr:row>19</xdr:row>
                <xdr:rowOff>19050</xdr:rowOff>
              </from>
              <to>
                <xdr:col>17</xdr:col>
                <xdr:colOff>704850</xdr:colOff>
                <xdr:row>19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07" r:id="rId17" name="Check Box 55">
          <controlPr defaultSize="0" autoFill="0" autoLine="0" autoPict="0">
            <anchor moveWithCells="1">
              <from>
                <xdr:col>11</xdr:col>
                <xdr:colOff>266700</xdr:colOff>
                <xdr:row>21</xdr:row>
                <xdr:rowOff>0</xdr:rowOff>
              </from>
              <to>
                <xdr:col>15</xdr:col>
                <xdr:colOff>123825</xdr:colOff>
                <xdr:row>21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08" r:id="rId18" name="Check Box 56">
          <controlPr defaultSize="0" autoFill="0" autoLine="0" autoPict="0">
            <anchor moveWithCells="1">
              <from>
                <xdr:col>15</xdr:col>
                <xdr:colOff>495300</xdr:colOff>
                <xdr:row>21</xdr:row>
                <xdr:rowOff>0</xdr:rowOff>
              </from>
              <to>
                <xdr:col>18</xdr:col>
                <xdr:colOff>9525</xdr:colOff>
                <xdr:row>21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55" r:id="rId19" name="Check Box 103">
          <controlPr defaultSize="0" autoFill="0" autoLine="0" autoPict="0">
            <anchor moveWithCells="1">
              <from>
                <xdr:col>13</xdr:col>
                <xdr:colOff>552450</xdr:colOff>
                <xdr:row>8</xdr:row>
                <xdr:rowOff>38100</xdr:rowOff>
              </from>
              <to>
                <xdr:col>17</xdr:col>
                <xdr:colOff>438150</xdr:colOff>
                <xdr:row>9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56" r:id="rId20" name="Check Box 104">
          <controlPr defaultSize="0" autoFill="0" autoLine="0" autoPict="0">
            <anchor moveWithCells="1">
              <from>
                <xdr:col>2</xdr:col>
                <xdr:colOff>266700</xdr:colOff>
                <xdr:row>35</xdr:row>
                <xdr:rowOff>19050</xdr:rowOff>
              </from>
              <to>
                <xdr:col>4</xdr:col>
                <xdr:colOff>723900</xdr:colOff>
                <xdr:row>36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57" r:id="rId21" name="Check Box 105">
          <controlPr defaultSize="0" autoFill="0" autoLine="0" autoPict="0">
            <anchor moveWithCells="1">
              <from>
                <xdr:col>6</xdr:col>
                <xdr:colOff>495300</xdr:colOff>
                <xdr:row>35</xdr:row>
                <xdr:rowOff>19050</xdr:rowOff>
              </from>
              <to>
                <xdr:col>10</xdr:col>
                <xdr:colOff>19050</xdr:colOff>
                <xdr:row>36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58" r:id="rId22" name="Check Box 106">
          <controlPr defaultSize="0" autoFill="0" autoLine="0" autoPict="0">
            <anchor moveWithCells="1">
              <from>
                <xdr:col>2</xdr:col>
                <xdr:colOff>266700</xdr:colOff>
                <xdr:row>37</xdr:row>
                <xdr:rowOff>0</xdr:rowOff>
              </from>
              <to>
                <xdr:col>4</xdr:col>
                <xdr:colOff>657225</xdr:colOff>
                <xdr:row>37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59" r:id="rId23" name="Check Box 107">
          <controlPr defaultSize="0" autoFill="0" autoLine="0" autoPict="0">
            <anchor moveWithCells="1">
              <from>
                <xdr:col>6</xdr:col>
                <xdr:colOff>495300</xdr:colOff>
                <xdr:row>37</xdr:row>
                <xdr:rowOff>0</xdr:rowOff>
              </from>
              <to>
                <xdr:col>10</xdr:col>
                <xdr:colOff>38100</xdr:colOff>
                <xdr:row>37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60" r:id="rId24" name="Check Box 108">
          <controlPr defaultSize="0" autoFill="0" autoLine="0" autoPict="0">
            <anchor moveWithCells="1">
              <from>
                <xdr:col>11</xdr:col>
                <xdr:colOff>266700</xdr:colOff>
                <xdr:row>35</xdr:row>
                <xdr:rowOff>19050</xdr:rowOff>
              </from>
              <to>
                <xdr:col>15</xdr:col>
                <xdr:colOff>200025</xdr:colOff>
                <xdr:row>36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61" r:id="rId25" name="Check Box 109">
          <controlPr defaultSize="0" autoFill="0" autoLine="0" autoPict="0">
            <anchor moveWithCells="1">
              <from>
                <xdr:col>15</xdr:col>
                <xdr:colOff>495300</xdr:colOff>
                <xdr:row>35</xdr:row>
                <xdr:rowOff>19050</xdr:rowOff>
              </from>
              <to>
                <xdr:col>17</xdr:col>
                <xdr:colOff>704850</xdr:colOff>
                <xdr:row>36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62" r:id="rId26" name="Check Box 110">
          <controlPr defaultSize="0" autoFill="0" autoLine="0" autoPict="0">
            <anchor moveWithCells="1">
              <from>
                <xdr:col>11</xdr:col>
                <xdr:colOff>266700</xdr:colOff>
                <xdr:row>37</xdr:row>
                <xdr:rowOff>0</xdr:rowOff>
              </from>
              <to>
                <xdr:col>15</xdr:col>
                <xdr:colOff>133350</xdr:colOff>
                <xdr:row>37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63" r:id="rId27" name="Check Box 111">
          <controlPr defaultSize="0" autoFill="0" autoLine="0" autoPict="0">
            <anchor moveWithCells="1">
              <from>
                <xdr:col>15</xdr:col>
                <xdr:colOff>495300</xdr:colOff>
                <xdr:row>37</xdr:row>
                <xdr:rowOff>0</xdr:rowOff>
              </from>
              <to>
                <xdr:col>18</xdr:col>
                <xdr:colOff>9525</xdr:colOff>
                <xdr:row>37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64" r:id="rId28" name="Drop Down 112">
          <controlPr defaultSize="0" autoLine="0" autoPict="0">
            <anchor moveWithCells="1">
              <from>
                <xdr:col>22</xdr:col>
                <xdr:colOff>314325</xdr:colOff>
                <xdr:row>13</xdr:row>
                <xdr:rowOff>0</xdr:rowOff>
              </from>
              <to>
                <xdr:col>25</xdr:col>
                <xdr:colOff>561975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67" r:id="rId29" name="Option Button 115">
          <controlPr defaultSize="0" autoFill="0" autoLine="0" autoPict="0">
            <anchor moveWithCells="1">
              <from>
                <xdr:col>29</xdr:col>
                <xdr:colOff>57150</xdr:colOff>
                <xdr:row>27</xdr:row>
                <xdr:rowOff>76200</xdr:rowOff>
              </from>
              <to>
                <xdr:col>30</xdr:col>
                <xdr:colOff>600075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68" r:id="rId30" name="Option Button 116">
          <controlPr defaultSize="0" autoFill="0" autoLine="0" autoPict="0">
            <anchor moveWithCells="1">
              <from>
                <xdr:col>29</xdr:col>
                <xdr:colOff>57150</xdr:colOff>
                <xdr:row>29</xdr:row>
                <xdr:rowOff>0</xdr:rowOff>
              </from>
              <to>
                <xdr:col>30</xdr:col>
                <xdr:colOff>600075</xdr:colOff>
                <xdr:row>29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69" r:id="rId31" name="Option Button 117">
          <controlPr defaultSize="0" autoFill="0" autoLine="0" autoPict="0">
            <anchor moveWithCells="1">
              <from>
                <xdr:col>29</xdr:col>
                <xdr:colOff>57150</xdr:colOff>
                <xdr:row>29</xdr:row>
                <xdr:rowOff>219075</xdr:rowOff>
              </from>
              <to>
                <xdr:col>30</xdr:col>
                <xdr:colOff>600075</xdr:colOff>
                <xdr:row>31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70" r:id="rId32" name="Option Button 118">
          <controlPr defaultSize="0" autoFill="0" autoLine="0" autoPict="0" macro="[0]!OptionButton195_Click">
            <anchor moveWithCells="1">
              <from>
                <xdr:col>29</xdr:col>
                <xdr:colOff>57150</xdr:colOff>
                <xdr:row>31</xdr:row>
                <xdr:rowOff>152400</xdr:rowOff>
              </from>
              <to>
                <xdr:col>30</xdr:col>
                <xdr:colOff>600075</xdr:colOff>
                <xdr:row>33</xdr:row>
                <xdr:rowOff>104775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C4963-D125-45E2-9E19-119EBD447661}">
  <sheetPr codeName="Sheet26"/>
  <dimension ref="A2:V57"/>
  <sheetViews>
    <sheetView showGridLines="0" showRowColHeaders="0" zoomScaleNormal="100" workbookViewId="0">
      <selection activeCell="M30" sqref="M30:O30"/>
    </sheetView>
  </sheetViews>
  <sheetFormatPr defaultColWidth="9.140625" defaultRowHeight="15" x14ac:dyDescent="0.25"/>
  <cols>
    <col min="1" max="2" width="2.140625" customWidth="1"/>
    <col min="9" max="9" width="16" customWidth="1"/>
    <col min="12" max="12" width="2.140625" customWidth="1"/>
    <col min="15" max="15" width="26.5703125" customWidth="1"/>
    <col min="16" max="16" width="1.42578125" customWidth="1"/>
    <col min="17" max="17" width="9.140625" customWidth="1"/>
    <col min="19" max="19" width="12.140625" customWidth="1"/>
    <col min="21" max="21" width="11.5703125" customWidth="1"/>
    <col min="25" max="25" width="9.140625" customWidth="1"/>
  </cols>
  <sheetData>
    <row r="2" spans="1:22" ht="23.25" x14ac:dyDescent="0.35">
      <c r="I2" s="204" t="s">
        <v>1063</v>
      </c>
    </row>
    <row r="3" spans="1:22" ht="11.25" customHeight="1" thickBot="1" x14ac:dyDescent="0.3"/>
    <row r="4" spans="1:22" ht="24" thickBot="1" x14ac:dyDescent="0.4">
      <c r="B4" s="992" t="s">
        <v>761</v>
      </c>
      <c r="C4" s="993"/>
      <c r="D4" s="993"/>
      <c r="E4" s="993"/>
      <c r="F4" s="993"/>
      <c r="G4" s="993"/>
      <c r="H4" s="993"/>
      <c r="I4" s="993"/>
      <c r="J4" s="993"/>
      <c r="K4" s="993"/>
      <c r="L4" s="993"/>
      <c r="M4" s="993"/>
      <c r="N4" s="993"/>
      <c r="O4" s="993"/>
      <c r="P4" s="963" t="s">
        <v>953</v>
      </c>
      <c r="Q4" s="963"/>
      <c r="R4" s="963"/>
      <c r="S4" s="963"/>
      <c r="T4" s="963"/>
      <c r="U4" s="963"/>
      <c r="V4" s="964"/>
    </row>
    <row r="5" spans="1:22" ht="3.75" customHeight="1" x14ac:dyDescent="0.25">
      <c r="B5" s="11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6"/>
      <c r="R5" s="740"/>
      <c r="S5" s="396"/>
      <c r="T5" s="396"/>
      <c r="U5" s="396"/>
      <c r="V5" s="4"/>
    </row>
    <row r="6" spans="1:22" ht="18.75" customHeight="1" x14ac:dyDescent="0.25">
      <c r="A6" s="134"/>
      <c r="B6" s="11"/>
      <c r="C6" s="234" t="s">
        <v>884</v>
      </c>
      <c r="D6" s="235"/>
      <c r="E6" s="235"/>
      <c r="F6" s="235"/>
      <c r="G6" s="235"/>
      <c r="H6" s="235"/>
      <c r="I6" s="235"/>
      <c r="J6" s="328" t="s">
        <v>177</v>
      </c>
      <c r="K6" s="328" t="s">
        <v>178</v>
      </c>
      <c r="L6" s="229"/>
      <c r="M6" s="274" t="s">
        <v>746</v>
      </c>
      <c r="N6" s="329"/>
      <c r="O6" s="330"/>
      <c r="P6" s="396"/>
      <c r="Q6" s="396"/>
      <c r="R6" s="740"/>
      <c r="S6" s="396"/>
      <c r="T6" s="396"/>
      <c r="U6" s="396"/>
      <c r="V6" s="4"/>
    </row>
    <row r="7" spans="1:22" ht="3.75" customHeight="1" x14ac:dyDescent="0.25">
      <c r="A7" s="134"/>
      <c r="B7" s="11"/>
      <c r="C7" s="742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4"/>
    </row>
    <row r="8" spans="1:22" ht="18.75" customHeight="1" x14ac:dyDescent="0.25">
      <c r="A8" s="134"/>
      <c r="B8" s="11"/>
      <c r="C8" s="740" t="s">
        <v>896</v>
      </c>
      <c r="D8" s="396"/>
      <c r="E8" s="396"/>
      <c r="F8" s="396"/>
      <c r="G8" s="396"/>
      <c r="H8" s="396"/>
      <c r="I8" s="396"/>
      <c r="J8" s="396"/>
      <c r="K8" s="396"/>
      <c r="L8" s="396"/>
      <c r="M8" s="1269"/>
      <c r="N8" s="1270"/>
      <c r="O8" s="1271"/>
      <c r="P8" s="396"/>
      <c r="Q8" s="396"/>
      <c r="R8" s="396"/>
      <c r="S8" s="396"/>
      <c r="T8" s="396"/>
      <c r="U8" s="396"/>
      <c r="V8" s="4"/>
    </row>
    <row r="9" spans="1:22" ht="3.75" customHeight="1" x14ac:dyDescent="0.25">
      <c r="B9" s="11"/>
      <c r="C9" s="742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6"/>
      <c r="R9" s="396"/>
      <c r="S9" s="396"/>
      <c r="T9" s="396"/>
      <c r="U9" s="396"/>
      <c r="V9" s="4"/>
    </row>
    <row r="10" spans="1:22" ht="18.75" customHeight="1" x14ac:dyDescent="0.25">
      <c r="B10" s="11"/>
      <c r="C10" s="740" t="s">
        <v>886</v>
      </c>
      <c r="D10" s="396"/>
      <c r="E10" s="396"/>
      <c r="F10" s="396"/>
      <c r="G10" s="396"/>
      <c r="H10" s="396"/>
      <c r="I10" s="396"/>
      <c r="J10" s="396"/>
      <c r="K10" s="396"/>
      <c r="L10" s="396"/>
      <c r="M10" s="1269"/>
      <c r="N10" s="1270"/>
      <c r="O10" s="1271"/>
      <c r="P10" s="396"/>
      <c r="Q10" s="396"/>
      <c r="R10" s="396"/>
      <c r="S10" s="396"/>
      <c r="T10" s="396"/>
      <c r="U10" s="396"/>
      <c r="V10" s="4"/>
    </row>
    <row r="11" spans="1:22" s="611" customFormat="1" ht="3.75" customHeight="1" x14ac:dyDescent="0.25">
      <c r="B11" s="11"/>
      <c r="C11" s="740"/>
      <c r="D11" s="396"/>
      <c r="E11" s="396"/>
      <c r="F11" s="396"/>
      <c r="G11" s="396"/>
      <c r="H11" s="396"/>
      <c r="I11" s="396"/>
      <c r="J11" s="396"/>
      <c r="K11" s="396"/>
      <c r="L11" s="396"/>
      <c r="M11" s="780"/>
      <c r="N11" s="780"/>
      <c r="O11" s="780"/>
      <c r="P11" s="396"/>
      <c r="Q11" s="396"/>
      <c r="R11" s="396"/>
      <c r="S11" s="396"/>
      <c r="T11" s="396"/>
      <c r="U11" s="396"/>
      <c r="V11" s="4"/>
    </row>
    <row r="12" spans="1:22" s="611" customFormat="1" ht="18.75" customHeight="1" x14ac:dyDescent="0.25">
      <c r="B12" s="11"/>
      <c r="C12" s="1268" t="s">
        <v>894</v>
      </c>
      <c r="D12" s="1268"/>
      <c r="E12" s="1268"/>
      <c r="F12" s="1268"/>
      <c r="G12" s="1268"/>
      <c r="H12" s="1268"/>
      <c r="I12" s="1268"/>
      <c r="J12" s="396"/>
      <c r="K12" s="396"/>
      <c r="L12" s="396"/>
      <c r="M12" s="1083"/>
      <c r="N12" s="1084"/>
      <c r="O12" s="1085"/>
      <c r="P12" s="396"/>
      <c r="Q12" s="396"/>
      <c r="R12" s="396"/>
      <c r="S12" s="396"/>
      <c r="T12" s="396"/>
      <c r="U12" s="396"/>
      <c r="V12" s="4"/>
    </row>
    <row r="13" spans="1:22" ht="3.75" customHeight="1" x14ac:dyDescent="0.25">
      <c r="B13" s="11"/>
      <c r="C13" s="396"/>
      <c r="D13" s="396"/>
      <c r="E13" s="396"/>
      <c r="F13" s="396"/>
      <c r="G13" s="396"/>
      <c r="H13" s="396"/>
      <c r="I13" s="396"/>
      <c r="J13" s="396"/>
      <c r="K13" s="396"/>
      <c r="L13" s="396"/>
      <c r="M13" s="396"/>
      <c r="N13" s="396"/>
      <c r="O13" s="396"/>
      <c r="P13" s="396"/>
      <c r="Q13" s="396"/>
      <c r="R13" s="396"/>
      <c r="S13" s="396"/>
      <c r="T13" s="396"/>
      <c r="U13" s="396"/>
      <c r="V13" s="4"/>
    </row>
    <row r="14" spans="1:22" ht="18.75" customHeight="1" x14ac:dyDescent="0.25">
      <c r="A14" s="67"/>
      <c r="B14" s="11"/>
      <c r="C14" s="740" t="s">
        <v>888</v>
      </c>
      <c r="D14" s="396"/>
      <c r="E14" s="396"/>
      <c r="F14" s="396"/>
      <c r="G14" s="396"/>
      <c r="H14" s="396"/>
      <c r="I14" s="396"/>
      <c r="J14" s="396"/>
      <c r="K14" s="396"/>
      <c r="L14" s="396"/>
      <c r="M14" s="1269"/>
      <c r="N14" s="1270"/>
      <c r="O14" s="1271"/>
      <c r="P14" s="396"/>
      <c r="Q14" s="396"/>
      <c r="R14" s="396"/>
      <c r="S14" s="396"/>
      <c r="T14" s="396"/>
      <c r="U14" s="396"/>
      <c r="V14" s="4"/>
    </row>
    <row r="15" spans="1:22" ht="3.75" customHeight="1" x14ac:dyDescent="0.25">
      <c r="A15" s="67"/>
      <c r="B15" s="11"/>
      <c r="C15" s="454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/>
      <c r="P15" s="396"/>
      <c r="Q15" s="396"/>
      <c r="R15" s="396"/>
      <c r="S15" s="396"/>
      <c r="T15" s="396"/>
      <c r="U15" s="396"/>
      <c r="V15" s="4"/>
    </row>
    <row r="16" spans="1:22" ht="18.75" customHeight="1" x14ac:dyDescent="0.25">
      <c r="B16" s="11"/>
      <c r="C16" s="740" t="s">
        <v>889</v>
      </c>
      <c r="D16" s="396"/>
      <c r="E16" s="396"/>
      <c r="F16" s="396"/>
      <c r="G16" s="396"/>
      <c r="H16" s="396"/>
      <c r="I16" s="396"/>
      <c r="J16" s="396"/>
      <c r="K16" s="396"/>
      <c r="L16" s="396"/>
      <c r="M16" s="1269"/>
      <c r="N16" s="1270"/>
      <c r="O16" s="1271"/>
      <c r="P16" s="396"/>
      <c r="Q16" s="396"/>
      <c r="R16" s="396"/>
      <c r="S16" s="396"/>
      <c r="T16" s="396"/>
      <c r="U16" s="396"/>
      <c r="V16" s="4"/>
    </row>
    <row r="17" spans="2:22" ht="3.75" customHeight="1" x14ac:dyDescent="0.25">
      <c r="B17" s="11"/>
      <c r="C17" s="396"/>
      <c r="D17" s="396"/>
      <c r="E17" s="396"/>
      <c r="F17" s="396"/>
      <c r="G17" s="396"/>
      <c r="H17" s="396"/>
      <c r="I17" s="396"/>
      <c r="J17" s="396"/>
      <c r="K17" s="396"/>
      <c r="L17" s="396"/>
      <c r="M17" s="396"/>
      <c r="N17" s="396"/>
      <c r="O17" s="396"/>
      <c r="P17" s="396"/>
      <c r="Q17" s="396"/>
      <c r="R17" s="396"/>
      <c r="S17" s="396"/>
      <c r="T17" s="396"/>
      <c r="U17" s="396"/>
      <c r="V17" s="4"/>
    </row>
    <row r="18" spans="2:22" ht="18.75" customHeight="1" x14ac:dyDescent="0.25">
      <c r="B18" s="11"/>
      <c r="C18" s="740" t="s">
        <v>897</v>
      </c>
      <c r="D18" s="396"/>
      <c r="E18" s="396"/>
      <c r="F18" s="396"/>
      <c r="G18" s="396"/>
      <c r="H18" s="396"/>
      <c r="I18" s="396"/>
      <c r="J18" s="396"/>
      <c r="K18" s="396"/>
      <c r="L18" s="396"/>
      <c r="M18" s="1269"/>
      <c r="N18" s="1270"/>
      <c r="O18" s="1271"/>
      <c r="P18" s="396"/>
      <c r="Q18" s="396"/>
      <c r="R18" s="396"/>
      <c r="S18" s="396"/>
      <c r="T18" s="396"/>
      <c r="U18" s="396"/>
      <c r="V18" s="4"/>
    </row>
    <row r="19" spans="2:22" ht="4.5" customHeight="1" x14ac:dyDescent="0.25">
      <c r="B19" s="11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6"/>
      <c r="R19" s="396"/>
      <c r="S19" s="396"/>
      <c r="T19" s="396"/>
      <c r="U19" s="396"/>
      <c r="V19" s="4"/>
    </row>
    <row r="20" spans="2:22" ht="18.75" customHeight="1" x14ac:dyDescent="0.25">
      <c r="B20" s="11"/>
      <c r="C20" s="740" t="s">
        <v>771</v>
      </c>
      <c r="D20" s="396"/>
      <c r="E20" s="396"/>
      <c r="F20" s="396"/>
      <c r="G20" s="396"/>
      <c r="H20" s="396"/>
      <c r="I20" s="396"/>
      <c r="J20" s="396"/>
      <c r="K20" s="396"/>
      <c r="L20" s="396"/>
      <c r="M20" s="1269"/>
      <c r="N20" s="1270"/>
      <c r="O20" s="1271"/>
      <c r="P20" s="396"/>
      <c r="Q20" s="396"/>
      <c r="R20" s="396"/>
      <c r="S20" s="396"/>
      <c r="T20" s="396"/>
      <c r="U20" s="396"/>
      <c r="V20" s="4"/>
    </row>
    <row r="21" spans="2:22" ht="3.75" customHeight="1" x14ac:dyDescent="0.25">
      <c r="B21" s="11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6"/>
      <c r="R21" s="396"/>
      <c r="S21" s="396"/>
      <c r="T21" s="396"/>
      <c r="U21" s="396"/>
      <c r="V21" s="4"/>
    </row>
    <row r="22" spans="2:22" ht="18.75" customHeight="1" x14ac:dyDescent="0.25">
      <c r="B22" s="11"/>
      <c r="C22" s="740" t="s">
        <v>898</v>
      </c>
      <c r="D22" s="396"/>
      <c r="E22" s="396"/>
      <c r="F22" s="396"/>
      <c r="G22" s="396"/>
      <c r="H22" s="396"/>
      <c r="I22" s="396"/>
      <c r="J22" s="396"/>
      <c r="K22" s="396"/>
      <c r="L22" s="396"/>
      <c r="M22" s="1269"/>
      <c r="N22" s="1270"/>
      <c r="O22" s="1271"/>
      <c r="P22" s="396"/>
      <c r="Q22" s="396"/>
      <c r="R22" s="396"/>
      <c r="S22" s="396"/>
      <c r="T22" s="396"/>
      <c r="U22" s="396"/>
      <c r="V22" s="4"/>
    </row>
    <row r="23" spans="2:22" s="611" customFormat="1" ht="3.75" customHeight="1" x14ac:dyDescent="0.25">
      <c r="B23" s="11"/>
      <c r="C23" s="740"/>
      <c r="D23" s="396"/>
      <c r="E23" s="396"/>
      <c r="F23" s="396"/>
      <c r="G23" s="396"/>
      <c r="H23" s="396"/>
      <c r="I23" s="396"/>
      <c r="J23" s="396"/>
      <c r="K23" s="396"/>
      <c r="L23" s="396"/>
      <c r="M23" s="780"/>
      <c r="N23" s="780"/>
      <c r="O23" s="780"/>
      <c r="P23" s="396"/>
      <c r="Q23" s="396"/>
      <c r="R23" s="396"/>
      <c r="S23" s="396"/>
      <c r="T23" s="396"/>
      <c r="U23" s="396"/>
      <c r="V23" s="4"/>
    </row>
    <row r="24" spans="2:22" s="611" customFormat="1" ht="18.75" customHeight="1" x14ac:dyDescent="0.25">
      <c r="B24" s="11"/>
      <c r="C24" s="234" t="s">
        <v>885</v>
      </c>
      <c r="D24" s="235"/>
      <c r="E24" s="235"/>
      <c r="F24" s="235"/>
      <c r="G24" s="235"/>
      <c r="H24" s="235"/>
      <c r="I24" s="235"/>
      <c r="J24" s="328" t="s">
        <v>177</v>
      </c>
      <c r="K24" s="236" t="s">
        <v>178</v>
      </c>
      <c r="L24" s="396"/>
      <c r="M24" s="273" t="s">
        <v>746</v>
      </c>
      <c r="N24" s="329"/>
      <c r="O24" s="330"/>
      <c r="P24" s="396"/>
      <c r="Q24" s="396"/>
      <c r="R24" s="396"/>
      <c r="S24" s="396"/>
      <c r="T24" s="396"/>
      <c r="U24" s="396"/>
      <c r="V24" s="4"/>
    </row>
    <row r="25" spans="2:22" ht="3.75" customHeight="1" x14ac:dyDescent="0.25">
      <c r="B25" s="11"/>
      <c r="C25" s="396"/>
      <c r="D25" s="396"/>
      <c r="E25" s="396"/>
      <c r="F25" s="396"/>
      <c r="G25" s="396"/>
      <c r="H25" s="396"/>
      <c r="I25" s="396"/>
      <c r="J25" s="396"/>
      <c r="K25" s="396"/>
      <c r="L25" s="396"/>
      <c r="M25" s="396"/>
      <c r="N25" s="396"/>
      <c r="O25" s="396"/>
      <c r="P25" s="396"/>
      <c r="Q25" s="396"/>
      <c r="R25" s="396"/>
      <c r="S25" s="396"/>
      <c r="T25" s="396"/>
      <c r="U25" s="396"/>
      <c r="V25" s="4"/>
    </row>
    <row r="26" spans="2:22" ht="18.75" customHeight="1" x14ac:dyDescent="0.25">
      <c r="B26" s="11"/>
      <c r="C26" s="740" t="s">
        <v>899</v>
      </c>
      <c r="D26" s="396"/>
      <c r="E26" s="396"/>
      <c r="F26" s="396"/>
      <c r="G26" s="396"/>
      <c r="H26" s="396"/>
      <c r="I26" s="396"/>
      <c r="J26" s="396"/>
      <c r="K26" s="396"/>
      <c r="L26" s="47"/>
      <c r="M26" s="1083"/>
      <c r="N26" s="1084"/>
      <c r="O26" s="1085"/>
      <c r="P26" s="396"/>
      <c r="Q26" s="396"/>
      <c r="R26" s="396"/>
      <c r="S26" s="396"/>
      <c r="T26" s="396"/>
      <c r="U26" s="396"/>
      <c r="V26" s="4"/>
    </row>
    <row r="27" spans="2:22" ht="3.75" customHeight="1" x14ac:dyDescent="0.25">
      <c r="B27" s="11"/>
      <c r="C27" s="396"/>
      <c r="D27" s="396"/>
      <c r="E27" s="396"/>
      <c r="F27" s="396"/>
      <c r="G27" s="396"/>
      <c r="H27" s="396"/>
      <c r="I27" s="396"/>
      <c r="J27" s="396"/>
      <c r="K27" s="396"/>
      <c r="L27" s="396"/>
      <c r="M27" s="396"/>
      <c r="N27" s="396"/>
      <c r="O27" s="396"/>
      <c r="P27" s="396"/>
      <c r="Q27" s="396"/>
      <c r="R27" s="396"/>
      <c r="S27" s="396"/>
      <c r="T27" s="396"/>
      <c r="U27" s="396"/>
      <c r="V27" s="4"/>
    </row>
    <row r="28" spans="2:22" ht="18.75" customHeight="1" x14ac:dyDescent="0.25">
      <c r="B28" s="11"/>
      <c r="C28" s="740" t="s">
        <v>1545</v>
      </c>
      <c r="D28" s="396"/>
      <c r="E28" s="396"/>
      <c r="F28" s="396"/>
      <c r="G28" s="396"/>
      <c r="H28" s="396"/>
      <c r="I28" s="396"/>
      <c r="J28" s="396"/>
      <c r="K28" s="396"/>
      <c r="L28" s="396"/>
      <c r="M28" s="1083"/>
      <c r="N28" s="1084"/>
      <c r="O28" s="1085"/>
      <c r="P28" s="396"/>
      <c r="Q28" s="396"/>
      <c r="R28" s="396"/>
      <c r="S28" s="396"/>
      <c r="T28" s="396"/>
      <c r="U28" s="396"/>
      <c r="V28" s="4"/>
    </row>
    <row r="29" spans="2:22" ht="3.75" customHeight="1" x14ac:dyDescent="0.25">
      <c r="B29" s="11"/>
      <c r="C29" s="396"/>
      <c r="D29" s="396"/>
      <c r="E29" s="396"/>
      <c r="F29" s="396"/>
      <c r="G29" s="396"/>
      <c r="H29" s="396"/>
      <c r="I29" s="396"/>
      <c r="J29" s="396"/>
      <c r="K29" s="396"/>
      <c r="L29" s="396"/>
      <c r="M29" s="396"/>
      <c r="N29" s="396"/>
      <c r="O29" s="396"/>
      <c r="P29" s="396"/>
      <c r="Q29" s="396"/>
      <c r="R29" s="396"/>
      <c r="S29" s="396"/>
      <c r="T29" s="396"/>
      <c r="U29" s="396"/>
      <c r="V29" s="4"/>
    </row>
    <row r="30" spans="2:22" ht="18.75" customHeight="1" x14ac:dyDescent="0.25">
      <c r="B30" s="11"/>
      <c r="C30" s="740" t="s">
        <v>1045</v>
      </c>
      <c r="D30" s="396"/>
      <c r="E30" s="396"/>
      <c r="F30" s="396"/>
      <c r="G30" s="396"/>
      <c r="H30" s="396"/>
      <c r="I30" s="396"/>
      <c r="J30" s="396"/>
      <c r="K30" s="396"/>
      <c r="L30" s="396"/>
      <c r="M30" s="1083"/>
      <c r="N30" s="1084"/>
      <c r="O30" s="1085"/>
      <c r="P30" s="396"/>
      <c r="Q30" s="396"/>
      <c r="R30" s="396"/>
      <c r="S30" s="396"/>
      <c r="T30" s="396"/>
      <c r="U30" s="396"/>
      <c r="V30" s="4"/>
    </row>
    <row r="31" spans="2:22" ht="3.75" customHeight="1" x14ac:dyDescent="0.25">
      <c r="B31" s="11"/>
      <c r="C31" s="396"/>
      <c r="D31" s="396"/>
      <c r="E31" s="396"/>
      <c r="F31" s="396"/>
      <c r="G31" s="396"/>
      <c r="H31" s="396"/>
      <c r="I31" s="396"/>
      <c r="J31" s="396"/>
      <c r="K31" s="396"/>
      <c r="L31" s="396"/>
      <c r="M31" s="396"/>
      <c r="N31" s="396"/>
      <c r="O31" s="396"/>
      <c r="P31" s="396"/>
      <c r="Q31" s="396"/>
      <c r="R31" s="396"/>
      <c r="S31" s="396"/>
      <c r="T31" s="396"/>
      <c r="U31" s="396"/>
      <c r="V31" s="4"/>
    </row>
    <row r="32" spans="2:22" ht="18.75" customHeight="1" x14ac:dyDescent="0.25">
      <c r="B32" s="11"/>
      <c r="C32" s="740" t="s">
        <v>890</v>
      </c>
      <c r="D32" s="396"/>
      <c r="E32" s="396"/>
      <c r="F32" s="396"/>
      <c r="G32" s="396"/>
      <c r="H32" s="396"/>
      <c r="I32" s="396"/>
      <c r="J32" s="396"/>
      <c r="K32" s="396"/>
      <c r="L32" s="396"/>
      <c r="M32" s="1083"/>
      <c r="N32" s="1084"/>
      <c r="O32" s="1085"/>
      <c r="P32" s="396"/>
      <c r="Q32" s="396"/>
      <c r="R32" s="396"/>
      <c r="S32" s="396"/>
      <c r="T32" s="396"/>
      <c r="U32" s="396"/>
      <c r="V32" s="4"/>
    </row>
    <row r="33" spans="2:22" ht="3.75" customHeight="1" x14ac:dyDescent="0.25">
      <c r="B33" s="11"/>
      <c r="C33" s="396"/>
      <c r="D33" s="396"/>
      <c r="E33" s="396"/>
      <c r="F33" s="396"/>
      <c r="G33" s="396"/>
      <c r="H33" s="396"/>
      <c r="I33" s="396"/>
      <c r="J33" s="396"/>
      <c r="K33" s="396"/>
      <c r="L33" s="396"/>
      <c r="M33" s="396"/>
      <c r="N33" s="396"/>
      <c r="O33" s="396"/>
      <c r="P33" s="396"/>
      <c r="Q33" s="396"/>
      <c r="R33" s="396"/>
      <c r="S33" s="396"/>
      <c r="T33" s="396"/>
      <c r="U33" s="396"/>
      <c r="V33" s="4"/>
    </row>
    <row r="34" spans="2:22" ht="18.75" customHeight="1" x14ac:dyDescent="0.25">
      <c r="B34" s="11"/>
      <c r="C34" s="740" t="s">
        <v>900</v>
      </c>
      <c r="D34" s="396"/>
      <c r="E34" s="396"/>
      <c r="F34" s="396"/>
      <c r="G34" s="396"/>
      <c r="H34" s="396"/>
      <c r="I34" s="396"/>
      <c r="J34" s="396"/>
      <c r="K34" s="396"/>
      <c r="L34" s="396"/>
      <c r="M34" s="1083"/>
      <c r="N34" s="1084"/>
      <c r="O34" s="1085"/>
      <c r="P34" s="396"/>
      <c r="Q34" s="396"/>
      <c r="R34" s="396"/>
      <c r="S34" s="396"/>
      <c r="T34" s="396"/>
      <c r="U34" s="396"/>
      <c r="V34" s="4"/>
    </row>
    <row r="35" spans="2:22" ht="3.75" customHeight="1" x14ac:dyDescent="0.25">
      <c r="B35" s="11"/>
      <c r="C35" s="396"/>
      <c r="D35" s="396"/>
      <c r="E35" s="396"/>
      <c r="F35" s="396"/>
      <c r="G35" s="396"/>
      <c r="H35" s="396"/>
      <c r="I35" s="396"/>
      <c r="J35" s="396"/>
      <c r="K35" s="396"/>
      <c r="L35" s="396"/>
      <c r="M35" s="396"/>
      <c r="N35" s="396"/>
      <c r="O35" s="396"/>
      <c r="P35" s="396"/>
      <c r="Q35" s="396"/>
      <c r="R35" s="396"/>
      <c r="S35" s="396"/>
      <c r="T35" s="396"/>
      <c r="U35" s="396"/>
      <c r="V35" s="4"/>
    </row>
    <row r="36" spans="2:22" ht="18.75" customHeight="1" x14ac:dyDescent="0.25">
      <c r="B36" s="11"/>
      <c r="C36" s="740" t="s">
        <v>1047</v>
      </c>
      <c r="D36" s="396"/>
      <c r="E36" s="396"/>
      <c r="F36" s="396"/>
      <c r="G36" s="396"/>
      <c r="H36" s="396"/>
      <c r="I36" s="396"/>
      <c r="J36" s="396"/>
      <c r="K36" s="396"/>
      <c r="L36" s="396"/>
      <c r="M36" s="1083"/>
      <c r="N36" s="1084"/>
      <c r="O36" s="1085"/>
      <c r="P36" s="396"/>
      <c r="Q36" s="396"/>
      <c r="R36" s="396"/>
      <c r="S36" s="396"/>
      <c r="T36" s="396"/>
      <c r="U36" s="396"/>
      <c r="V36" s="4"/>
    </row>
    <row r="37" spans="2:22" ht="3.75" customHeight="1" x14ac:dyDescent="0.25">
      <c r="B37" s="11"/>
      <c r="C37" s="396"/>
      <c r="D37" s="396"/>
      <c r="E37" s="396"/>
      <c r="F37" s="396"/>
      <c r="G37" s="396"/>
      <c r="H37" s="396"/>
      <c r="I37" s="396"/>
      <c r="J37" s="396"/>
      <c r="K37" s="396"/>
      <c r="L37" s="396"/>
      <c r="M37" s="396"/>
      <c r="N37" s="396"/>
      <c r="O37" s="396"/>
      <c r="P37" s="396"/>
      <c r="Q37" s="396"/>
      <c r="R37" s="396"/>
      <c r="S37" s="396"/>
      <c r="T37" s="396"/>
      <c r="U37" s="396"/>
      <c r="V37" s="4"/>
    </row>
    <row r="38" spans="2:22" ht="18.75" customHeight="1" x14ac:dyDescent="0.25">
      <c r="B38" s="11"/>
      <c r="C38" s="740" t="s">
        <v>902</v>
      </c>
      <c r="D38" s="396"/>
      <c r="E38" s="396"/>
      <c r="F38" s="396"/>
      <c r="G38" s="396"/>
      <c r="H38" s="396"/>
      <c r="I38" s="396"/>
      <c r="J38" s="396"/>
      <c r="K38" s="396"/>
      <c r="L38" s="396"/>
      <c r="M38" s="1083"/>
      <c r="N38" s="1084"/>
      <c r="O38" s="1085"/>
      <c r="P38" s="396"/>
      <c r="Q38" s="396"/>
      <c r="R38" s="396"/>
      <c r="S38" s="396"/>
      <c r="T38" s="396"/>
      <c r="U38" s="396"/>
      <c r="V38" s="4"/>
    </row>
    <row r="39" spans="2:22" ht="3.75" customHeight="1" x14ac:dyDescent="0.25">
      <c r="B39" s="11"/>
      <c r="C39" s="396"/>
      <c r="D39" s="396"/>
      <c r="E39" s="396"/>
      <c r="F39" s="396"/>
      <c r="G39" s="396"/>
      <c r="H39" s="396"/>
      <c r="I39" s="396"/>
      <c r="J39" s="396"/>
      <c r="K39" s="396"/>
      <c r="L39" s="396"/>
      <c r="M39" s="396"/>
      <c r="N39" s="396"/>
      <c r="O39" s="396"/>
      <c r="P39" s="396"/>
      <c r="Q39" s="396"/>
      <c r="R39" s="396"/>
      <c r="S39" s="396"/>
      <c r="T39" s="396"/>
      <c r="U39" s="396"/>
      <c r="V39" s="4"/>
    </row>
    <row r="40" spans="2:22" ht="18.75" customHeight="1" x14ac:dyDescent="0.25">
      <c r="B40" s="11"/>
      <c r="C40" s="740" t="s">
        <v>901</v>
      </c>
      <c r="D40" s="396"/>
      <c r="E40" s="396"/>
      <c r="F40" s="396"/>
      <c r="G40" s="396"/>
      <c r="H40" s="396"/>
      <c r="I40" s="396"/>
      <c r="J40" s="396"/>
      <c r="K40" s="396"/>
      <c r="L40" s="396"/>
      <c r="M40" s="1269"/>
      <c r="N40" s="1270"/>
      <c r="O40" s="1271"/>
      <c r="P40" s="396"/>
      <c r="Q40" s="396"/>
      <c r="R40" s="396"/>
      <c r="S40" s="396"/>
      <c r="T40" s="396"/>
      <c r="U40" s="396"/>
      <c r="V40" s="4"/>
    </row>
    <row r="41" spans="2:22" ht="7.5" customHeight="1" thickBot="1" x14ac:dyDescent="0.3">
      <c r="B41" s="12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6"/>
    </row>
    <row r="42" spans="2:22" ht="18.75" customHeight="1" x14ac:dyDescent="0.25">
      <c r="B42" s="396"/>
      <c r="C42" s="396"/>
      <c r="D42" s="396"/>
      <c r="E42" s="396"/>
      <c r="F42" s="396"/>
      <c r="G42" s="396"/>
      <c r="H42" s="396"/>
      <c r="I42" s="396"/>
      <c r="J42" s="396"/>
      <c r="K42" s="396"/>
      <c r="L42" s="396"/>
      <c r="M42" s="396"/>
      <c r="N42" s="396"/>
      <c r="O42" s="396"/>
      <c r="P42" s="396"/>
      <c r="Q42" s="396"/>
      <c r="R42" s="396"/>
      <c r="S42" s="396"/>
      <c r="T42" s="396"/>
      <c r="U42" s="396"/>
      <c r="V42" s="396"/>
    </row>
    <row r="43" spans="2:22" ht="3.75" customHeight="1" x14ac:dyDescent="0.25">
      <c r="B43" s="396"/>
      <c r="C43" s="396"/>
      <c r="D43" s="396"/>
      <c r="E43" s="396"/>
      <c r="F43" s="396"/>
      <c r="G43" s="396"/>
      <c r="H43" s="396"/>
      <c r="I43" s="396"/>
      <c r="J43" s="396"/>
      <c r="K43" s="396"/>
      <c r="L43" s="396"/>
      <c r="M43" s="396"/>
      <c r="N43" s="396"/>
      <c r="O43" s="396"/>
      <c r="P43" s="396"/>
      <c r="Q43" s="396"/>
      <c r="R43" s="396"/>
      <c r="S43" s="396"/>
      <c r="T43" s="396"/>
      <c r="U43" s="396"/>
      <c r="V43" s="396"/>
    </row>
    <row r="44" spans="2:22" ht="18.75" customHeight="1" x14ac:dyDescent="0.35">
      <c r="B44" s="781"/>
      <c r="C44" s="779"/>
      <c r="D44" s="779"/>
      <c r="E44" s="779"/>
      <c r="F44" s="779"/>
      <c r="G44" s="779"/>
      <c r="H44" s="779"/>
      <c r="I44" s="779"/>
      <c r="J44" s="779"/>
      <c r="K44" s="779"/>
      <c r="L44" s="779"/>
      <c r="M44" s="779"/>
      <c r="N44" s="779"/>
      <c r="O44" s="779"/>
      <c r="P44" s="396"/>
      <c r="Q44" s="396"/>
      <c r="R44" s="396"/>
      <c r="S44" s="396"/>
      <c r="T44" s="396"/>
      <c r="U44" s="396"/>
      <c r="V44" s="396"/>
    </row>
    <row r="45" spans="2:22" ht="3.75" customHeight="1" x14ac:dyDescent="0.35">
      <c r="B45" s="781"/>
      <c r="C45" s="779"/>
      <c r="D45" s="779"/>
      <c r="E45" s="779"/>
      <c r="F45" s="779"/>
      <c r="G45" s="779"/>
      <c r="H45" s="779"/>
      <c r="I45" s="779"/>
      <c r="J45" s="779"/>
      <c r="K45" s="779"/>
      <c r="L45" s="779"/>
      <c r="M45" s="779"/>
      <c r="N45" s="779"/>
      <c r="O45" s="779"/>
      <c r="P45" s="396"/>
      <c r="Q45" s="396"/>
      <c r="R45" s="396"/>
      <c r="S45" s="396"/>
      <c r="T45" s="396"/>
      <c r="U45" s="396"/>
      <c r="V45" s="396"/>
    </row>
    <row r="46" spans="2:22" ht="18.75" customHeight="1" x14ac:dyDescent="0.25">
      <c r="B46" s="396"/>
      <c r="C46" s="779"/>
      <c r="D46" s="779"/>
      <c r="E46" s="779"/>
      <c r="F46" s="779"/>
      <c r="G46" s="779"/>
      <c r="H46" s="779"/>
      <c r="I46" s="779"/>
      <c r="J46" s="779"/>
      <c r="K46" s="779"/>
      <c r="L46" s="779"/>
      <c r="M46" s="779"/>
      <c r="N46" s="779"/>
      <c r="O46" s="779"/>
      <c r="P46" s="396"/>
      <c r="Q46" s="396"/>
      <c r="R46" s="396"/>
      <c r="S46" s="396"/>
      <c r="T46" s="396"/>
      <c r="U46" s="396"/>
      <c r="V46" s="396"/>
    </row>
    <row r="47" spans="2:22" ht="3.75" customHeight="1" x14ac:dyDescent="0.25">
      <c r="B47" s="396"/>
      <c r="C47" s="779"/>
      <c r="D47" s="779"/>
      <c r="E47" s="779"/>
      <c r="F47" s="779"/>
      <c r="G47" s="779"/>
      <c r="H47" s="779"/>
      <c r="I47" s="779"/>
      <c r="J47" s="779"/>
      <c r="K47" s="779"/>
      <c r="L47" s="779"/>
      <c r="M47" s="779"/>
      <c r="N47" s="779"/>
      <c r="O47" s="779"/>
      <c r="P47" s="396"/>
      <c r="Q47" s="396"/>
      <c r="R47" s="396"/>
      <c r="S47" s="396"/>
      <c r="T47" s="396"/>
      <c r="U47" s="396"/>
      <c r="V47" s="396"/>
    </row>
    <row r="48" spans="2:22" ht="18.75" customHeight="1" x14ac:dyDescent="0.25">
      <c r="B48" s="396"/>
      <c r="C48" s="779"/>
      <c r="D48" s="779"/>
      <c r="E48" s="779"/>
      <c r="F48" s="779"/>
      <c r="G48" s="779"/>
      <c r="H48" s="779"/>
      <c r="I48" s="779"/>
      <c r="J48" s="779"/>
      <c r="K48" s="779"/>
      <c r="L48" s="779"/>
      <c r="M48" s="779"/>
      <c r="N48" s="779"/>
      <c r="O48" s="779"/>
      <c r="P48" s="396"/>
      <c r="Q48" s="396"/>
      <c r="R48" s="396"/>
      <c r="S48" s="396"/>
      <c r="T48" s="396"/>
      <c r="U48" s="396"/>
      <c r="V48" s="396"/>
    </row>
    <row r="49" spans="2:22" ht="3.75" customHeight="1" x14ac:dyDescent="0.25">
      <c r="B49" s="396"/>
      <c r="C49" s="779"/>
      <c r="D49" s="779"/>
      <c r="E49" s="779"/>
      <c r="F49" s="779"/>
      <c r="G49" s="779"/>
      <c r="H49" s="779"/>
      <c r="I49" s="779"/>
      <c r="J49" s="779"/>
      <c r="K49" s="779"/>
      <c r="L49" s="779"/>
      <c r="M49" s="779"/>
      <c r="N49" s="779"/>
      <c r="O49" s="779"/>
      <c r="P49" s="396"/>
      <c r="Q49" s="396"/>
      <c r="R49" s="396"/>
      <c r="S49" s="396"/>
      <c r="T49" s="396"/>
      <c r="U49" s="396"/>
      <c r="V49" s="396"/>
    </row>
    <row r="50" spans="2:22" ht="18.75" customHeight="1" x14ac:dyDescent="0.25">
      <c r="B50" s="396"/>
      <c r="C50" s="779"/>
      <c r="D50" s="779"/>
      <c r="E50" s="779"/>
      <c r="F50" s="779"/>
      <c r="G50" s="779"/>
      <c r="H50" s="779"/>
      <c r="I50" s="779"/>
      <c r="J50" s="779"/>
      <c r="K50" s="779"/>
      <c r="L50" s="779"/>
      <c r="M50" s="779"/>
      <c r="N50" s="779"/>
      <c r="O50" s="779"/>
      <c r="P50" s="396"/>
      <c r="Q50" s="396"/>
      <c r="R50" s="396"/>
      <c r="S50" s="396"/>
      <c r="T50" s="396"/>
      <c r="U50" s="396"/>
      <c r="V50" s="396"/>
    </row>
    <row r="51" spans="2:22" ht="3.75" customHeight="1" x14ac:dyDescent="0.25">
      <c r="B51" s="396"/>
      <c r="C51" s="779"/>
      <c r="D51" s="779"/>
      <c r="E51" s="779"/>
      <c r="F51" s="779"/>
      <c r="G51" s="779"/>
      <c r="H51" s="779"/>
      <c r="I51" s="779"/>
      <c r="J51" s="779"/>
      <c r="K51" s="779"/>
      <c r="L51" s="779"/>
      <c r="M51" s="779"/>
      <c r="N51" s="779"/>
      <c r="O51" s="779"/>
      <c r="P51" s="396"/>
      <c r="Q51" s="396"/>
      <c r="R51" s="396"/>
      <c r="S51" s="396"/>
      <c r="T51" s="396"/>
      <c r="U51" s="396"/>
      <c r="V51" s="396"/>
    </row>
    <row r="52" spans="2:22" ht="18.75" customHeight="1" x14ac:dyDescent="0.25">
      <c r="B52" s="396"/>
      <c r="C52" s="779"/>
      <c r="D52" s="779"/>
      <c r="E52" s="779"/>
      <c r="F52" s="779"/>
      <c r="G52" s="779"/>
      <c r="H52" s="779"/>
      <c r="I52" s="779"/>
      <c r="J52" s="779"/>
      <c r="K52" s="779"/>
      <c r="L52" s="779"/>
      <c r="M52" s="779"/>
      <c r="N52" s="779"/>
      <c r="O52" s="779"/>
      <c r="P52" s="396"/>
      <c r="Q52" s="396"/>
      <c r="R52" s="396"/>
      <c r="S52" s="396"/>
      <c r="T52" s="396"/>
      <c r="U52" s="396"/>
      <c r="V52" s="396"/>
    </row>
    <row r="53" spans="2:22" ht="3.75" customHeight="1" x14ac:dyDescent="0.25">
      <c r="B53" s="396"/>
      <c r="C53" s="779"/>
      <c r="D53" s="779"/>
      <c r="E53" s="779"/>
      <c r="F53" s="779"/>
      <c r="G53" s="779"/>
      <c r="H53" s="779"/>
      <c r="I53" s="779"/>
      <c r="J53" s="779"/>
      <c r="K53" s="779"/>
      <c r="L53" s="779"/>
      <c r="M53" s="779"/>
      <c r="N53" s="779"/>
      <c r="O53" s="779"/>
      <c r="P53" s="396"/>
      <c r="Q53" s="396"/>
      <c r="R53" s="396"/>
      <c r="S53" s="396"/>
      <c r="T53" s="396"/>
      <c r="U53" s="396"/>
      <c r="V53" s="396"/>
    </row>
    <row r="54" spans="2:22" ht="18.75" customHeight="1" x14ac:dyDescent="0.25">
      <c r="B54" s="396"/>
      <c r="C54" s="779"/>
      <c r="D54" s="779"/>
      <c r="E54" s="779"/>
      <c r="F54" s="779"/>
      <c r="G54" s="779"/>
      <c r="H54" s="779"/>
      <c r="I54" s="779"/>
      <c r="J54" s="779"/>
      <c r="K54" s="779"/>
      <c r="L54" s="779"/>
      <c r="M54" s="779"/>
      <c r="N54" s="779"/>
      <c r="O54" s="779"/>
      <c r="P54" s="396"/>
      <c r="Q54" s="396"/>
      <c r="R54" s="396"/>
      <c r="S54" s="396"/>
      <c r="T54" s="396"/>
      <c r="U54" s="396"/>
      <c r="V54" s="396"/>
    </row>
    <row r="55" spans="2:22" ht="3.75" customHeight="1" x14ac:dyDescent="0.25">
      <c r="B55" s="396"/>
      <c r="C55" s="779"/>
      <c r="D55" s="779"/>
      <c r="E55" s="779"/>
      <c r="F55" s="779"/>
      <c r="G55" s="779"/>
      <c r="H55" s="779"/>
      <c r="I55" s="779"/>
      <c r="J55" s="779"/>
      <c r="K55" s="779"/>
      <c r="L55" s="779"/>
      <c r="M55" s="779"/>
      <c r="N55" s="779"/>
      <c r="O55" s="779"/>
      <c r="P55" s="396"/>
      <c r="Q55" s="396"/>
      <c r="R55" s="396"/>
      <c r="S55" s="396"/>
      <c r="T55" s="396"/>
      <c r="U55" s="396"/>
      <c r="V55" s="396"/>
    </row>
    <row r="56" spans="2:22" ht="18.75" customHeight="1" x14ac:dyDescent="0.25">
      <c r="B56" s="396"/>
      <c r="C56" s="779"/>
      <c r="D56" s="779"/>
      <c r="E56" s="779"/>
      <c r="F56" s="779"/>
      <c r="G56" s="779"/>
      <c r="H56" s="779"/>
      <c r="I56" s="779"/>
      <c r="J56" s="779"/>
      <c r="K56" s="779"/>
      <c r="L56" s="779"/>
      <c r="M56" s="779"/>
      <c r="N56" s="779"/>
      <c r="O56" s="779"/>
      <c r="P56" s="396"/>
      <c r="Q56" s="396"/>
      <c r="R56" s="396"/>
      <c r="S56" s="396"/>
      <c r="T56" s="396"/>
      <c r="U56" s="396"/>
      <c r="V56" s="396"/>
    </row>
    <row r="57" spans="2:22" ht="7.5" customHeight="1" x14ac:dyDescent="0.25">
      <c r="B57" s="396"/>
      <c r="C57" s="396"/>
      <c r="D57" s="396"/>
      <c r="E57" s="396"/>
      <c r="F57" s="396"/>
      <c r="G57" s="396"/>
      <c r="H57" s="396"/>
      <c r="I57" s="396"/>
      <c r="J57" s="396"/>
      <c r="K57" s="396"/>
      <c r="L57" s="396"/>
      <c r="M57" s="396"/>
      <c r="N57" s="396"/>
      <c r="O57" s="396"/>
      <c r="P57" s="396"/>
      <c r="Q57" s="396"/>
      <c r="R57" s="396"/>
      <c r="S57" s="396"/>
      <c r="T57" s="396"/>
      <c r="U57" s="396"/>
      <c r="V57" s="396"/>
    </row>
  </sheetData>
  <sheetProtection sheet="1" selectLockedCells="1"/>
  <mergeCells count="19">
    <mergeCell ref="B4:O4"/>
    <mergeCell ref="P4:V4"/>
    <mergeCell ref="M34:O34"/>
    <mergeCell ref="M28:O28"/>
    <mergeCell ref="M16:O16"/>
    <mergeCell ref="M18:O18"/>
    <mergeCell ref="C12:I12"/>
    <mergeCell ref="M26:O26"/>
    <mergeCell ref="M12:O12"/>
    <mergeCell ref="M8:O8"/>
    <mergeCell ref="M10:O10"/>
    <mergeCell ref="M14:O14"/>
    <mergeCell ref="M20:O20"/>
    <mergeCell ref="M22:O22"/>
    <mergeCell ref="M38:O38"/>
    <mergeCell ref="M40:O40"/>
    <mergeCell ref="M30:O30"/>
    <mergeCell ref="M32:O32"/>
    <mergeCell ref="M36:O3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0678" r:id="rId3" name="TextBox1">
          <controlPr defaultSize="0" autoLine="0" autoPict="0" linkedCell="Unformatted!F694" r:id="rId4">
            <anchor moveWithCells="1">
              <from>
                <xdr:col>16</xdr:col>
                <xdr:colOff>47625</xdr:colOff>
                <xdr:row>5</xdr:row>
                <xdr:rowOff>0</xdr:rowOff>
              </from>
              <to>
                <xdr:col>21</xdr:col>
                <xdr:colOff>514350</xdr:colOff>
                <xdr:row>40</xdr:row>
                <xdr:rowOff>9525</xdr:rowOff>
              </to>
            </anchor>
          </controlPr>
        </control>
      </mc:Choice>
      <mc:Fallback>
        <control shapeId="110678" r:id="rId3" name="TextBox1"/>
      </mc:Fallback>
    </mc:AlternateContent>
    <mc:AlternateContent xmlns:mc="http://schemas.openxmlformats.org/markup-compatibility/2006">
      <mc:Choice Requires="x14">
        <control shapeId="110603" r:id="rId5" name="Group Box 11">
          <controlPr defaultSize="0" autoFill="0" autoPict="0">
            <anchor moveWithCells="1">
              <from>
                <xdr:col>1</xdr:col>
                <xdr:colOff>161925</xdr:colOff>
                <xdr:row>6</xdr:row>
                <xdr:rowOff>47625</xdr:rowOff>
              </from>
              <to>
                <xdr:col>11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04" r:id="rId6" name="Option Button 12">
          <controlPr defaultSize="0" autoFill="0" autoLine="0" autoPict="0">
            <anchor moveWithCells="1">
              <from>
                <xdr:col>9</xdr:col>
                <xdr:colOff>9525</xdr:colOff>
                <xdr:row>9</xdr:row>
                <xdr:rowOff>19050</xdr:rowOff>
              </from>
              <to>
                <xdr:col>9</xdr:col>
                <xdr:colOff>561975</xdr:colOff>
                <xdr:row>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05" r:id="rId7" name="Option Button 13">
          <controlPr defaultSize="0" autoFill="0" autoLine="0" autoPict="0">
            <anchor moveWithCells="1">
              <from>
                <xdr:col>9</xdr:col>
                <xdr:colOff>9525</xdr:colOff>
                <xdr:row>7</xdr:row>
                <xdr:rowOff>19050</xdr:rowOff>
              </from>
              <to>
                <xdr:col>9</xdr:col>
                <xdr:colOff>561975</xdr:colOff>
                <xdr:row>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06" r:id="rId8" name="Option Button 14">
          <controlPr defaultSize="0" autoFill="0" autoLine="0" autoPict="0">
            <anchor moveWithCells="1">
              <from>
                <xdr:col>10</xdr:col>
                <xdr:colOff>9525</xdr:colOff>
                <xdr:row>9</xdr:row>
                <xdr:rowOff>9525</xdr:rowOff>
              </from>
              <to>
                <xdr:col>10</xdr:col>
                <xdr:colOff>552450</xdr:colOff>
                <xdr:row>9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07" r:id="rId9" name="Option Button 15">
          <controlPr defaultSize="0" autoFill="0" autoLine="0" autoPict="0">
            <anchor moveWithCells="1">
              <from>
                <xdr:col>10</xdr:col>
                <xdr:colOff>9525</xdr:colOff>
                <xdr:row>7</xdr:row>
                <xdr:rowOff>9525</xdr:rowOff>
              </from>
              <to>
                <xdr:col>10</xdr:col>
                <xdr:colOff>552450</xdr:colOff>
                <xdr:row>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19" r:id="rId10" name="Group Box 27">
          <controlPr defaultSize="0" autoFill="0" autoPict="0">
            <anchor moveWithCells="1">
              <from>
                <xdr:col>1</xdr:col>
                <xdr:colOff>161925</xdr:colOff>
                <xdr:row>9</xdr:row>
                <xdr:rowOff>0</xdr:rowOff>
              </from>
              <to>
                <xdr:col>11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20" r:id="rId11" name="Group Box 28">
          <controlPr defaultSize="0" autoFill="0" autoPict="0">
            <anchor moveWithCells="1">
              <from>
                <xdr:col>1</xdr:col>
                <xdr:colOff>161925</xdr:colOff>
                <xdr:row>12</xdr:row>
                <xdr:rowOff>47625</xdr:rowOff>
              </from>
              <to>
                <xdr:col>11</xdr:col>
                <xdr:colOff>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21" r:id="rId12" name="Group Box 29">
          <controlPr defaultSize="0" autoFill="0" autoPict="0">
            <anchor moveWithCells="1">
              <from>
                <xdr:col>1</xdr:col>
                <xdr:colOff>161925</xdr:colOff>
                <xdr:row>14</xdr:row>
                <xdr:rowOff>47625</xdr:rowOff>
              </from>
              <to>
                <xdr:col>11</xdr:col>
                <xdr:colOff>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22" r:id="rId13" name="Group Box 30">
          <controlPr defaultSize="0" autoFill="0" autoPict="0">
            <anchor moveWithCells="1">
              <from>
                <xdr:col>1</xdr:col>
                <xdr:colOff>161925</xdr:colOff>
                <xdr:row>16</xdr:row>
                <xdr:rowOff>47625</xdr:rowOff>
              </from>
              <to>
                <xdr:col>11</xdr:col>
                <xdr:colOff>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23" r:id="rId14" name="Group Box 31">
          <controlPr defaultSize="0" autoFill="0" autoPict="0">
            <anchor moveWithCells="1">
              <from>
                <xdr:col>1</xdr:col>
                <xdr:colOff>161925</xdr:colOff>
                <xdr:row>18</xdr:row>
                <xdr:rowOff>57150</xdr:rowOff>
              </from>
              <to>
                <xdr:col>11</xdr:col>
                <xdr:colOff>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24" r:id="rId15" name="Group Box 32">
          <controlPr defaultSize="0" autoFill="0" autoPict="0">
            <anchor moveWithCells="1">
              <from>
                <xdr:col>1</xdr:col>
                <xdr:colOff>161925</xdr:colOff>
                <xdr:row>20</xdr:row>
                <xdr:rowOff>47625</xdr:rowOff>
              </from>
              <to>
                <xdr:col>11</xdr:col>
                <xdr:colOff>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25" r:id="rId16" name="Group Box 33">
          <controlPr defaultSize="0" autoFill="0" autoPict="0">
            <anchor moveWithCells="1">
              <from>
                <xdr:col>2</xdr:col>
                <xdr:colOff>0</xdr:colOff>
                <xdr:row>24</xdr:row>
                <xdr:rowOff>47625</xdr:rowOff>
              </from>
              <to>
                <xdr:col>11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26" r:id="rId17" name="Group Box 34">
          <controlPr defaultSize="0" autoFill="0" autoPict="0">
            <anchor moveWithCells="1">
              <from>
                <xdr:col>2</xdr:col>
                <xdr:colOff>0</xdr:colOff>
                <xdr:row>26</xdr:row>
                <xdr:rowOff>47625</xdr:rowOff>
              </from>
              <to>
                <xdr:col>11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27" r:id="rId18" name="Group Box 35">
          <controlPr defaultSize="0" autoFill="0" autoPict="0">
            <anchor moveWithCells="1">
              <from>
                <xdr:col>2</xdr:col>
                <xdr:colOff>0</xdr:colOff>
                <xdr:row>28</xdr:row>
                <xdr:rowOff>47625</xdr:rowOff>
              </from>
              <to>
                <xdr:col>11</xdr:col>
                <xdr:colOff>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28" r:id="rId19" name="Group Box 36">
          <controlPr defaultSize="0" autoFill="0" autoPict="0">
            <anchor moveWithCells="1">
              <from>
                <xdr:col>2</xdr:col>
                <xdr:colOff>0</xdr:colOff>
                <xdr:row>30</xdr:row>
                <xdr:rowOff>47625</xdr:rowOff>
              </from>
              <to>
                <xdr:col>11</xdr:col>
                <xdr:colOff>0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29" r:id="rId20" name="Group Box 37">
          <controlPr defaultSize="0" autoFill="0" autoPict="0">
            <anchor moveWithCells="1">
              <from>
                <xdr:col>2</xdr:col>
                <xdr:colOff>0</xdr:colOff>
                <xdr:row>32</xdr:row>
                <xdr:rowOff>47625</xdr:rowOff>
              </from>
              <to>
                <xdr:col>11</xdr:col>
                <xdr:colOff>0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30" r:id="rId21" name="Group Box 38">
          <controlPr defaultSize="0" autoFill="0" autoPict="0">
            <anchor moveWithCells="1">
              <from>
                <xdr:col>2</xdr:col>
                <xdr:colOff>0</xdr:colOff>
                <xdr:row>34</xdr:row>
                <xdr:rowOff>47625</xdr:rowOff>
              </from>
              <to>
                <xdr:col>11</xdr:col>
                <xdr:colOff>0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31" r:id="rId22" name="Group Box 39">
          <controlPr defaultSize="0" autoFill="0" autoPict="0">
            <anchor moveWithCells="1">
              <from>
                <xdr:col>2</xdr:col>
                <xdr:colOff>0</xdr:colOff>
                <xdr:row>36</xdr:row>
                <xdr:rowOff>47625</xdr:rowOff>
              </from>
              <to>
                <xdr:col>11</xdr:col>
                <xdr:colOff>0</xdr:colOff>
                <xdr:row>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32" r:id="rId23" name="Group Box 40">
          <controlPr defaultSize="0" autoFill="0" autoPict="0">
            <anchor moveWithCells="1">
              <from>
                <xdr:col>2</xdr:col>
                <xdr:colOff>0</xdr:colOff>
                <xdr:row>38</xdr:row>
                <xdr:rowOff>47625</xdr:rowOff>
              </from>
              <to>
                <xdr:col>11</xdr:col>
                <xdr:colOff>0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33" r:id="rId24" name="Option Button 41">
          <controlPr defaultSize="0" autoFill="0" autoLine="0" autoPict="0">
            <anchor moveWithCells="1">
              <from>
                <xdr:col>9</xdr:col>
                <xdr:colOff>9525</xdr:colOff>
                <xdr:row>13</xdr:row>
                <xdr:rowOff>19050</xdr:rowOff>
              </from>
              <to>
                <xdr:col>9</xdr:col>
                <xdr:colOff>561975</xdr:colOff>
                <xdr:row>13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34" r:id="rId25" name="Option Button 42">
          <controlPr defaultSize="0" autoFill="0" autoLine="0" autoPict="0">
            <anchor moveWithCells="1">
              <from>
                <xdr:col>10</xdr:col>
                <xdr:colOff>9525</xdr:colOff>
                <xdr:row>13</xdr:row>
                <xdr:rowOff>19050</xdr:rowOff>
              </from>
              <to>
                <xdr:col>10</xdr:col>
                <xdr:colOff>552450</xdr:colOff>
                <xdr:row>13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35" r:id="rId26" name="Option Button 43">
          <controlPr defaultSize="0" autoFill="0" autoLine="0" autoPict="0">
            <anchor moveWithCells="1">
              <from>
                <xdr:col>9</xdr:col>
                <xdr:colOff>9525</xdr:colOff>
                <xdr:row>15</xdr:row>
                <xdr:rowOff>19050</xdr:rowOff>
              </from>
              <to>
                <xdr:col>9</xdr:col>
                <xdr:colOff>561975</xdr:colOff>
                <xdr:row>15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36" r:id="rId27" name="Option Button 44">
          <controlPr defaultSize="0" autoFill="0" autoLine="0" autoPict="0">
            <anchor moveWithCells="1">
              <from>
                <xdr:col>10</xdr:col>
                <xdr:colOff>9525</xdr:colOff>
                <xdr:row>15</xdr:row>
                <xdr:rowOff>19050</xdr:rowOff>
              </from>
              <to>
                <xdr:col>10</xdr:col>
                <xdr:colOff>552450</xdr:colOff>
                <xdr:row>15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37" r:id="rId28" name="Option Button 45">
          <controlPr defaultSize="0" autoFill="0" autoLine="0" autoPict="0">
            <anchor moveWithCells="1">
              <from>
                <xdr:col>9</xdr:col>
                <xdr:colOff>9525</xdr:colOff>
                <xdr:row>17</xdr:row>
                <xdr:rowOff>19050</xdr:rowOff>
              </from>
              <to>
                <xdr:col>9</xdr:col>
                <xdr:colOff>561975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38" r:id="rId29" name="Option Button 46">
          <controlPr defaultSize="0" autoFill="0" autoLine="0" autoPict="0">
            <anchor moveWithCells="1">
              <from>
                <xdr:col>10</xdr:col>
                <xdr:colOff>9525</xdr:colOff>
                <xdr:row>17</xdr:row>
                <xdr:rowOff>19050</xdr:rowOff>
              </from>
              <to>
                <xdr:col>10</xdr:col>
                <xdr:colOff>552450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39" r:id="rId30" name="Option Button 47">
          <controlPr defaultSize="0" autoFill="0" autoLine="0" autoPict="0">
            <anchor moveWithCells="1">
              <from>
                <xdr:col>9</xdr:col>
                <xdr:colOff>9525</xdr:colOff>
                <xdr:row>19</xdr:row>
                <xdr:rowOff>19050</xdr:rowOff>
              </from>
              <to>
                <xdr:col>9</xdr:col>
                <xdr:colOff>561975</xdr:colOff>
                <xdr:row>19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40" r:id="rId31" name="Option Button 48">
          <controlPr defaultSize="0" autoFill="0" autoLine="0" autoPict="0">
            <anchor moveWithCells="1">
              <from>
                <xdr:col>10</xdr:col>
                <xdr:colOff>9525</xdr:colOff>
                <xdr:row>19</xdr:row>
                <xdr:rowOff>19050</xdr:rowOff>
              </from>
              <to>
                <xdr:col>10</xdr:col>
                <xdr:colOff>552450</xdr:colOff>
                <xdr:row>19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41" r:id="rId32" name="Option Button 49">
          <controlPr defaultSize="0" autoFill="0" autoLine="0" autoPict="0">
            <anchor moveWithCells="1">
              <from>
                <xdr:col>9</xdr:col>
                <xdr:colOff>9525</xdr:colOff>
                <xdr:row>21</xdr:row>
                <xdr:rowOff>19050</xdr:rowOff>
              </from>
              <to>
                <xdr:col>9</xdr:col>
                <xdr:colOff>561975</xdr:colOff>
                <xdr:row>21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42" r:id="rId33" name="Option Button 50">
          <controlPr defaultSize="0" autoFill="0" autoLine="0" autoPict="0">
            <anchor moveWithCells="1">
              <from>
                <xdr:col>10</xdr:col>
                <xdr:colOff>9525</xdr:colOff>
                <xdr:row>21</xdr:row>
                <xdr:rowOff>19050</xdr:rowOff>
              </from>
              <to>
                <xdr:col>10</xdr:col>
                <xdr:colOff>552450</xdr:colOff>
                <xdr:row>21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43" r:id="rId34" name="Option Button 51">
          <controlPr defaultSize="0" autoFill="0" autoLine="0" autoPict="0">
            <anchor moveWithCells="1">
              <from>
                <xdr:col>9</xdr:col>
                <xdr:colOff>9525</xdr:colOff>
                <xdr:row>25</xdr:row>
                <xdr:rowOff>19050</xdr:rowOff>
              </from>
              <to>
                <xdr:col>9</xdr:col>
                <xdr:colOff>561975</xdr:colOff>
                <xdr:row>25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44" r:id="rId35" name="Option Button 52">
          <controlPr defaultSize="0" autoFill="0" autoLine="0" autoPict="0">
            <anchor moveWithCells="1">
              <from>
                <xdr:col>10</xdr:col>
                <xdr:colOff>9525</xdr:colOff>
                <xdr:row>25</xdr:row>
                <xdr:rowOff>19050</xdr:rowOff>
              </from>
              <to>
                <xdr:col>10</xdr:col>
                <xdr:colOff>552450</xdr:colOff>
                <xdr:row>25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45" r:id="rId36" name="Option Button 53">
          <controlPr defaultSize="0" autoFill="0" autoLine="0" autoPict="0">
            <anchor moveWithCells="1">
              <from>
                <xdr:col>9</xdr:col>
                <xdr:colOff>9525</xdr:colOff>
                <xdr:row>27</xdr:row>
                <xdr:rowOff>19050</xdr:rowOff>
              </from>
              <to>
                <xdr:col>9</xdr:col>
                <xdr:colOff>561975</xdr:colOff>
                <xdr:row>27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46" r:id="rId37" name="Option Button 54">
          <controlPr defaultSize="0" autoFill="0" autoLine="0" autoPict="0">
            <anchor moveWithCells="1">
              <from>
                <xdr:col>10</xdr:col>
                <xdr:colOff>9525</xdr:colOff>
                <xdr:row>27</xdr:row>
                <xdr:rowOff>19050</xdr:rowOff>
              </from>
              <to>
                <xdr:col>10</xdr:col>
                <xdr:colOff>552450</xdr:colOff>
                <xdr:row>27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47" r:id="rId38" name="Option Button 55">
          <controlPr defaultSize="0" autoFill="0" autoLine="0" autoPict="0">
            <anchor moveWithCells="1">
              <from>
                <xdr:col>9</xdr:col>
                <xdr:colOff>9525</xdr:colOff>
                <xdr:row>29</xdr:row>
                <xdr:rowOff>19050</xdr:rowOff>
              </from>
              <to>
                <xdr:col>9</xdr:col>
                <xdr:colOff>561975</xdr:colOff>
                <xdr:row>29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48" r:id="rId39" name="Option Button 56">
          <controlPr defaultSize="0" autoFill="0" autoLine="0" autoPict="0">
            <anchor moveWithCells="1">
              <from>
                <xdr:col>10</xdr:col>
                <xdr:colOff>9525</xdr:colOff>
                <xdr:row>29</xdr:row>
                <xdr:rowOff>19050</xdr:rowOff>
              </from>
              <to>
                <xdr:col>10</xdr:col>
                <xdr:colOff>552450</xdr:colOff>
                <xdr:row>29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49" r:id="rId40" name="Option Button 57">
          <controlPr defaultSize="0" autoFill="0" autoLine="0" autoPict="0">
            <anchor moveWithCells="1">
              <from>
                <xdr:col>9</xdr:col>
                <xdr:colOff>9525</xdr:colOff>
                <xdr:row>31</xdr:row>
                <xdr:rowOff>19050</xdr:rowOff>
              </from>
              <to>
                <xdr:col>9</xdr:col>
                <xdr:colOff>561975</xdr:colOff>
                <xdr:row>31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50" r:id="rId41" name="Option Button 58">
          <controlPr defaultSize="0" autoFill="0" autoLine="0" autoPict="0">
            <anchor moveWithCells="1">
              <from>
                <xdr:col>10</xdr:col>
                <xdr:colOff>9525</xdr:colOff>
                <xdr:row>31</xdr:row>
                <xdr:rowOff>19050</xdr:rowOff>
              </from>
              <to>
                <xdr:col>10</xdr:col>
                <xdr:colOff>552450</xdr:colOff>
                <xdr:row>31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51" r:id="rId42" name="Option Button 59">
          <controlPr defaultSize="0" autoFill="0" autoLine="0" autoPict="0">
            <anchor moveWithCells="1">
              <from>
                <xdr:col>9</xdr:col>
                <xdr:colOff>9525</xdr:colOff>
                <xdr:row>33</xdr:row>
                <xdr:rowOff>19050</xdr:rowOff>
              </from>
              <to>
                <xdr:col>9</xdr:col>
                <xdr:colOff>561975</xdr:colOff>
                <xdr:row>33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52" r:id="rId43" name="Option Button 60">
          <controlPr defaultSize="0" autoFill="0" autoLine="0" autoPict="0">
            <anchor moveWithCells="1">
              <from>
                <xdr:col>10</xdr:col>
                <xdr:colOff>9525</xdr:colOff>
                <xdr:row>33</xdr:row>
                <xdr:rowOff>19050</xdr:rowOff>
              </from>
              <to>
                <xdr:col>10</xdr:col>
                <xdr:colOff>552450</xdr:colOff>
                <xdr:row>33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53" r:id="rId44" name="Option Button 61">
          <controlPr defaultSize="0" autoFill="0" autoLine="0" autoPict="0">
            <anchor moveWithCells="1">
              <from>
                <xdr:col>9</xdr:col>
                <xdr:colOff>9525</xdr:colOff>
                <xdr:row>35</xdr:row>
                <xdr:rowOff>19050</xdr:rowOff>
              </from>
              <to>
                <xdr:col>9</xdr:col>
                <xdr:colOff>561975</xdr:colOff>
                <xdr:row>35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54" r:id="rId45" name="Option Button 62">
          <controlPr defaultSize="0" autoFill="0" autoLine="0" autoPict="0">
            <anchor moveWithCells="1">
              <from>
                <xdr:col>10</xdr:col>
                <xdr:colOff>9525</xdr:colOff>
                <xdr:row>35</xdr:row>
                <xdr:rowOff>19050</xdr:rowOff>
              </from>
              <to>
                <xdr:col>10</xdr:col>
                <xdr:colOff>552450</xdr:colOff>
                <xdr:row>35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55" r:id="rId46" name="Option Button 63">
          <controlPr defaultSize="0" autoFill="0" autoLine="0" autoPict="0">
            <anchor moveWithCells="1">
              <from>
                <xdr:col>9</xdr:col>
                <xdr:colOff>9525</xdr:colOff>
                <xdr:row>37</xdr:row>
                <xdr:rowOff>19050</xdr:rowOff>
              </from>
              <to>
                <xdr:col>9</xdr:col>
                <xdr:colOff>561975</xdr:colOff>
                <xdr:row>37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56" r:id="rId47" name="Option Button 64">
          <controlPr defaultSize="0" autoFill="0" autoLine="0" autoPict="0">
            <anchor moveWithCells="1">
              <from>
                <xdr:col>10</xdr:col>
                <xdr:colOff>9525</xdr:colOff>
                <xdr:row>37</xdr:row>
                <xdr:rowOff>19050</xdr:rowOff>
              </from>
              <to>
                <xdr:col>10</xdr:col>
                <xdr:colOff>552450</xdr:colOff>
                <xdr:row>37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57" r:id="rId48" name="Option Button 65">
          <controlPr defaultSize="0" autoFill="0" autoLine="0" autoPict="0">
            <anchor moveWithCells="1">
              <from>
                <xdr:col>9</xdr:col>
                <xdr:colOff>9525</xdr:colOff>
                <xdr:row>39</xdr:row>
                <xdr:rowOff>19050</xdr:rowOff>
              </from>
              <to>
                <xdr:col>9</xdr:col>
                <xdr:colOff>561975</xdr:colOff>
                <xdr:row>39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58" r:id="rId49" name="Option Button 66">
          <controlPr defaultSize="0" autoFill="0" autoLine="0" autoPict="0">
            <anchor moveWithCells="1">
              <from>
                <xdr:col>10</xdr:col>
                <xdr:colOff>9525</xdr:colOff>
                <xdr:row>39</xdr:row>
                <xdr:rowOff>19050</xdr:rowOff>
              </from>
              <to>
                <xdr:col>10</xdr:col>
                <xdr:colOff>552450</xdr:colOff>
                <xdr:row>39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79" r:id="rId50" name="Group Box 87">
          <controlPr defaultSize="0" autoFill="0" autoPict="0">
            <anchor moveWithCells="1">
              <from>
                <xdr:col>1</xdr:col>
                <xdr:colOff>142875</xdr:colOff>
                <xdr:row>11</xdr:row>
                <xdr:rowOff>0</xdr:rowOff>
              </from>
              <to>
                <xdr:col>11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80" r:id="rId51" name="Option Button 88">
          <controlPr defaultSize="0" autoFill="0" autoLine="0" autoPict="0">
            <anchor moveWithCells="1">
              <from>
                <xdr:col>9</xdr:col>
                <xdr:colOff>9525</xdr:colOff>
                <xdr:row>11</xdr:row>
                <xdr:rowOff>9525</xdr:rowOff>
              </from>
              <to>
                <xdr:col>9</xdr:col>
                <xdr:colOff>561975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81" r:id="rId52" name="Option Button 89">
          <controlPr defaultSize="0" autoFill="0" autoLine="0" autoPict="0">
            <anchor moveWithCells="1">
              <from>
                <xdr:col>10</xdr:col>
                <xdr:colOff>9525</xdr:colOff>
                <xdr:row>11</xdr:row>
                <xdr:rowOff>9525</xdr:rowOff>
              </from>
              <to>
                <xdr:col>10</xdr:col>
                <xdr:colOff>552450</xdr:colOff>
                <xdr:row>12</xdr:row>
                <xdr:rowOff>0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600D1-8338-4518-97FB-5A55BCB4782B}">
  <sheetPr codeName="Sheet19"/>
  <dimension ref="B2:AT73"/>
  <sheetViews>
    <sheetView showGridLines="0" showRowColHeaders="0" zoomScaleNormal="100" workbookViewId="0">
      <selection activeCell="AI8" sqref="AI8:AJ8"/>
    </sheetView>
  </sheetViews>
  <sheetFormatPr defaultRowHeight="15" x14ac:dyDescent="0.25"/>
  <cols>
    <col min="1" max="2" width="2.140625" customWidth="1"/>
    <col min="4" max="4" width="9.140625" customWidth="1"/>
    <col min="5" max="5" width="1.42578125" customWidth="1"/>
    <col min="6" max="6" width="9.140625" customWidth="1"/>
    <col min="7" max="7" width="2.28515625" customWidth="1"/>
    <col min="8" max="8" width="2.85546875" customWidth="1"/>
    <col min="9" max="9" width="2.28515625" customWidth="1"/>
    <col min="11" max="11" width="2.85546875" customWidth="1"/>
    <col min="12" max="12" width="11.42578125" customWidth="1"/>
    <col min="13" max="13" width="5" customWidth="1"/>
    <col min="14" max="14" width="11.42578125" customWidth="1"/>
    <col min="15" max="15" width="9.140625" customWidth="1"/>
    <col min="16" max="16" width="1.42578125" customWidth="1"/>
    <col min="17" max="17" width="9.140625" customWidth="1"/>
    <col min="18" max="18" width="1.42578125" customWidth="1"/>
    <col min="19" max="19" width="9.140625" customWidth="1"/>
    <col min="20" max="20" width="1.42578125" customWidth="1"/>
    <col min="21" max="21" width="9.140625" customWidth="1"/>
    <col min="22" max="22" width="1.42578125" customWidth="1"/>
    <col min="23" max="23" width="9.140625" customWidth="1"/>
    <col min="24" max="24" width="1.42578125" customWidth="1"/>
    <col min="25" max="26" width="9.140625" customWidth="1"/>
    <col min="27" max="27" width="1.42578125" customWidth="1"/>
    <col min="28" max="28" width="10" customWidth="1"/>
    <col min="29" max="29" width="0.7109375" customWidth="1"/>
    <col min="30" max="30" width="5.140625" customWidth="1"/>
    <col min="31" max="31" width="2.140625" customWidth="1"/>
    <col min="32" max="32" width="1.42578125" customWidth="1"/>
    <col min="33" max="33" width="9.140625" customWidth="1"/>
    <col min="34" max="34" width="1.42578125" customWidth="1"/>
    <col min="36" max="36" width="1.42578125" customWidth="1"/>
    <col min="38" max="38" width="1.85546875" customWidth="1"/>
    <col min="39" max="39" width="9.28515625" customWidth="1"/>
    <col min="40" max="40" width="1.42578125" customWidth="1"/>
    <col min="41" max="41" width="9.140625" customWidth="1"/>
    <col min="42" max="42" width="1.42578125" customWidth="1"/>
    <col min="43" max="43" width="9.140625" customWidth="1"/>
    <col min="44" max="44" width="1.42578125" customWidth="1"/>
    <col min="45" max="45" width="9.140625" customWidth="1"/>
    <col min="46" max="46" width="3.42578125" customWidth="1"/>
  </cols>
  <sheetData>
    <row r="2" spans="2:46" ht="23.25" x14ac:dyDescent="0.35">
      <c r="L2" s="204" t="s">
        <v>1064</v>
      </c>
      <c r="M2" s="204"/>
    </row>
    <row r="3" spans="2:46" ht="15.75" thickBot="1" x14ac:dyDescent="0.3"/>
    <row r="4" spans="2:46" ht="22.5" customHeight="1" x14ac:dyDescent="0.35">
      <c r="B4" s="1360" t="s">
        <v>911</v>
      </c>
      <c r="C4" s="1272"/>
      <c r="D4" s="1272"/>
      <c r="E4" s="1272"/>
      <c r="F4" s="1272"/>
      <c r="G4" s="1272"/>
      <c r="H4" s="1272"/>
      <c r="I4" s="1272"/>
      <c r="J4" s="1272"/>
      <c r="K4" s="1272"/>
      <c r="L4" s="1272"/>
      <c r="M4" s="1272"/>
      <c r="N4" s="1272"/>
      <c r="O4" s="1272"/>
      <c r="P4" s="1272"/>
      <c r="Q4" s="1272"/>
      <c r="R4" s="1272"/>
      <c r="S4" s="1272"/>
      <c r="T4" s="1272"/>
      <c r="U4" s="1272"/>
      <c r="V4" s="1272"/>
      <c r="W4" s="1272"/>
      <c r="X4" s="1272"/>
      <c r="Y4" s="1272"/>
      <c r="Z4" s="1272"/>
      <c r="AA4" s="1272"/>
      <c r="AB4" s="1272"/>
      <c r="AC4" s="1272"/>
      <c r="AD4" s="1272"/>
      <c r="AE4" s="1272"/>
      <c r="AF4" s="1272"/>
      <c r="AG4" s="1272"/>
      <c r="AH4" s="1272"/>
      <c r="AI4" s="1272"/>
      <c r="AJ4" s="1272"/>
      <c r="AK4" s="1361"/>
      <c r="AL4" s="204"/>
      <c r="AM4" s="204"/>
      <c r="AN4" s="204"/>
      <c r="AO4" s="204"/>
      <c r="AP4" s="204"/>
      <c r="AQ4" s="204"/>
      <c r="AR4" s="204"/>
      <c r="AS4" s="204"/>
      <c r="AT4" s="204"/>
    </row>
    <row r="5" spans="2:46" ht="3.75" customHeight="1" thickBot="1" x14ac:dyDescent="0.3">
      <c r="B5" s="11"/>
      <c r="AK5" s="4"/>
    </row>
    <row r="6" spans="2:46" ht="18.75" customHeight="1" x14ac:dyDescent="0.35">
      <c r="B6" s="233"/>
      <c r="C6" s="273" t="s">
        <v>935</v>
      </c>
      <c r="D6" s="274"/>
      <c r="E6" s="274"/>
      <c r="F6" s="274"/>
      <c r="G6" s="274"/>
      <c r="H6" s="274"/>
      <c r="I6" s="232"/>
      <c r="J6" s="232"/>
      <c r="K6" s="232"/>
      <c r="L6" s="232"/>
      <c r="M6" s="232"/>
      <c r="N6" s="231" t="s">
        <v>177</v>
      </c>
      <c r="O6" s="236" t="s">
        <v>178</v>
      </c>
      <c r="Q6" s="1290" t="s">
        <v>792</v>
      </c>
      <c r="R6" s="1291"/>
      <c r="S6" s="1291"/>
      <c r="T6" s="1291"/>
      <c r="U6" s="1291"/>
      <c r="V6" s="1291"/>
      <c r="W6" s="1291"/>
      <c r="X6" s="1291"/>
      <c r="Y6" s="1291"/>
      <c r="Z6" s="1292"/>
      <c r="AB6" s="1328" t="s">
        <v>913</v>
      </c>
      <c r="AC6" s="1329"/>
      <c r="AD6" s="1329"/>
      <c r="AE6" s="1329"/>
      <c r="AF6" s="1329"/>
      <c r="AG6" s="1329"/>
      <c r="AH6" s="1329"/>
      <c r="AI6" s="1329"/>
      <c r="AJ6" s="1329"/>
      <c r="AK6" s="1330"/>
    </row>
    <row r="7" spans="2:46" ht="3.75" customHeight="1" thickBot="1" x14ac:dyDescent="0.3">
      <c r="B7" s="233"/>
      <c r="C7" s="118"/>
      <c r="D7" s="118"/>
      <c r="E7" s="118"/>
      <c r="F7" s="118"/>
      <c r="G7" s="118"/>
      <c r="H7" s="118"/>
      <c r="I7" s="167"/>
      <c r="J7" s="167"/>
      <c r="K7" s="167"/>
      <c r="L7" s="167"/>
      <c r="M7" s="167"/>
      <c r="AB7" s="11"/>
      <c r="AK7" s="4"/>
    </row>
    <row r="8" spans="2:46" ht="18.75" customHeight="1" thickBot="1" x14ac:dyDescent="0.3">
      <c r="B8" s="209"/>
      <c r="C8" s="241" t="s">
        <v>879</v>
      </c>
      <c r="D8" s="37"/>
      <c r="E8" s="37"/>
      <c r="G8" s="167"/>
      <c r="H8" s="167"/>
      <c r="I8" s="167"/>
      <c r="J8" s="167"/>
      <c r="K8" s="167"/>
      <c r="L8" s="167"/>
      <c r="M8" s="167"/>
      <c r="Q8" s="1269"/>
      <c r="R8" s="1270"/>
      <c r="S8" s="1270"/>
      <c r="T8" s="1270"/>
      <c r="U8" s="1270"/>
      <c r="V8" s="1270"/>
      <c r="W8" s="1270"/>
      <c r="X8" s="1270"/>
      <c r="Y8" s="1270"/>
      <c r="Z8" s="1271"/>
      <c r="AA8" s="13"/>
      <c r="AB8" s="11"/>
      <c r="AG8" s="216" t="s">
        <v>407</v>
      </c>
      <c r="AI8" s="1334"/>
      <c r="AJ8" s="1336"/>
      <c r="AK8" s="4"/>
    </row>
    <row r="9" spans="2:46" ht="3.75" customHeight="1" thickBot="1" x14ac:dyDescent="0.3">
      <c r="B9" s="11"/>
      <c r="D9" s="37"/>
      <c r="E9" s="37"/>
      <c r="F9" s="37"/>
      <c r="G9" s="37"/>
      <c r="H9" s="167"/>
      <c r="I9" s="167"/>
      <c r="J9" s="167"/>
      <c r="K9" s="167"/>
      <c r="L9" s="167"/>
      <c r="M9" s="167"/>
      <c r="AB9" s="11"/>
      <c r="AG9" s="216"/>
      <c r="AK9" s="4"/>
    </row>
    <row r="10" spans="2:46" ht="18.75" customHeight="1" thickBot="1" x14ac:dyDescent="0.3">
      <c r="B10" s="11"/>
      <c r="C10" s="257" t="s">
        <v>801</v>
      </c>
      <c r="D10" s="37"/>
      <c r="E10" s="37"/>
      <c r="F10" s="36"/>
      <c r="G10" s="13"/>
      <c r="I10" s="167"/>
      <c r="J10" s="167"/>
      <c r="K10" s="167"/>
      <c r="L10" s="167"/>
      <c r="M10" s="167"/>
      <c r="Q10" s="1269"/>
      <c r="R10" s="1270"/>
      <c r="S10" s="1270"/>
      <c r="T10" s="1270"/>
      <c r="U10" s="1270"/>
      <c r="V10" s="1270"/>
      <c r="W10" s="1270"/>
      <c r="X10" s="1270"/>
      <c r="Y10" s="1270"/>
      <c r="Z10" s="1271"/>
      <c r="AA10" s="13"/>
      <c r="AB10" s="11"/>
      <c r="AG10" s="216" t="s">
        <v>908</v>
      </c>
      <c r="AI10" s="1358"/>
      <c r="AJ10" s="1359"/>
      <c r="AK10" s="4"/>
    </row>
    <row r="11" spans="2:46" ht="3.75" customHeight="1" thickBot="1" x14ac:dyDescent="0.3">
      <c r="B11" s="11"/>
      <c r="I11" s="167"/>
      <c r="J11" s="167"/>
      <c r="K11" s="167"/>
      <c r="L11" s="167"/>
      <c r="M11" s="167"/>
      <c r="AB11" s="11"/>
      <c r="AD11" s="1"/>
      <c r="AG11" s="216"/>
      <c r="AK11" s="4"/>
    </row>
    <row r="12" spans="2:46" ht="18.75" customHeight="1" thickBot="1" x14ac:dyDescent="0.3">
      <c r="B12" s="11"/>
      <c r="C12" s="257" t="s">
        <v>793</v>
      </c>
      <c r="Q12" s="1269"/>
      <c r="R12" s="1270"/>
      <c r="S12" s="1270"/>
      <c r="T12" s="1270"/>
      <c r="U12" s="1270"/>
      <c r="V12" s="1270"/>
      <c r="W12" s="1270"/>
      <c r="X12" s="1270"/>
      <c r="Y12" s="1270"/>
      <c r="Z12" s="1271"/>
      <c r="AA12" s="13"/>
      <c r="AB12" s="11"/>
      <c r="AG12" s="216" t="s">
        <v>912</v>
      </c>
      <c r="AI12" s="1334"/>
      <c r="AJ12" s="1336"/>
      <c r="AK12" s="4"/>
    </row>
    <row r="13" spans="2:46" ht="3.75" customHeight="1" thickBot="1" x14ac:dyDescent="0.3">
      <c r="B13" s="11"/>
      <c r="C13" s="170"/>
      <c r="D13" s="37"/>
      <c r="E13" s="37"/>
      <c r="F13" s="36"/>
      <c r="G13" s="13"/>
      <c r="AB13" s="11"/>
      <c r="AD13" s="1"/>
      <c r="AI13" s="93"/>
      <c r="AJ13" s="93"/>
      <c r="AK13" s="4"/>
    </row>
    <row r="14" spans="2:46" ht="18.75" customHeight="1" thickBot="1" x14ac:dyDescent="0.3">
      <c r="B14" s="11"/>
      <c r="C14" s="257" t="s">
        <v>794</v>
      </c>
      <c r="Q14" s="1269"/>
      <c r="R14" s="1270"/>
      <c r="S14" s="1270"/>
      <c r="T14" s="1270"/>
      <c r="U14" s="1270"/>
      <c r="V14" s="1270"/>
      <c r="W14" s="1270"/>
      <c r="X14" s="1270"/>
      <c r="Y14" s="1270"/>
      <c r="Z14" s="1271"/>
      <c r="AA14" s="13"/>
      <c r="AB14" s="11"/>
      <c r="AG14" s="216" t="s">
        <v>408</v>
      </c>
      <c r="AI14" s="1334"/>
      <c r="AJ14" s="1336"/>
      <c r="AK14" s="4"/>
    </row>
    <row r="15" spans="2:46" ht="3.75" customHeight="1" thickBot="1" x14ac:dyDescent="0.3">
      <c r="B15" s="11"/>
      <c r="C15" s="10"/>
      <c r="AB15" s="11"/>
      <c r="AD15" s="1"/>
      <c r="AG15" s="216"/>
      <c r="AI15" s="275"/>
      <c r="AK15" s="4"/>
    </row>
    <row r="16" spans="2:46" ht="18.75" customHeight="1" thickBot="1" x14ac:dyDescent="0.3">
      <c r="B16" s="11"/>
      <c r="C16" s="257" t="s">
        <v>795</v>
      </c>
      <c r="Q16" s="1269"/>
      <c r="R16" s="1270"/>
      <c r="S16" s="1270"/>
      <c r="T16" s="1270"/>
      <c r="U16" s="1270"/>
      <c r="V16" s="1270"/>
      <c r="W16" s="1270"/>
      <c r="X16" s="1270"/>
      <c r="Y16" s="1270"/>
      <c r="Z16" s="1271"/>
      <c r="AA16" s="13"/>
      <c r="AB16" s="11"/>
      <c r="AG16" s="216" t="s">
        <v>907</v>
      </c>
      <c r="AI16" s="1334"/>
      <c r="AJ16" s="1336"/>
      <c r="AK16" s="4"/>
    </row>
    <row r="17" spans="2:37" ht="3.75" customHeight="1" thickBot="1" x14ac:dyDescent="0.3">
      <c r="B17" s="11"/>
      <c r="C17" s="170"/>
      <c r="AB17" s="11"/>
      <c r="AK17" s="4"/>
    </row>
    <row r="18" spans="2:37" ht="18.75" customHeight="1" thickBot="1" x14ac:dyDescent="0.3">
      <c r="B18" s="11"/>
      <c r="C18" s="257" t="s">
        <v>796</v>
      </c>
      <c r="Q18" s="1269"/>
      <c r="R18" s="1270"/>
      <c r="S18" s="1270"/>
      <c r="T18" s="1270"/>
      <c r="U18" s="1270"/>
      <c r="V18" s="1270"/>
      <c r="W18" s="1270"/>
      <c r="X18" s="1270"/>
      <c r="Y18" s="1270"/>
      <c r="Z18" s="1271"/>
      <c r="AA18" s="13"/>
      <c r="AB18" s="11"/>
      <c r="AG18" s="216" t="s">
        <v>937</v>
      </c>
      <c r="AI18" s="1334"/>
      <c r="AJ18" s="1336"/>
      <c r="AK18" s="4"/>
    </row>
    <row r="19" spans="2:37" ht="7.5" customHeight="1" thickBot="1" x14ac:dyDescent="0.3">
      <c r="B19" s="11"/>
      <c r="AB19" s="12"/>
      <c r="AC19" s="5"/>
      <c r="AD19" s="5"/>
      <c r="AE19" s="5"/>
      <c r="AF19" s="5"/>
      <c r="AG19" s="5"/>
      <c r="AH19" s="5"/>
      <c r="AI19" s="5"/>
      <c r="AJ19" s="5"/>
      <c r="AK19" s="6"/>
    </row>
    <row r="20" spans="2:37" ht="18.75" customHeight="1" x14ac:dyDescent="0.35">
      <c r="B20" s="1328" t="s">
        <v>936</v>
      </c>
      <c r="C20" s="1329"/>
      <c r="D20" s="1329"/>
      <c r="E20" s="1329"/>
      <c r="F20" s="1329"/>
      <c r="G20" s="1329"/>
      <c r="H20" s="1329"/>
      <c r="I20" s="1329"/>
      <c r="J20" s="1329"/>
      <c r="K20" s="1329"/>
      <c r="L20" s="1329"/>
      <c r="M20" s="1329"/>
      <c r="N20" s="1329"/>
      <c r="O20" s="1329"/>
      <c r="P20" s="1329"/>
      <c r="Q20" s="1329"/>
      <c r="R20" s="1329"/>
      <c r="S20" s="1329"/>
      <c r="T20" s="1329"/>
      <c r="U20" s="1329"/>
      <c r="V20" s="1329"/>
      <c r="W20" s="1329"/>
      <c r="X20" s="1329"/>
      <c r="Y20" s="1329"/>
      <c r="Z20" s="1329"/>
      <c r="AA20" s="1330"/>
      <c r="AB20" s="1328" t="s">
        <v>910</v>
      </c>
      <c r="AC20" s="1329"/>
      <c r="AD20" s="1329"/>
      <c r="AE20" s="1329"/>
      <c r="AF20" s="1329"/>
      <c r="AG20" s="1329"/>
      <c r="AH20" s="1329"/>
      <c r="AI20" s="1329"/>
      <c r="AJ20" s="1329"/>
      <c r="AK20" s="1330"/>
    </row>
    <row r="21" spans="2:37" ht="7.5" customHeight="1" x14ac:dyDescent="0.25">
      <c r="B21" s="11"/>
      <c r="D21" s="10"/>
      <c r="AA21" s="4"/>
      <c r="AB21" s="11"/>
      <c r="AK21" s="4"/>
    </row>
    <row r="22" spans="2:37" ht="18.75" customHeight="1" x14ac:dyDescent="0.3">
      <c r="B22" s="11"/>
      <c r="C22" s="10"/>
      <c r="D22" s="216" t="s">
        <v>437</v>
      </c>
      <c r="F22" s="1374" t="str">
        <f>Unformatted!E138</f>
        <v>N/A</v>
      </c>
      <c r="G22" s="1375"/>
      <c r="L22" s="1367" t="s">
        <v>1037</v>
      </c>
      <c r="M22" s="1367"/>
      <c r="N22" s="1367"/>
      <c r="O22" s="1368" t="str">
        <f>Unformatted!E706</f>
        <v>ERROR</v>
      </c>
      <c r="P22" s="1369"/>
      <c r="Q22" s="1370"/>
      <c r="U22" s="1364" t="s">
        <v>655</v>
      </c>
      <c r="V22" s="1364"/>
      <c r="W22" s="1364"/>
      <c r="X22" s="1364"/>
      <c r="Y22" s="1364"/>
      <c r="Z22" s="277"/>
      <c r="AA22" s="272"/>
      <c r="AB22" s="11"/>
      <c r="AF22" s="1055" t="s">
        <v>441</v>
      </c>
      <c r="AG22" s="1055"/>
      <c r="AH22" s="37"/>
      <c r="AI22" s="1055" t="s">
        <v>442</v>
      </c>
      <c r="AJ22" s="1055"/>
      <c r="AK22" s="4"/>
    </row>
    <row r="23" spans="2:37" ht="3.75" customHeight="1" thickBot="1" x14ac:dyDescent="0.3">
      <c r="B23" s="11"/>
      <c r="C23" s="10"/>
      <c r="L23" s="1367"/>
      <c r="M23" s="1367"/>
      <c r="N23" s="1367"/>
      <c r="O23" s="1371"/>
      <c r="P23" s="1372"/>
      <c r="Q23" s="1373"/>
      <c r="AA23" s="4"/>
      <c r="AB23" s="11"/>
      <c r="AK23" s="4"/>
    </row>
    <row r="24" spans="2:37" ht="18.75" customHeight="1" thickBot="1" x14ac:dyDescent="0.3">
      <c r="B24" s="11"/>
      <c r="C24" s="10"/>
      <c r="D24" s="216" t="s">
        <v>228</v>
      </c>
      <c r="F24" s="1327" t="str">
        <f>Unformatted!E176</f>
        <v>ERROR</v>
      </c>
      <c r="G24" s="1316"/>
      <c r="U24" s="248" t="s">
        <v>441</v>
      </c>
      <c r="W24" s="248" t="s">
        <v>442</v>
      </c>
      <c r="Y24" s="248" t="s">
        <v>797</v>
      </c>
      <c r="Z24" s="37"/>
      <c r="AA24" s="4"/>
      <c r="AB24" s="11"/>
      <c r="AD24" s="216" t="s">
        <v>798</v>
      </c>
      <c r="AF24" s="1352"/>
      <c r="AG24" s="1353"/>
      <c r="AI24" s="1352"/>
      <c r="AJ24" s="1353"/>
      <c r="AK24" s="4"/>
    </row>
    <row r="25" spans="2:37" ht="3.75" customHeight="1" thickBot="1" x14ac:dyDescent="0.3">
      <c r="B25" s="11"/>
      <c r="C25" s="10"/>
      <c r="AA25" s="4"/>
      <c r="AB25" s="11"/>
      <c r="AK25" s="4"/>
    </row>
    <row r="26" spans="2:37" ht="18.75" customHeight="1" thickBot="1" x14ac:dyDescent="0.3">
      <c r="B26" s="11"/>
      <c r="C26" s="10"/>
      <c r="F26" s="1055" t="s">
        <v>225</v>
      </c>
      <c r="G26" s="1055"/>
      <c r="I26" s="1055" t="s">
        <v>226</v>
      </c>
      <c r="J26" s="1055"/>
      <c r="K26" s="167"/>
      <c r="L26" s="167" t="s">
        <v>227</v>
      </c>
      <c r="M26" s="167"/>
      <c r="S26" s="248" t="s">
        <v>597</v>
      </c>
      <c r="U26" s="331"/>
      <c r="W26" s="331"/>
      <c r="Y26" s="326"/>
      <c r="AA26" s="4"/>
      <c r="AB26" s="11"/>
      <c r="AD26" s="216" t="s">
        <v>799</v>
      </c>
      <c r="AF26" s="1352"/>
      <c r="AG26" s="1353"/>
      <c r="AI26" s="1352"/>
      <c r="AJ26" s="1353"/>
      <c r="AK26" s="4"/>
    </row>
    <row r="27" spans="2:37" ht="3.75" customHeight="1" thickBot="1" x14ac:dyDescent="0.3">
      <c r="B27" s="11"/>
      <c r="C27" s="10"/>
      <c r="AA27" s="4"/>
      <c r="AB27" s="11"/>
      <c r="AD27" s="1"/>
      <c r="AK27" s="4"/>
    </row>
    <row r="28" spans="2:37" ht="18.75" customHeight="1" thickBot="1" x14ac:dyDescent="0.3">
      <c r="B28" s="11"/>
      <c r="C28" s="170"/>
      <c r="D28" s="216" t="s">
        <v>594</v>
      </c>
      <c r="F28" s="1365"/>
      <c r="G28" s="1366"/>
      <c r="I28" s="1365"/>
      <c r="J28" s="1366"/>
      <c r="K28" s="305"/>
      <c r="L28" s="331"/>
      <c r="M28" s="305"/>
      <c r="S28" s="248" t="s">
        <v>601</v>
      </c>
      <c r="U28" s="331"/>
      <c r="W28" s="331"/>
      <c r="Y28" s="326"/>
      <c r="AA28" s="4"/>
      <c r="AB28" s="11"/>
      <c r="AD28" s="216" t="s">
        <v>909</v>
      </c>
      <c r="AE28" s="217"/>
      <c r="AF28" s="1352"/>
      <c r="AG28" s="1353"/>
      <c r="AK28" s="4"/>
    </row>
    <row r="29" spans="2:37" ht="7.5" customHeight="1" thickBot="1" x14ac:dyDescent="0.3">
      <c r="B29" s="11"/>
      <c r="D29" s="10"/>
      <c r="AA29" s="4"/>
      <c r="AB29" s="11"/>
      <c r="AK29" s="4"/>
    </row>
    <row r="30" spans="2:37" ht="18.75" customHeight="1" x14ac:dyDescent="0.35">
      <c r="B30" s="1362" t="s">
        <v>938</v>
      </c>
      <c r="C30" s="1363"/>
      <c r="D30" s="1363"/>
      <c r="E30" s="1363"/>
      <c r="F30" s="1363"/>
      <c r="G30" s="1363"/>
      <c r="H30" s="1363"/>
      <c r="I30" s="1363"/>
      <c r="J30" s="1363"/>
      <c r="K30" s="1363"/>
      <c r="L30" s="1363"/>
      <c r="M30" s="1363"/>
      <c r="N30" s="1363"/>
      <c r="O30" s="1363"/>
      <c r="P30" s="1363"/>
      <c r="Q30" s="1363"/>
      <c r="R30" s="1363"/>
      <c r="S30" s="1363"/>
      <c r="T30" s="1363"/>
      <c r="U30" s="1363"/>
      <c r="V30" s="1363"/>
      <c r="W30" s="1363"/>
      <c r="X30" s="1363"/>
      <c r="Y30" s="1363"/>
      <c r="Z30" s="1363"/>
      <c r="AA30" s="1363"/>
      <c r="AB30" s="1280" t="s">
        <v>914</v>
      </c>
      <c r="AC30" s="1281"/>
      <c r="AD30" s="1281"/>
      <c r="AE30" s="1281"/>
      <c r="AF30" s="1281"/>
      <c r="AG30" s="1281"/>
      <c r="AH30" s="1281"/>
      <c r="AI30" s="1281"/>
      <c r="AJ30" s="1281"/>
      <c r="AK30" s="1282"/>
    </row>
    <row r="31" spans="2:37" ht="3.75" customHeight="1" x14ac:dyDescent="0.25">
      <c r="B31" s="268"/>
      <c r="C31" s="269"/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69"/>
      <c r="S31" s="269"/>
      <c r="T31" s="269"/>
      <c r="U31" s="269"/>
      <c r="V31" s="269"/>
      <c r="W31" s="269"/>
      <c r="X31" s="269"/>
      <c r="Y31" s="269"/>
      <c r="Z31" s="269"/>
      <c r="AA31" s="269"/>
      <c r="AB31" s="11"/>
      <c r="AK31" s="4"/>
    </row>
    <row r="32" spans="2:37" ht="18.75" customHeight="1" x14ac:dyDescent="0.25">
      <c r="B32" s="11"/>
      <c r="AB32" s="1349" t="str">
        <f>Unformatted!E725</f>
        <v>No Coupling</v>
      </c>
      <c r="AC32" s="1350"/>
      <c r="AD32" s="1350"/>
      <c r="AE32" s="1350"/>
      <c r="AF32" s="1350"/>
      <c r="AG32" s="1350"/>
      <c r="AH32" s="1350"/>
      <c r="AI32" s="1350"/>
      <c r="AJ32" s="1350"/>
      <c r="AK32" s="1351"/>
    </row>
    <row r="33" spans="2:37" ht="3.75" customHeight="1" thickBot="1" x14ac:dyDescent="0.3">
      <c r="B33" s="11"/>
      <c r="Q33" s="216"/>
      <c r="AB33" s="11"/>
      <c r="AD33" t="s">
        <v>1027</v>
      </c>
      <c r="AK33" s="4"/>
    </row>
    <row r="34" spans="2:37" ht="22.5" customHeight="1" thickBot="1" x14ac:dyDescent="0.3">
      <c r="B34" s="11"/>
      <c r="AB34" s="276" t="s">
        <v>137</v>
      </c>
      <c r="AC34" s="264"/>
      <c r="AD34" s="1355"/>
      <c r="AE34" s="1356"/>
      <c r="AF34" s="1356"/>
      <c r="AG34" s="1357"/>
      <c r="AK34" s="4"/>
    </row>
    <row r="35" spans="2:37" ht="3.75" customHeight="1" thickBot="1" x14ac:dyDescent="0.3">
      <c r="B35" s="11"/>
      <c r="AB35" s="11"/>
      <c r="AK35" s="4"/>
    </row>
    <row r="36" spans="2:37" ht="18.75" customHeight="1" thickBot="1" x14ac:dyDescent="0.3">
      <c r="B36" s="11"/>
      <c r="AB36" s="11"/>
      <c r="AC36" s="217"/>
      <c r="AD36" s="216" t="s">
        <v>939</v>
      </c>
      <c r="AE36" s="217"/>
      <c r="AF36" s="1334"/>
      <c r="AG36" s="1335"/>
      <c r="AH36" s="1336"/>
      <c r="AK36" s="4"/>
    </row>
    <row r="37" spans="2:37" ht="3.75" customHeight="1" thickBot="1" x14ac:dyDescent="0.3">
      <c r="B37" s="11"/>
      <c r="AB37" s="11"/>
      <c r="AK37" s="4"/>
    </row>
    <row r="38" spans="2:37" ht="18.75" customHeight="1" thickBot="1" x14ac:dyDescent="0.3">
      <c r="B38" s="11"/>
      <c r="AB38" s="11"/>
      <c r="AD38" s="216" t="s">
        <v>598</v>
      </c>
      <c r="AF38" s="1334"/>
      <c r="AG38" s="1335"/>
      <c r="AH38" s="1336"/>
      <c r="AK38" s="4"/>
    </row>
    <row r="39" spans="2:37" ht="7.5" customHeight="1" thickBot="1" x14ac:dyDescent="0.3">
      <c r="B39" s="12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12"/>
      <c r="AC39" s="5"/>
      <c r="AD39" s="5"/>
      <c r="AE39" s="5"/>
      <c r="AF39" s="5"/>
      <c r="AG39" s="5"/>
      <c r="AH39" s="5"/>
      <c r="AI39" s="5"/>
      <c r="AJ39" s="5"/>
      <c r="AK39" s="6"/>
    </row>
    <row r="40" spans="2:37" ht="15.75" x14ac:dyDescent="0.25">
      <c r="AB40" s="217"/>
      <c r="AG40" s="1354"/>
      <c r="AH40" s="1354"/>
      <c r="AI40" s="1354"/>
    </row>
    <row r="41" spans="2:37" ht="3.75" customHeight="1" x14ac:dyDescent="0.25"/>
    <row r="42" spans="2:37" ht="15" customHeight="1" x14ac:dyDescent="0.25">
      <c r="AB42" s="264"/>
      <c r="AG42" s="13"/>
      <c r="AH42" s="13"/>
      <c r="AI42" s="13"/>
    </row>
    <row r="43" spans="2:37" ht="3.75" customHeight="1" x14ac:dyDescent="0.25"/>
    <row r="44" spans="2:37" ht="15" customHeight="1" x14ac:dyDescent="0.25"/>
    <row r="45" spans="2:37" ht="3.75" customHeight="1" x14ac:dyDescent="0.25"/>
    <row r="46" spans="2:37" ht="15" customHeight="1" x14ac:dyDescent="0.25"/>
    <row r="47" spans="2:37" ht="3.75" customHeight="1" x14ac:dyDescent="0.25"/>
    <row r="51" spans="3:44" x14ac:dyDescent="0.25">
      <c r="AI51" s="167"/>
    </row>
    <row r="52" spans="3:44" ht="15.75" x14ac:dyDescent="0.25">
      <c r="AI52" s="217"/>
      <c r="AJ52" s="217"/>
      <c r="AK52" s="217"/>
      <c r="AL52" s="217"/>
      <c r="AM52" s="217"/>
      <c r="AN52" s="217"/>
      <c r="AO52" s="217"/>
      <c r="AP52" s="217"/>
      <c r="AQ52" s="217"/>
      <c r="AR52" s="217"/>
    </row>
    <row r="53" spans="3:44" x14ac:dyDescent="0.25">
      <c r="D53" s="1"/>
      <c r="E53" s="1"/>
      <c r="F53" s="1"/>
      <c r="AL53" s="13"/>
      <c r="AN53" s="13"/>
      <c r="AP53" s="13"/>
    </row>
    <row r="54" spans="3:44" x14ac:dyDescent="0.25">
      <c r="C54" s="167"/>
      <c r="AK54" s="1"/>
    </row>
    <row r="55" spans="3:44" x14ac:dyDescent="0.25">
      <c r="C55" s="167"/>
      <c r="F55" s="1"/>
    </row>
    <row r="56" spans="3:44" x14ac:dyDescent="0.25">
      <c r="C56" s="167"/>
      <c r="D56" s="1"/>
      <c r="E56" s="1"/>
      <c r="F56" s="1"/>
      <c r="AK56" s="1"/>
    </row>
    <row r="57" spans="3:44" x14ac:dyDescent="0.25">
      <c r="C57" s="167"/>
    </row>
    <row r="58" spans="3:44" ht="15.75" x14ac:dyDescent="0.25">
      <c r="AI58" s="1057"/>
      <c r="AJ58" s="1057"/>
      <c r="AK58" s="1057"/>
      <c r="AL58" s="1057"/>
      <c r="AM58" s="1057"/>
      <c r="AN58" s="1057"/>
      <c r="AO58" s="1057"/>
      <c r="AP58" s="1057"/>
      <c r="AQ58" s="1057"/>
      <c r="AR58" s="1057"/>
    </row>
    <row r="60" spans="3:44" x14ac:dyDescent="0.25">
      <c r="AK60" s="1"/>
    </row>
    <row r="62" spans="3:44" x14ac:dyDescent="0.25">
      <c r="AK62" s="1"/>
    </row>
    <row r="65" spans="37:46" ht="15.75" x14ac:dyDescent="0.25">
      <c r="AK65" s="1057"/>
      <c r="AL65" s="1057"/>
      <c r="AM65" s="1057"/>
      <c r="AN65" s="1057"/>
      <c r="AO65" s="1057"/>
      <c r="AP65" s="1057"/>
      <c r="AQ65" s="1057"/>
      <c r="AR65" s="1057"/>
      <c r="AS65" s="1057"/>
      <c r="AT65" s="1057"/>
    </row>
    <row r="67" spans="37:46" ht="15.75" x14ac:dyDescent="0.25">
      <c r="AK67" s="181"/>
    </row>
    <row r="68" spans="37:46" ht="15.75" x14ac:dyDescent="0.25">
      <c r="AK68" s="181"/>
    </row>
    <row r="73" spans="37:46" ht="15.75" x14ac:dyDescent="0.25">
      <c r="AK73" s="181"/>
    </row>
  </sheetData>
  <sheetProtection sheet="1" selectLockedCells="1"/>
  <mergeCells count="42">
    <mergeCell ref="B30:AA30"/>
    <mergeCell ref="AB30:AK30"/>
    <mergeCell ref="AI8:AJ8"/>
    <mergeCell ref="AB20:AK20"/>
    <mergeCell ref="AI18:AJ18"/>
    <mergeCell ref="U22:Y22"/>
    <mergeCell ref="F28:G28"/>
    <mergeCell ref="F26:G26"/>
    <mergeCell ref="I28:J28"/>
    <mergeCell ref="I26:J26"/>
    <mergeCell ref="L22:N23"/>
    <mergeCell ref="O22:Q23"/>
    <mergeCell ref="F22:G22"/>
    <mergeCell ref="F24:G24"/>
    <mergeCell ref="AF22:AG22"/>
    <mergeCell ref="AI16:AJ16"/>
    <mergeCell ref="AB6:AK6"/>
    <mergeCell ref="B20:AA20"/>
    <mergeCell ref="AI22:AJ22"/>
    <mergeCell ref="AI10:AJ10"/>
    <mergeCell ref="B4:AK4"/>
    <mergeCell ref="Q8:Z8"/>
    <mergeCell ref="AI14:AJ14"/>
    <mergeCell ref="AI12:AJ12"/>
    <mergeCell ref="Q10:Z10"/>
    <mergeCell ref="Q6:Z6"/>
    <mergeCell ref="Q18:Z18"/>
    <mergeCell ref="Q16:Z16"/>
    <mergeCell ref="Q14:Z14"/>
    <mergeCell ref="Q12:Z12"/>
    <mergeCell ref="AF38:AH38"/>
    <mergeCell ref="AF36:AH36"/>
    <mergeCell ref="AB32:AK32"/>
    <mergeCell ref="AI24:AJ24"/>
    <mergeCell ref="AK65:AT65"/>
    <mergeCell ref="AI58:AR58"/>
    <mergeCell ref="AG40:AI40"/>
    <mergeCell ref="AI26:AJ26"/>
    <mergeCell ref="AF26:AG26"/>
    <mergeCell ref="AD34:AG34"/>
    <mergeCell ref="AF28:AG28"/>
    <mergeCell ref="AF24:AG24"/>
  </mergeCells>
  <conditionalFormatting sqref="G13 G10">
    <cfRule type="expression" dxfId="99" priority="1">
      <formula>#REF!="FAIL"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2474" r:id="rId3" name="TextBox1">
          <controlPr defaultSize="0" autoLine="0" autoPict="0" linkedCell="Unformatted!D730" r:id="rId4">
            <anchor moveWithCells="1">
              <from>
                <xdr:col>1</xdr:col>
                <xdr:colOff>95250</xdr:colOff>
                <xdr:row>31</xdr:row>
                <xdr:rowOff>19050</xdr:rowOff>
              </from>
              <to>
                <xdr:col>26</xdr:col>
                <xdr:colOff>9525</xdr:colOff>
                <xdr:row>38</xdr:row>
                <xdr:rowOff>9525</xdr:rowOff>
              </to>
            </anchor>
          </controlPr>
        </control>
      </mc:Choice>
      <mc:Fallback>
        <control shapeId="62474" r:id="rId3" name="TextBox1"/>
      </mc:Fallback>
    </mc:AlternateContent>
    <mc:AlternateContent xmlns:mc="http://schemas.openxmlformats.org/markup-compatibility/2006">
      <mc:Choice Requires="x14">
        <control shapeId="62495" r:id="rId5" name="Group Box 31">
          <controlPr defaultSize="0" autoFill="0" autoPict="0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15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6" r:id="rId6" name="Group Box 32">
          <controlPr defaultSize="0" autoFill="0" autoPict="0">
            <anchor moveWithCells="1">
              <from>
                <xdr:col>2</xdr:col>
                <xdr:colOff>0</xdr:colOff>
                <xdr:row>9</xdr:row>
                <xdr:rowOff>0</xdr:rowOff>
              </from>
              <to>
                <xdr:col>15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7" r:id="rId7" name="Group Box 33">
          <controlPr defaultSize="0" autoFill="0" autoPict="0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15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8" r:id="rId8" name="Group Box 34">
          <controlPr defaultSize="0" autoFill="0" autoPict="0">
            <anchor moveWithCells="1">
              <from>
                <xdr:col>2</xdr:col>
                <xdr:colOff>0</xdr:colOff>
                <xdr:row>13</xdr:row>
                <xdr:rowOff>0</xdr:rowOff>
              </from>
              <to>
                <xdr:col>15</xdr:col>
                <xdr:colOff>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9" r:id="rId9" name="Group Box 35">
          <controlPr defaultSize="0" autoFill="0" autoPict="0">
            <anchor moveWithCells="1">
              <from>
                <xdr:col>2</xdr:col>
                <xdr:colOff>0</xdr:colOff>
                <xdr:row>15</xdr:row>
                <xdr:rowOff>0</xdr:rowOff>
              </from>
              <to>
                <xdr:col>15</xdr:col>
                <xdr:colOff>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0" r:id="rId10" name="Group Box 36">
          <controlPr defaultSize="0" autoFill="0" autoPict="0">
            <anchor moveWithCells="1">
              <from>
                <xdr:col>2</xdr:col>
                <xdr:colOff>0</xdr:colOff>
                <xdr:row>17</xdr:row>
                <xdr:rowOff>0</xdr:rowOff>
              </from>
              <to>
                <xdr:col>15</xdr:col>
                <xdr:colOff>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3" r:id="rId11" name="Option Button 49">
          <controlPr defaultSize="0" autoFill="0" autoLine="0" autoPict="0">
            <anchor moveWithCells="1">
              <from>
                <xdr:col>13</xdr:col>
                <xdr:colOff>38100</xdr:colOff>
                <xdr:row>7</xdr:row>
                <xdr:rowOff>19050</xdr:rowOff>
              </from>
              <to>
                <xdr:col>13</xdr:col>
                <xdr:colOff>600075</xdr:colOff>
                <xdr:row>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4" r:id="rId12" name="Option Button 50">
          <controlPr defaultSize="0" autoFill="0" autoLine="0" autoPict="0">
            <anchor moveWithCells="1">
              <from>
                <xdr:col>14</xdr:col>
                <xdr:colOff>9525</xdr:colOff>
                <xdr:row>7</xdr:row>
                <xdr:rowOff>19050</xdr:rowOff>
              </from>
              <to>
                <xdr:col>14</xdr:col>
                <xdr:colOff>600075</xdr:colOff>
                <xdr:row>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5" r:id="rId13" name="Option Button 51">
          <controlPr defaultSize="0" autoFill="0" autoLine="0" autoPict="0">
            <anchor moveWithCells="1">
              <from>
                <xdr:col>13</xdr:col>
                <xdr:colOff>38100</xdr:colOff>
                <xdr:row>9</xdr:row>
                <xdr:rowOff>19050</xdr:rowOff>
              </from>
              <to>
                <xdr:col>13</xdr:col>
                <xdr:colOff>600075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6" r:id="rId14" name="Option Button 52">
          <controlPr defaultSize="0" autoFill="0" autoLine="0" autoPict="0">
            <anchor moveWithCells="1">
              <from>
                <xdr:col>14</xdr:col>
                <xdr:colOff>9525</xdr:colOff>
                <xdr:row>9</xdr:row>
                <xdr:rowOff>19050</xdr:rowOff>
              </from>
              <to>
                <xdr:col>14</xdr:col>
                <xdr:colOff>600075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7" r:id="rId15" name="Option Button 53">
          <controlPr defaultSize="0" autoFill="0" autoLine="0" autoPict="0">
            <anchor moveWithCells="1">
              <from>
                <xdr:col>13</xdr:col>
                <xdr:colOff>38100</xdr:colOff>
                <xdr:row>11</xdr:row>
                <xdr:rowOff>19050</xdr:rowOff>
              </from>
              <to>
                <xdr:col>13</xdr:col>
                <xdr:colOff>600075</xdr:colOff>
                <xdr:row>11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8" r:id="rId16" name="Option Button 54">
          <controlPr defaultSize="0" autoFill="0" autoLine="0" autoPict="0">
            <anchor moveWithCells="1">
              <from>
                <xdr:col>14</xdr:col>
                <xdr:colOff>9525</xdr:colOff>
                <xdr:row>11</xdr:row>
                <xdr:rowOff>19050</xdr:rowOff>
              </from>
              <to>
                <xdr:col>14</xdr:col>
                <xdr:colOff>600075</xdr:colOff>
                <xdr:row>11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9" r:id="rId17" name="Option Button 55">
          <controlPr defaultSize="0" autoFill="0" autoLine="0" autoPict="0">
            <anchor moveWithCells="1">
              <from>
                <xdr:col>13</xdr:col>
                <xdr:colOff>38100</xdr:colOff>
                <xdr:row>13</xdr:row>
                <xdr:rowOff>19050</xdr:rowOff>
              </from>
              <to>
                <xdr:col>13</xdr:col>
                <xdr:colOff>600075</xdr:colOff>
                <xdr:row>13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0" r:id="rId18" name="Option Button 56">
          <controlPr defaultSize="0" autoFill="0" autoLine="0" autoPict="0">
            <anchor moveWithCells="1">
              <from>
                <xdr:col>14</xdr:col>
                <xdr:colOff>9525</xdr:colOff>
                <xdr:row>13</xdr:row>
                <xdr:rowOff>19050</xdr:rowOff>
              </from>
              <to>
                <xdr:col>14</xdr:col>
                <xdr:colOff>600075</xdr:colOff>
                <xdr:row>13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1" r:id="rId19" name="Option Button 57">
          <controlPr defaultSize="0" autoFill="0" autoLine="0" autoPict="0">
            <anchor moveWithCells="1">
              <from>
                <xdr:col>13</xdr:col>
                <xdr:colOff>38100</xdr:colOff>
                <xdr:row>15</xdr:row>
                <xdr:rowOff>19050</xdr:rowOff>
              </from>
              <to>
                <xdr:col>13</xdr:col>
                <xdr:colOff>600075</xdr:colOff>
                <xdr:row>15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2" r:id="rId20" name="Option Button 58">
          <controlPr defaultSize="0" autoFill="0" autoLine="0" autoPict="0">
            <anchor moveWithCells="1">
              <from>
                <xdr:col>14</xdr:col>
                <xdr:colOff>9525</xdr:colOff>
                <xdr:row>15</xdr:row>
                <xdr:rowOff>19050</xdr:rowOff>
              </from>
              <to>
                <xdr:col>14</xdr:col>
                <xdr:colOff>600075</xdr:colOff>
                <xdr:row>15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3" r:id="rId21" name="Option Button 59">
          <controlPr defaultSize="0" autoFill="0" autoLine="0" autoPict="0">
            <anchor moveWithCells="1">
              <from>
                <xdr:col>13</xdr:col>
                <xdr:colOff>38100</xdr:colOff>
                <xdr:row>17</xdr:row>
                <xdr:rowOff>19050</xdr:rowOff>
              </from>
              <to>
                <xdr:col>13</xdr:col>
                <xdr:colOff>600075</xdr:colOff>
                <xdr:row>17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4" r:id="rId22" name="Option Button 60">
          <controlPr defaultSize="0" autoFill="0" autoLine="0" autoPict="0">
            <anchor moveWithCells="1">
              <from>
                <xdr:col>14</xdr:col>
                <xdr:colOff>9525</xdr:colOff>
                <xdr:row>17</xdr:row>
                <xdr:rowOff>19050</xdr:rowOff>
              </from>
              <to>
                <xdr:col>14</xdr:col>
                <xdr:colOff>600075</xdr:colOff>
                <xdr:row>17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2" r:id="rId23" name="Check Box 68">
          <controlPr defaultSize="0" autoFill="0" autoLine="0" autoPict="0">
            <anchor moveWithCells="1">
              <from>
                <xdr:col>7</xdr:col>
                <xdr:colOff>190500</xdr:colOff>
                <xdr:row>21</xdr:row>
                <xdr:rowOff>28575</xdr:rowOff>
              </from>
              <to>
                <xdr:col>11</xdr:col>
                <xdr:colOff>352425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3" r:id="rId24" name="Group Box 69">
          <controlPr defaultSize="0" autoFill="0" autoPict="0">
            <anchor moveWithCells="1">
              <from>
                <xdr:col>34</xdr:col>
                <xdr:colOff>238125</xdr:colOff>
                <xdr:row>33</xdr:row>
                <xdr:rowOff>47625</xdr:rowOff>
              </from>
              <to>
                <xdr:col>36</xdr:col>
                <xdr:colOff>400050</xdr:colOff>
                <xdr:row>37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4" r:id="rId25" name="Option Button 70">
          <controlPr defaultSize="0" autoFill="0" autoLine="0" autoPict="0">
            <anchor moveWithCells="1">
              <from>
                <xdr:col>34</xdr:col>
                <xdr:colOff>323850</xdr:colOff>
                <xdr:row>33</xdr:row>
                <xdr:rowOff>66675</xdr:rowOff>
              </from>
              <to>
                <xdr:col>36</xdr:col>
                <xdr:colOff>323850</xdr:colOff>
                <xdr:row>34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5" r:id="rId26" name="Option Button 71">
          <controlPr defaultSize="0" autoFill="0" autoLine="0" autoPict="0">
            <anchor moveWithCells="1">
              <from>
                <xdr:col>34</xdr:col>
                <xdr:colOff>323850</xdr:colOff>
                <xdr:row>33</xdr:row>
                <xdr:rowOff>257175</xdr:rowOff>
              </from>
              <to>
                <xdr:col>36</xdr:col>
                <xdr:colOff>295275</xdr:colOff>
                <xdr:row>35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7" r:id="rId27" name="Option Button 73">
          <controlPr defaultSize="0" autoFill="0" autoLine="0" autoPict="0">
            <anchor moveWithCells="1">
              <from>
                <xdr:col>34</xdr:col>
                <xdr:colOff>323850</xdr:colOff>
                <xdr:row>35</xdr:row>
                <xdr:rowOff>104775</xdr:rowOff>
              </from>
              <to>
                <xdr:col>36</xdr:col>
                <xdr:colOff>171450</xdr:colOff>
                <xdr:row>37</xdr:row>
                <xdr:rowOff>57150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E4E8F-A305-437E-BA19-9CD19185B190}">
  <sheetPr codeName="Sheet25"/>
  <dimension ref="B1:AC75"/>
  <sheetViews>
    <sheetView showGridLines="0" showRowColHeaders="0" zoomScaleNormal="100" workbookViewId="0">
      <selection activeCell="M8" sqref="M8:O8"/>
    </sheetView>
  </sheetViews>
  <sheetFormatPr defaultColWidth="9.140625" defaultRowHeight="15" x14ac:dyDescent="0.25"/>
  <cols>
    <col min="1" max="1" width="2.85546875" customWidth="1"/>
    <col min="2" max="2" width="1.42578125" customWidth="1"/>
    <col min="9" max="9" width="8.140625" customWidth="1"/>
    <col min="10" max="10" width="8.5703125" customWidth="1"/>
    <col min="11" max="11" width="8.42578125" customWidth="1"/>
    <col min="12" max="12" width="2.140625" customWidth="1"/>
    <col min="14" max="14" width="13.42578125" customWidth="1"/>
    <col min="15" max="15" width="18.7109375" customWidth="1"/>
    <col min="16" max="16" width="2.85546875" customWidth="1"/>
    <col min="20" max="20" width="8.140625" customWidth="1"/>
    <col min="25" max="25" width="2.28515625" customWidth="1"/>
    <col min="29" max="29" width="2.140625" customWidth="1"/>
  </cols>
  <sheetData>
    <row r="1" spans="2:29" ht="11.25" customHeight="1" x14ac:dyDescent="0.25"/>
    <row r="2" spans="2:29" ht="22.5" customHeight="1" x14ac:dyDescent="0.35">
      <c r="H2" s="204" t="s">
        <v>1065</v>
      </c>
    </row>
    <row r="3" spans="2:29" ht="15" customHeight="1" thickBot="1" x14ac:dyDescent="0.3"/>
    <row r="4" spans="2:29" ht="23.25" x14ac:dyDescent="0.35">
      <c r="B4" s="1379" t="s">
        <v>1066</v>
      </c>
      <c r="C4" s="1380"/>
      <c r="D4" s="1380"/>
      <c r="E4" s="1380"/>
      <c r="F4" s="1380"/>
      <c r="G4" s="1380"/>
      <c r="H4" s="1380"/>
      <c r="I4" s="1380"/>
      <c r="J4" s="1380"/>
      <c r="K4" s="1380"/>
      <c r="L4" s="1380"/>
      <c r="M4" s="1380"/>
      <c r="N4" s="1380"/>
      <c r="O4" s="1380"/>
      <c r="P4" s="1380"/>
      <c r="Q4" s="1380"/>
      <c r="R4" s="1380"/>
      <c r="S4" s="1380"/>
      <c r="T4" s="1380"/>
      <c r="U4" s="1380"/>
      <c r="V4" s="1380"/>
      <c r="W4" s="1380"/>
      <c r="X4" s="1381"/>
      <c r="Y4" s="204"/>
      <c r="Z4" s="204"/>
      <c r="AA4" s="204"/>
      <c r="AB4" s="204"/>
      <c r="AC4" s="204"/>
    </row>
    <row r="5" spans="2:29" ht="7.5" customHeight="1" x14ac:dyDescent="0.25">
      <c r="B5" s="11"/>
      <c r="X5" s="4"/>
    </row>
    <row r="6" spans="2:29" ht="19.5" customHeight="1" x14ac:dyDescent="0.3">
      <c r="B6" s="11"/>
      <c r="C6" s="285" t="s">
        <v>968</v>
      </c>
      <c r="D6" s="286"/>
      <c r="E6" s="286"/>
      <c r="F6" s="286"/>
      <c r="G6" s="286"/>
      <c r="H6" s="286"/>
      <c r="I6" s="286"/>
      <c r="J6" s="287" t="s">
        <v>177</v>
      </c>
      <c r="K6" s="287" t="s">
        <v>178</v>
      </c>
      <c r="L6" s="229"/>
      <c r="M6" s="287" t="s">
        <v>746</v>
      </c>
      <c r="N6" s="286"/>
      <c r="O6" s="288"/>
      <c r="Q6" s="217" t="s">
        <v>971</v>
      </c>
      <c r="X6" s="4"/>
    </row>
    <row r="7" spans="2:29" ht="3.75" customHeight="1" x14ac:dyDescent="0.25">
      <c r="B7" s="11"/>
      <c r="C7" s="217"/>
      <c r="X7" s="4"/>
    </row>
    <row r="8" spans="2:29" ht="19.5" customHeight="1" x14ac:dyDescent="0.25">
      <c r="B8" s="11"/>
      <c r="C8" s="241" t="s">
        <v>959</v>
      </c>
      <c r="M8" s="1269"/>
      <c r="N8" s="1270"/>
      <c r="O8" s="1271"/>
      <c r="X8" s="4"/>
    </row>
    <row r="9" spans="2:29" ht="3.75" customHeight="1" x14ac:dyDescent="0.25">
      <c r="B9" s="11"/>
      <c r="C9" s="217"/>
      <c r="X9" s="4"/>
    </row>
    <row r="10" spans="2:29" ht="19.5" customHeight="1" x14ac:dyDescent="0.25">
      <c r="B10" s="11"/>
      <c r="C10" s="241" t="s">
        <v>778</v>
      </c>
      <c r="M10" s="1269"/>
      <c r="N10" s="1270"/>
      <c r="O10" s="1271"/>
      <c r="X10" s="4"/>
    </row>
    <row r="11" spans="2:29" ht="3.75" customHeight="1" x14ac:dyDescent="0.25">
      <c r="B11" s="11"/>
      <c r="C11" s="217"/>
      <c r="X11" s="4"/>
    </row>
    <row r="12" spans="2:29" ht="19.5" customHeight="1" x14ac:dyDescent="0.25">
      <c r="B12" s="11"/>
      <c r="C12" s="241" t="s">
        <v>970</v>
      </c>
      <c r="M12" s="1269"/>
      <c r="N12" s="1270"/>
      <c r="O12" s="1271"/>
      <c r="X12" s="4"/>
    </row>
    <row r="13" spans="2:29" ht="3.75" customHeight="1" x14ac:dyDescent="0.25">
      <c r="B13" s="11"/>
      <c r="C13" s="217"/>
      <c r="X13" s="4"/>
    </row>
    <row r="14" spans="2:29" ht="19.5" customHeight="1" x14ac:dyDescent="0.25">
      <c r="B14" s="11"/>
      <c r="C14" s="241" t="s">
        <v>956</v>
      </c>
      <c r="M14" s="1269"/>
      <c r="N14" s="1270"/>
      <c r="O14" s="1271"/>
      <c r="X14" s="4"/>
    </row>
    <row r="15" spans="2:29" ht="3.75" customHeight="1" x14ac:dyDescent="0.25">
      <c r="B15" s="11"/>
      <c r="C15" s="217"/>
      <c r="X15" s="4"/>
    </row>
    <row r="16" spans="2:29" ht="19.5" customHeight="1" x14ac:dyDescent="0.25">
      <c r="B16" s="11"/>
      <c r="C16" s="241" t="s">
        <v>955</v>
      </c>
      <c r="M16" s="1269"/>
      <c r="N16" s="1270"/>
      <c r="O16" s="1271"/>
      <c r="X16" s="4"/>
    </row>
    <row r="17" spans="2:24" ht="3.75" customHeight="1" x14ac:dyDescent="0.25">
      <c r="B17" s="11"/>
      <c r="X17" s="4"/>
    </row>
    <row r="18" spans="2:24" ht="19.5" customHeight="1" x14ac:dyDescent="0.25">
      <c r="B18" s="11"/>
      <c r="C18" s="241" t="s">
        <v>962</v>
      </c>
      <c r="M18" s="1269"/>
      <c r="N18" s="1270"/>
      <c r="O18" s="1271"/>
      <c r="X18" s="4"/>
    </row>
    <row r="19" spans="2:24" ht="3.75" customHeight="1" x14ac:dyDescent="0.25">
      <c r="B19" s="11"/>
      <c r="X19" s="4"/>
    </row>
    <row r="20" spans="2:24" ht="19.5" customHeight="1" x14ac:dyDescent="0.25">
      <c r="B20" s="11"/>
      <c r="C20" s="241" t="s">
        <v>964</v>
      </c>
      <c r="M20" s="1269"/>
      <c r="N20" s="1270"/>
      <c r="O20" s="1271"/>
      <c r="X20" s="4"/>
    </row>
    <row r="21" spans="2:24" ht="3.75" customHeight="1" x14ac:dyDescent="0.25">
      <c r="B21" s="11"/>
      <c r="X21" s="4"/>
    </row>
    <row r="22" spans="2:24" ht="19.5" customHeight="1" x14ac:dyDescent="0.25">
      <c r="B22" s="11"/>
      <c r="C22" s="241" t="s">
        <v>1067</v>
      </c>
      <c r="M22" s="1269"/>
      <c r="N22" s="1270"/>
      <c r="O22" s="1271"/>
      <c r="X22" s="4"/>
    </row>
    <row r="23" spans="2:24" ht="3.75" customHeight="1" x14ac:dyDescent="0.25">
      <c r="B23" s="11"/>
      <c r="X23" s="4"/>
    </row>
    <row r="24" spans="2:24" ht="18.75" customHeight="1" x14ac:dyDescent="0.25">
      <c r="B24" s="11"/>
      <c r="C24" s="241" t="s">
        <v>963</v>
      </c>
      <c r="M24" s="1269"/>
      <c r="N24" s="1270"/>
      <c r="O24" s="1271"/>
      <c r="X24" s="4"/>
    </row>
    <row r="25" spans="2:24" ht="3.75" customHeight="1" x14ac:dyDescent="0.25">
      <c r="B25" s="11"/>
      <c r="C25" s="217"/>
      <c r="X25" s="4"/>
    </row>
    <row r="26" spans="2:24" ht="19.5" customHeight="1" x14ac:dyDescent="0.3">
      <c r="B26" s="11"/>
      <c r="C26" s="285" t="s">
        <v>969</v>
      </c>
      <c r="D26" s="286"/>
      <c r="E26" s="286"/>
      <c r="F26" s="286"/>
      <c r="G26" s="286"/>
      <c r="H26" s="286"/>
      <c r="I26" s="287"/>
      <c r="J26" s="287" t="s">
        <v>177</v>
      </c>
      <c r="K26" s="287" t="s">
        <v>178</v>
      </c>
      <c r="L26" s="284"/>
      <c r="M26" s="287" t="s">
        <v>746</v>
      </c>
      <c r="N26" s="286"/>
      <c r="O26" s="288"/>
      <c r="X26" s="4"/>
    </row>
    <row r="27" spans="2:24" ht="3.75" customHeight="1" x14ac:dyDescent="0.3">
      <c r="B27" s="11"/>
      <c r="I27" s="32"/>
      <c r="J27" s="32"/>
      <c r="K27" s="32"/>
      <c r="L27" s="32"/>
      <c r="M27" s="32"/>
      <c r="X27" s="4"/>
    </row>
    <row r="28" spans="2:24" ht="18.75" customHeight="1" x14ac:dyDescent="0.25">
      <c r="B28" s="11"/>
      <c r="C28" s="241" t="s">
        <v>776</v>
      </c>
      <c r="M28" s="1269"/>
      <c r="N28" s="1270"/>
      <c r="O28" s="1271"/>
      <c r="X28" s="4"/>
    </row>
    <row r="29" spans="2:24" ht="3.75" customHeight="1" x14ac:dyDescent="0.25">
      <c r="B29" s="11"/>
      <c r="C29" s="217"/>
      <c r="X29" s="4"/>
    </row>
    <row r="30" spans="2:24" ht="19.5" customHeight="1" x14ac:dyDescent="0.25">
      <c r="B30" s="11"/>
      <c r="C30" s="241" t="s">
        <v>966</v>
      </c>
      <c r="M30" s="1269"/>
      <c r="N30" s="1270"/>
      <c r="O30" s="1271"/>
      <c r="X30" s="4"/>
    </row>
    <row r="31" spans="2:24" ht="3.75" customHeight="1" x14ac:dyDescent="0.25">
      <c r="B31" s="11"/>
      <c r="C31" s="217"/>
      <c r="X31" s="4"/>
    </row>
    <row r="32" spans="2:24" ht="19.5" customHeight="1" x14ac:dyDescent="0.25">
      <c r="B32" s="11"/>
      <c r="C32" s="241" t="s">
        <v>784</v>
      </c>
      <c r="M32" s="1269"/>
      <c r="N32" s="1270"/>
      <c r="O32" s="1271"/>
      <c r="X32" s="4"/>
    </row>
    <row r="33" spans="2:24" ht="3.75" customHeight="1" x14ac:dyDescent="0.25">
      <c r="B33" s="11"/>
      <c r="C33" s="217"/>
      <c r="X33" s="4"/>
    </row>
    <row r="34" spans="2:24" ht="19.5" customHeight="1" x14ac:dyDescent="0.25">
      <c r="B34" s="11"/>
      <c r="C34" s="241" t="s">
        <v>967</v>
      </c>
      <c r="M34" s="1269"/>
      <c r="N34" s="1270"/>
      <c r="O34" s="1271"/>
      <c r="X34" s="4"/>
    </row>
    <row r="35" spans="2:24" ht="3" customHeight="1" x14ac:dyDescent="0.25">
      <c r="B35" s="11"/>
      <c r="C35" s="217"/>
      <c r="X35" s="4"/>
    </row>
    <row r="36" spans="2:24" ht="19.5" customHeight="1" x14ac:dyDescent="0.3">
      <c r="B36" s="11"/>
      <c r="C36" s="285" t="s">
        <v>785</v>
      </c>
      <c r="D36" s="286"/>
      <c r="E36" s="286"/>
      <c r="F36" s="286"/>
      <c r="G36" s="286"/>
      <c r="H36" s="286"/>
      <c r="I36" s="286"/>
      <c r="J36" s="287" t="s">
        <v>177</v>
      </c>
      <c r="K36" s="289" t="s">
        <v>178</v>
      </c>
      <c r="L36" s="32"/>
      <c r="M36" s="285" t="s">
        <v>746</v>
      </c>
      <c r="N36" s="286"/>
      <c r="O36" s="288"/>
      <c r="X36" s="4"/>
    </row>
    <row r="37" spans="2:24" ht="3" customHeight="1" x14ac:dyDescent="0.25">
      <c r="B37" s="11"/>
      <c r="X37" s="4"/>
    </row>
    <row r="38" spans="2:24" ht="19.5" customHeight="1" x14ac:dyDescent="0.25">
      <c r="B38" s="11"/>
      <c r="C38" s="241" t="s">
        <v>960</v>
      </c>
      <c r="M38" s="1269"/>
      <c r="N38" s="1270"/>
      <c r="O38" s="1271"/>
      <c r="X38" s="4"/>
    </row>
    <row r="39" spans="2:24" ht="3.75" customHeight="1" x14ac:dyDescent="0.25">
      <c r="B39" s="11"/>
      <c r="X39" s="4"/>
    </row>
    <row r="40" spans="2:24" ht="18.75" customHeight="1" x14ac:dyDescent="0.25">
      <c r="B40" s="11"/>
      <c r="C40" s="241" t="s">
        <v>957</v>
      </c>
      <c r="M40" s="1269"/>
      <c r="N40" s="1270"/>
      <c r="O40" s="1271"/>
      <c r="X40" s="4"/>
    </row>
    <row r="41" spans="2:24" ht="3.75" customHeight="1" x14ac:dyDescent="0.25">
      <c r="B41" s="11"/>
      <c r="X41" s="4"/>
    </row>
    <row r="42" spans="2:24" ht="18.75" customHeight="1" x14ac:dyDescent="0.3">
      <c r="B42" s="11"/>
      <c r="C42" s="285" t="s">
        <v>1059</v>
      </c>
      <c r="D42" s="290"/>
      <c r="E42" s="286"/>
      <c r="F42" s="286"/>
      <c r="G42" s="286"/>
      <c r="H42" s="286"/>
      <c r="I42" s="286"/>
      <c r="J42" s="287" t="s">
        <v>177</v>
      </c>
      <c r="K42" s="287" t="s">
        <v>178</v>
      </c>
      <c r="M42" s="285" t="s">
        <v>746</v>
      </c>
      <c r="N42" s="286"/>
      <c r="O42" s="288"/>
      <c r="X42" s="4"/>
    </row>
    <row r="43" spans="2:24" ht="3.75" customHeight="1" x14ac:dyDescent="0.25">
      <c r="B43" s="11"/>
      <c r="X43" s="4"/>
    </row>
    <row r="44" spans="2:24" ht="18.75" customHeight="1" x14ac:dyDescent="0.25">
      <c r="B44" s="11"/>
      <c r="C44" s="241" t="s">
        <v>880</v>
      </c>
      <c r="M44" s="1376"/>
      <c r="N44" s="1377"/>
      <c r="O44" s="1378"/>
      <c r="P44" s="2"/>
      <c r="X44" s="4"/>
    </row>
    <row r="45" spans="2:24" ht="3.75" customHeight="1" x14ac:dyDescent="0.25">
      <c r="B45" s="11"/>
      <c r="X45" s="4"/>
    </row>
    <row r="46" spans="2:24" ht="18.75" customHeight="1" x14ac:dyDescent="0.25">
      <c r="B46" s="11"/>
      <c r="C46" s="241" t="s">
        <v>954</v>
      </c>
      <c r="M46" s="1376"/>
      <c r="N46" s="1377"/>
      <c r="O46" s="1378"/>
      <c r="P46" s="2"/>
      <c r="X46" s="4"/>
    </row>
    <row r="47" spans="2:24" ht="3.75" customHeight="1" x14ac:dyDescent="0.25">
      <c r="B47" s="11"/>
      <c r="X47" s="4"/>
    </row>
    <row r="48" spans="2:24" ht="18.75" customHeight="1" x14ac:dyDescent="0.25">
      <c r="B48" s="11"/>
      <c r="C48" s="241" t="s">
        <v>774</v>
      </c>
      <c r="M48" s="1376"/>
      <c r="N48" s="1377"/>
      <c r="O48" s="1378"/>
      <c r="P48" s="2"/>
      <c r="X48" s="4"/>
    </row>
    <row r="49" spans="2:24" ht="3.75" customHeight="1" x14ac:dyDescent="0.25">
      <c r="B49" s="11"/>
      <c r="X49" s="4"/>
    </row>
    <row r="50" spans="2:24" ht="18.75" customHeight="1" x14ac:dyDescent="0.25">
      <c r="B50" s="11"/>
      <c r="C50" s="241" t="s">
        <v>775</v>
      </c>
      <c r="M50" s="1376"/>
      <c r="N50" s="1377"/>
      <c r="O50" s="1378"/>
      <c r="P50" s="2"/>
      <c r="X50" s="4"/>
    </row>
    <row r="51" spans="2:24" ht="3.75" customHeight="1" x14ac:dyDescent="0.25">
      <c r="B51" s="11"/>
      <c r="X51" s="4"/>
    </row>
    <row r="52" spans="2:24" ht="18.75" customHeight="1" x14ac:dyDescent="0.25">
      <c r="B52" s="11"/>
      <c r="C52" s="241" t="s">
        <v>777</v>
      </c>
      <c r="M52" s="1376"/>
      <c r="N52" s="1377"/>
      <c r="O52" s="1378"/>
      <c r="P52" s="2"/>
      <c r="X52" s="4"/>
    </row>
    <row r="53" spans="2:24" ht="3.75" customHeight="1" x14ac:dyDescent="0.25">
      <c r="B53" s="11"/>
      <c r="X53" s="4"/>
    </row>
    <row r="54" spans="2:24" ht="18.75" customHeight="1" x14ac:dyDescent="0.25">
      <c r="B54" s="11"/>
      <c r="C54" s="241" t="s">
        <v>779</v>
      </c>
      <c r="M54" s="1376"/>
      <c r="N54" s="1377"/>
      <c r="O54" s="1378"/>
      <c r="P54" s="2"/>
      <c r="X54" s="4"/>
    </row>
    <row r="55" spans="2:24" ht="3.75" customHeight="1" x14ac:dyDescent="0.25">
      <c r="B55" s="11"/>
      <c r="X55" s="4"/>
    </row>
    <row r="56" spans="2:24" ht="18.75" customHeight="1" x14ac:dyDescent="0.25">
      <c r="B56" s="11"/>
      <c r="C56" s="241" t="s">
        <v>802</v>
      </c>
      <c r="M56" s="1376"/>
      <c r="N56" s="1377"/>
      <c r="O56" s="1378"/>
      <c r="P56" s="2"/>
      <c r="X56" s="4"/>
    </row>
    <row r="57" spans="2:24" ht="3.75" customHeight="1" x14ac:dyDescent="0.25">
      <c r="B57" s="11"/>
      <c r="X57" s="4"/>
    </row>
    <row r="58" spans="2:24" ht="18.75" customHeight="1" x14ac:dyDescent="0.25">
      <c r="B58" s="11"/>
      <c r="C58" s="241" t="s">
        <v>780</v>
      </c>
      <c r="M58" s="1376"/>
      <c r="N58" s="1377"/>
      <c r="O58" s="1378"/>
      <c r="P58" s="2"/>
      <c r="X58" s="4"/>
    </row>
    <row r="59" spans="2:24" ht="3.75" customHeight="1" x14ac:dyDescent="0.25">
      <c r="B59" s="11"/>
      <c r="X59" s="4"/>
    </row>
    <row r="60" spans="2:24" ht="18.75" customHeight="1" x14ac:dyDescent="0.25">
      <c r="B60" s="11"/>
      <c r="C60" s="241" t="s">
        <v>781</v>
      </c>
      <c r="M60" s="1376"/>
      <c r="N60" s="1377"/>
      <c r="O60" s="1378"/>
      <c r="P60" s="2"/>
      <c r="X60" s="4"/>
    </row>
    <row r="61" spans="2:24" ht="3.75" customHeight="1" x14ac:dyDescent="0.25">
      <c r="B61" s="11"/>
      <c r="X61" s="4"/>
    </row>
    <row r="62" spans="2:24" ht="18.75" customHeight="1" x14ac:dyDescent="0.25">
      <c r="B62" s="11"/>
      <c r="C62" s="241" t="s">
        <v>782</v>
      </c>
      <c r="M62" s="1376"/>
      <c r="N62" s="1377"/>
      <c r="O62" s="1378"/>
      <c r="P62" s="2"/>
      <c r="X62" s="4"/>
    </row>
    <row r="63" spans="2:24" ht="3.75" customHeight="1" x14ac:dyDescent="0.25">
      <c r="B63" s="11"/>
      <c r="X63" s="4"/>
    </row>
    <row r="64" spans="2:24" ht="18.75" customHeight="1" x14ac:dyDescent="0.25">
      <c r="B64" s="11"/>
      <c r="C64" s="241" t="s">
        <v>1546</v>
      </c>
      <c r="M64" s="1376"/>
      <c r="N64" s="1377"/>
      <c r="O64" s="1378"/>
      <c r="P64" s="2"/>
      <c r="X64" s="4"/>
    </row>
    <row r="65" spans="2:24" ht="3.75" customHeight="1" x14ac:dyDescent="0.25">
      <c r="B65" s="11"/>
      <c r="X65" s="4"/>
    </row>
    <row r="66" spans="2:24" ht="18.75" customHeight="1" x14ac:dyDescent="0.25">
      <c r="B66" s="11"/>
      <c r="C66" s="241" t="s">
        <v>1547</v>
      </c>
      <c r="M66" s="1376"/>
      <c r="N66" s="1377"/>
      <c r="O66" s="1378"/>
      <c r="P66" s="2"/>
      <c r="X66" s="4"/>
    </row>
    <row r="67" spans="2:24" ht="3.75" customHeight="1" x14ac:dyDescent="0.25">
      <c r="B67" s="11"/>
      <c r="X67" s="4"/>
    </row>
    <row r="68" spans="2:24" ht="18.75" customHeight="1" x14ac:dyDescent="0.25">
      <c r="B68" s="11"/>
      <c r="C68" s="241" t="s">
        <v>881</v>
      </c>
      <c r="M68" s="1376"/>
      <c r="N68" s="1377"/>
      <c r="O68" s="1378"/>
      <c r="P68" s="2"/>
      <c r="X68" s="4"/>
    </row>
    <row r="69" spans="2:24" ht="3.75" customHeight="1" x14ac:dyDescent="0.25">
      <c r="B69" s="11"/>
      <c r="X69" s="4"/>
    </row>
    <row r="70" spans="2:24" ht="18.75" customHeight="1" x14ac:dyDescent="0.25">
      <c r="B70" s="11"/>
      <c r="C70" s="241" t="s">
        <v>958</v>
      </c>
      <c r="M70" s="1376"/>
      <c r="N70" s="1377"/>
      <c r="O70" s="1378"/>
      <c r="P70" s="2"/>
      <c r="X70" s="4"/>
    </row>
    <row r="71" spans="2:24" ht="3.75" customHeight="1" x14ac:dyDescent="0.25">
      <c r="B71" s="11"/>
      <c r="X71" s="4"/>
    </row>
    <row r="72" spans="2:24" ht="18.75" customHeight="1" x14ac:dyDescent="0.25">
      <c r="B72" s="11"/>
      <c r="C72" s="241" t="s">
        <v>961</v>
      </c>
      <c r="M72" s="1376"/>
      <c r="N72" s="1377"/>
      <c r="O72" s="1378"/>
      <c r="P72" s="2"/>
      <c r="X72" s="4"/>
    </row>
    <row r="73" spans="2:24" ht="3.75" customHeight="1" x14ac:dyDescent="0.25">
      <c r="B73" s="11"/>
      <c r="X73" s="4"/>
    </row>
    <row r="74" spans="2:24" ht="18.75" customHeight="1" x14ac:dyDescent="0.25">
      <c r="B74" s="11"/>
      <c r="C74" s="241" t="s">
        <v>786</v>
      </c>
      <c r="M74" s="1376"/>
      <c r="N74" s="1377"/>
      <c r="O74" s="1378"/>
      <c r="P74" s="2"/>
      <c r="X74" s="4"/>
    </row>
    <row r="75" spans="2:24" ht="7.5" customHeight="1" thickBot="1" x14ac:dyDescent="0.3">
      <c r="B75" s="12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6"/>
    </row>
  </sheetData>
  <sheetProtection sheet="1" selectLockedCells="1"/>
  <mergeCells count="32">
    <mergeCell ref="M54:O54"/>
    <mergeCell ref="M52:O52"/>
    <mergeCell ref="M50:O50"/>
    <mergeCell ref="M32:O32"/>
    <mergeCell ref="M40:O40"/>
    <mergeCell ref="M34:O34"/>
    <mergeCell ref="M38:O38"/>
    <mergeCell ref="B4:X4"/>
    <mergeCell ref="M24:O24"/>
    <mergeCell ref="M22:O22"/>
    <mergeCell ref="M20:O20"/>
    <mergeCell ref="M14:O14"/>
    <mergeCell ref="M16:O16"/>
    <mergeCell ref="M18:O18"/>
    <mergeCell ref="M12:O12"/>
    <mergeCell ref="M28:O28"/>
    <mergeCell ref="M10:O10"/>
    <mergeCell ref="M8:O8"/>
    <mergeCell ref="M48:O48"/>
    <mergeCell ref="M46:O46"/>
    <mergeCell ref="M44:O44"/>
    <mergeCell ref="M30:O30"/>
    <mergeCell ref="M74:O74"/>
    <mergeCell ref="M72:O72"/>
    <mergeCell ref="M70:O70"/>
    <mergeCell ref="M68:O68"/>
    <mergeCell ref="M66:O66"/>
    <mergeCell ref="M64:O64"/>
    <mergeCell ref="M62:O62"/>
    <mergeCell ref="M60:O60"/>
    <mergeCell ref="M58:O58"/>
    <mergeCell ref="M56:O5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539" r:id="rId3" name="TextBox1">
          <controlPr defaultSize="0" autoLine="0" autoPict="0" linkedCell="Unformatted!E766" r:id="rId4">
            <anchor moveWithCells="1">
              <from>
                <xdr:col>16</xdr:col>
                <xdr:colOff>9525</xdr:colOff>
                <xdr:row>7</xdr:row>
                <xdr:rowOff>19050</xdr:rowOff>
              </from>
              <to>
                <xdr:col>23</xdr:col>
                <xdr:colOff>476250</xdr:colOff>
                <xdr:row>35</xdr:row>
                <xdr:rowOff>0</xdr:rowOff>
              </to>
            </anchor>
          </controlPr>
        </control>
      </mc:Choice>
      <mc:Fallback>
        <control shapeId="103539" r:id="rId3" name="TextBox1"/>
      </mc:Fallback>
    </mc:AlternateContent>
    <mc:AlternateContent xmlns:mc="http://schemas.openxmlformats.org/markup-compatibility/2006">
      <mc:Choice Requires="x14">
        <control shapeId="103429" r:id="rId5" name="Group Box 5">
          <controlPr defaultSize="0" autoFill="0" autoPict="0">
            <anchor moveWithCells="1">
              <from>
                <xdr:col>2</xdr:col>
                <xdr:colOff>0</xdr:colOff>
                <xdr:row>27</xdr:row>
                <xdr:rowOff>0</xdr:rowOff>
              </from>
              <to>
                <xdr:col>11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30" r:id="rId6" name="Group Box 6">
          <controlPr defaultSize="0" autoFill="0" autoPict="0">
            <anchor moveWithCells="1">
              <from>
                <xdr:col>2</xdr:col>
                <xdr:colOff>0</xdr:colOff>
                <xdr:row>9</xdr:row>
                <xdr:rowOff>0</xdr:rowOff>
              </from>
              <to>
                <xdr:col>11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31" r:id="rId7" name="Group Box 7">
          <controlPr defaultSize="0" autoFill="0" autoPict="0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11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32" r:id="rId8" name="Group Box 8">
          <controlPr defaultSize="0" autoFill="0" autoPict="0">
            <anchor moveWithCells="1">
              <from>
                <xdr:col>2</xdr:col>
                <xdr:colOff>0</xdr:colOff>
                <xdr:row>13</xdr:row>
                <xdr:rowOff>0</xdr:rowOff>
              </from>
              <to>
                <xdr:col>11</xdr:col>
                <xdr:colOff>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33" r:id="rId9" name="Group Box 9">
          <controlPr defaultSize="0" autoFill="0" autoPict="0">
            <anchor moveWithCells="1">
              <from>
                <xdr:col>2</xdr:col>
                <xdr:colOff>0</xdr:colOff>
                <xdr:row>15</xdr:row>
                <xdr:rowOff>0</xdr:rowOff>
              </from>
              <to>
                <xdr:col>11</xdr:col>
                <xdr:colOff>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34" r:id="rId10" name="Group Box 10">
          <controlPr defaultSize="0" autoFill="0" autoPict="0">
            <anchor moveWithCells="1">
              <from>
                <xdr:col>2</xdr:col>
                <xdr:colOff>0</xdr:colOff>
                <xdr:row>29</xdr:row>
                <xdr:rowOff>0</xdr:rowOff>
              </from>
              <to>
                <xdr:col>11</xdr:col>
                <xdr:colOff>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35" r:id="rId11" name="Group Box 11">
          <controlPr defaultSize="0" autoFill="0" autoPict="0">
            <anchor moveWithCells="1">
              <from>
                <xdr:col>2</xdr:col>
                <xdr:colOff>0</xdr:colOff>
                <xdr:row>31</xdr:row>
                <xdr:rowOff>0</xdr:rowOff>
              </from>
              <to>
                <xdr:col>11</xdr:col>
                <xdr:colOff>0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36" r:id="rId12" name="Group Box 12">
          <controlPr defaultSize="0" autoFill="0" autoPict="0">
            <anchor moveWithCells="1">
              <from>
                <xdr:col>2</xdr:col>
                <xdr:colOff>0</xdr:colOff>
                <xdr:row>33</xdr:row>
                <xdr:rowOff>0</xdr:rowOff>
              </from>
              <to>
                <xdr:col>11</xdr:col>
                <xdr:colOff>0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38" r:id="rId13" name="Group Box 14">
          <controlPr defaultSize="0" autoFill="0" autoPict="0">
            <anchor moveWithCells="1">
              <from>
                <xdr:col>2</xdr:col>
                <xdr:colOff>0</xdr:colOff>
                <xdr:row>43</xdr:row>
                <xdr:rowOff>0</xdr:rowOff>
              </from>
              <to>
                <xdr:col>11</xdr:col>
                <xdr:colOff>0</xdr:colOff>
                <xdr:row>44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39" r:id="rId14" name="Group Box 15">
          <controlPr defaultSize="0" autoFill="0" autoPict="0">
            <anchor moveWithCells="1">
              <from>
                <xdr:col>2</xdr:col>
                <xdr:colOff>0</xdr:colOff>
                <xdr:row>45</xdr:row>
                <xdr:rowOff>0</xdr:rowOff>
              </from>
              <to>
                <xdr:col>11</xdr:col>
                <xdr:colOff>0</xdr:colOff>
                <xdr:row>46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40" r:id="rId15" name="Group Box 16">
          <controlPr defaultSize="0" autoFill="0" autoPict="0">
            <anchor moveWithCells="1">
              <from>
                <xdr:col>2</xdr:col>
                <xdr:colOff>0</xdr:colOff>
                <xdr:row>47</xdr:row>
                <xdr:rowOff>0</xdr:rowOff>
              </from>
              <to>
                <xdr:col>11</xdr:col>
                <xdr:colOff>0</xdr:colOff>
                <xdr:row>48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41" r:id="rId16" name="Group Box 17">
          <controlPr defaultSize="0" autoFill="0" autoPict="0">
            <anchor moveWithCells="1">
              <from>
                <xdr:col>2</xdr:col>
                <xdr:colOff>0</xdr:colOff>
                <xdr:row>49</xdr:row>
                <xdr:rowOff>0</xdr:rowOff>
              </from>
              <to>
                <xdr:col>11</xdr:col>
                <xdr:colOff>0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42" r:id="rId17" name="Group Box 18">
          <controlPr defaultSize="0" autoFill="0" autoPict="0">
            <anchor moveWithCells="1">
              <from>
                <xdr:col>2</xdr:col>
                <xdr:colOff>0</xdr:colOff>
                <xdr:row>51</xdr:row>
                <xdr:rowOff>0</xdr:rowOff>
              </from>
              <to>
                <xdr:col>11</xdr:col>
                <xdr:colOff>0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43" r:id="rId18" name="Group Box 19">
          <controlPr defaultSize="0" autoFill="0" autoPict="0">
            <anchor moveWithCells="1">
              <from>
                <xdr:col>2</xdr:col>
                <xdr:colOff>0</xdr:colOff>
                <xdr:row>53</xdr:row>
                <xdr:rowOff>0</xdr:rowOff>
              </from>
              <to>
                <xdr:col>11</xdr:col>
                <xdr:colOff>0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44" r:id="rId19" name="Group Box 20">
          <controlPr defaultSize="0" autoFill="0" autoPict="0">
            <anchor moveWithCells="1">
              <from>
                <xdr:col>2</xdr:col>
                <xdr:colOff>0</xdr:colOff>
                <xdr:row>55</xdr:row>
                <xdr:rowOff>0</xdr:rowOff>
              </from>
              <to>
                <xdr:col>11</xdr:col>
                <xdr:colOff>0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45" r:id="rId20" name="Group Box 21">
          <controlPr defaultSize="0" autoFill="0" autoPict="0">
            <anchor moveWithCells="1">
              <from>
                <xdr:col>2</xdr:col>
                <xdr:colOff>0</xdr:colOff>
                <xdr:row>56</xdr:row>
                <xdr:rowOff>47625</xdr:rowOff>
              </from>
              <to>
                <xdr:col>11</xdr:col>
                <xdr:colOff>0</xdr:colOff>
                <xdr:row>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46" r:id="rId21" name="Group Box 22">
          <controlPr defaultSize="0" autoFill="0" autoPict="0">
            <anchor moveWithCells="1">
              <from>
                <xdr:col>2</xdr:col>
                <xdr:colOff>0</xdr:colOff>
                <xdr:row>59</xdr:row>
                <xdr:rowOff>0</xdr:rowOff>
              </from>
              <to>
                <xdr:col>11</xdr:col>
                <xdr:colOff>0</xdr:colOff>
                <xdr:row>60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47" r:id="rId22" name="Group Box 23">
          <controlPr defaultSize="0" autoFill="0" autoPict="0">
            <anchor moveWithCells="1">
              <from>
                <xdr:col>2</xdr:col>
                <xdr:colOff>0</xdr:colOff>
                <xdr:row>61</xdr:row>
                <xdr:rowOff>0</xdr:rowOff>
              </from>
              <to>
                <xdr:col>11</xdr:col>
                <xdr:colOff>0</xdr:colOff>
                <xdr:row>62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48" r:id="rId23" name="Group Box 24">
          <controlPr defaultSize="0" autoFill="0" autoPict="0">
            <anchor moveWithCells="1">
              <from>
                <xdr:col>2</xdr:col>
                <xdr:colOff>0</xdr:colOff>
                <xdr:row>63</xdr:row>
                <xdr:rowOff>0</xdr:rowOff>
              </from>
              <to>
                <xdr:col>11</xdr:col>
                <xdr:colOff>0</xdr:colOff>
                <xdr:row>64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49" r:id="rId24" name="Group Box 25">
          <controlPr defaultSize="0" autoFill="0" autoPict="0">
            <anchor moveWithCells="1">
              <from>
                <xdr:col>2</xdr:col>
                <xdr:colOff>0</xdr:colOff>
                <xdr:row>65</xdr:row>
                <xdr:rowOff>0</xdr:rowOff>
              </from>
              <to>
                <xdr:col>11</xdr:col>
                <xdr:colOff>0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50" r:id="rId25" name="Group Box 26">
          <controlPr defaultSize="0" autoFill="0" autoPict="0">
            <anchor moveWithCells="1">
              <from>
                <xdr:col>2</xdr:col>
                <xdr:colOff>0</xdr:colOff>
                <xdr:row>67</xdr:row>
                <xdr:rowOff>0</xdr:rowOff>
              </from>
              <to>
                <xdr:col>11</xdr:col>
                <xdr:colOff>0</xdr:colOff>
                <xdr:row>68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51" r:id="rId26" name="Group Box 27">
          <controlPr defaultSize="0" autoFill="0" autoPict="0">
            <anchor moveWithCells="1">
              <from>
                <xdr:col>2</xdr:col>
                <xdr:colOff>0</xdr:colOff>
                <xdr:row>69</xdr:row>
                <xdr:rowOff>0</xdr:rowOff>
              </from>
              <to>
                <xdr:col>11</xdr:col>
                <xdr:colOff>0</xdr:colOff>
                <xdr:row>70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52" r:id="rId27" name="Group Box 28">
          <controlPr defaultSize="0" autoFill="0" autoPict="0">
            <anchor moveWithCells="1">
              <from>
                <xdr:col>2</xdr:col>
                <xdr:colOff>0</xdr:colOff>
                <xdr:row>71</xdr:row>
                <xdr:rowOff>0</xdr:rowOff>
              </from>
              <to>
                <xdr:col>11</xdr:col>
                <xdr:colOff>0</xdr:colOff>
                <xdr:row>72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53" r:id="rId28" name="Group Box 29">
          <controlPr defaultSize="0" autoFill="0" autoPict="0">
            <anchor moveWithCells="1">
              <from>
                <xdr:col>2</xdr:col>
                <xdr:colOff>0</xdr:colOff>
                <xdr:row>72</xdr:row>
                <xdr:rowOff>47625</xdr:rowOff>
              </from>
              <to>
                <xdr:col>11</xdr:col>
                <xdr:colOff>0</xdr:colOff>
                <xdr:row>74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59" r:id="rId29" name="Option Button 35">
          <controlPr defaultSize="0" autoFill="0" autoLine="0" autoPict="0">
            <anchor moveWithCells="1">
              <from>
                <xdr:col>9</xdr:col>
                <xdr:colOff>9525</xdr:colOff>
                <xdr:row>27</xdr:row>
                <xdr:rowOff>9525</xdr:rowOff>
              </from>
              <to>
                <xdr:col>9</xdr:col>
                <xdr:colOff>561975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60" r:id="rId30" name="Option Button 36">
          <controlPr defaultSize="0" autoFill="0" autoLine="0" autoPict="0">
            <anchor moveWithCells="1">
              <from>
                <xdr:col>9</xdr:col>
                <xdr:colOff>9525</xdr:colOff>
                <xdr:row>9</xdr:row>
                <xdr:rowOff>9525</xdr:rowOff>
              </from>
              <to>
                <xdr:col>9</xdr:col>
                <xdr:colOff>561975</xdr:colOff>
                <xdr:row>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61" r:id="rId31" name="Option Button 37">
          <controlPr defaultSize="0" autoFill="0" autoLine="0" autoPict="0">
            <anchor moveWithCells="1">
              <from>
                <xdr:col>9</xdr:col>
                <xdr:colOff>9525</xdr:colOff>
                <xdr:row>11</xdr:row>
                <xdr:rowOff>9525</xdr:rowOff>
              </from>
              <to>
                <xdr:col>9</xdr:col>
                <xdr:colOff>561975</xdr:colOff>
                <xdr:row>11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62" r:id="rId32" name="Option Button 38">
          <controlPr defaultSize="0" autoFill="0" autoLine="0" autoPict="0">
            <anchor moveWithCells="1">
              <from>
                <xdr:col>9</xdr:col>
                <xdr:colOff>9525</xdr:colOff>
                <xdr:row>13</xdr:row>
                <xdr:rowOff>9525</xdr:rowOff>
              </from>
              <to>
                <xdr:col>9</xdr:col>
                <xdr:colOff>561975</xdr:colOff>
                <xdr:row>13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63" r:id="rId33" name="Option Button 39">
          <controlPr defaultSize="0" autoFill="0" autoLine="0" autoPict="0">
            <anchor moveWithCells="1">
              <from>
                <xdr:col>9</xdr:col>
                <xdr:colOff>9525</xdr:colOff>
                <xdr:row>15</xdr:row>
                <xdr:rowOff>9525</xdr:rowOff>
              </from>
              <to>
                <xdr:col>9</xdr:col>
                <xdr:colOff>561975</xdr:colOff>
                <xdr:row>15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67" r:id="rId34" name="Option Button 43">
          <controlPr defaultSize="0" autoFill="0" autoLine="0" autoPict="0">
            <anchor moveWithCells="1">
              <from>
                <xdr:col>10</xdr:col>
                <xdr:colOff>9525</xdr:colOff>
                <xdr:row>27</xdr:row>
                <xdr:rowOff>9525</xdr:rowOff>
              </from>
              <to>
                <xdr:col>10</xdr:col>
                <xdr:colOff>552450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68" r:id="rId35" name="Option Button 44">
          <controlPr defaultSize="0" autoFill="0" autoLine="0" autoPict="0">
            <anchor moveWithCells="1">
              <from>
                <xdr:col>10</xdr:col>
                <xdr:colOff>9525</xdr:colOff>
                <xdr:row>9</xdr:row>
                <xdr:rowOff>9525</xdr:rowOff>
              </from>
              <to>
                <xdr:col>10</xdr:col>
                <xdr:colOff>552450</xdr:colOff>
                <xdr:row>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69" r:id="rId36" name="Option Button 45">
          <controlPr defaultSize="0" autoFill="0" autoLine="0" autoPict="0">
            <anchor moveWithCells="1">
              <from>
                <xdr:col>10</xdr:col>
                <xdr:colOff>9525</xdr:colOff>
                <xdr:row>11</xdr:row>
                <xdr:rowOff>9525</xdr:rowOff>
              </from>
              <to>
                <xdr:col>10</xdr:col>
                <xdr:colOff>552450</xdr:colOff>
                <xdr:row>11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70" r:id="rId37" name="Option Button 46">
          <controlPr defaultSize="0" autoFill="0" autoLine="0" autoPict="0">
            <anchor moveWithCells="1">
              <from>
                <xdr:col>10</xdr:col>
                <xdr:colOff>9525</xdr:colOff>
                <xdr:row>13</xdr:row>
                <xdr:rowOff>9525</xdr:rowOff>
              </from>
              <to>
                <xdr:col>10</xdr:col>
                <xdr:colOff>552450</xdr:colOff>
                <xdr:row>13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71" r:id="rId38" name="Option Button 47">
          <controlPr defaultSize="0" autoFill="0" autoLine="0" autoPict="0">
            <anchor moveWithCells="1">
              <from>
                <xdr:col>10</xdr:col>
                <xdr:colOff>9525</xdr:colOff>
                <xdr:row>15</xdr:row>
                <xdr:rowOff>9525</xdr:rowOff>
              </from>
              <to>
                <xdr:col>10</xdr:col>
                <xdr:colOff>552450</xdr:colOff>
                <xdr:row>15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72" r:id="rId39" name="Option Button 48">
          <controlPr defaultSize="0" autoFill="0" autoLine="0" autoPict="0">
            <anchor moveWithCells="1">
              <from>
                <xdr:col>9</xdr:col>
                <xdr:colOff>9525</xdr:colOff>
                <xdr:row>43</xdr:row>
                <xdr:rowOff>9525</xdr:rowOff>
              </from>
              <to>
                <xdr:col>9</xdr:col>
                <xdr:colOff>561975</xdr:colOff>
                <xdr:row>44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73" r:id="rId40" name="Option Button 49">
          <controlPr defaultSize="0" autoFill="0" autoLine="0" autoPict="0">
            <anchor moveWithCells="1">
              <from>
                <xdr:col>9</xdr:col>
                <xdr:colOff>9525</xdr:colOff>
                <xdr:row>45</xdr:row>
                <xdr:rowOff>9525</xdr:rowOff>
              </from>
              <to>
                <xdr:col>9</xdr:col>
                <xdr:colOff>561975</xdr:colOff>
                <xdr:row>46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74" r:id="rId41" name="Option Button 50">
          <controlPr defaultSize="0" autoFill="0" autoLine="0" autoPict="0">
            <anchor moveWithCells="1">
              <from>
                <xdr:col>9</xdr:col>
                <xdr:colOff>9525</xdr:colOff>
                <xdr:row>47</xdr:row>
                <xdr:rowOff>9525</xdr:rowOff>
              </from>
              <to>
                <xdr:col>9</xdr:col>
                <xdr:colOff>561975</xdr:colOff>
                <xdr:row>48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75" r:id="rId42" name="Option Button 51">
          <controlPr defaultSize="0" autoFill="0" autoLine="0" autoPict="0">
            <anchor moveWithCells="1">
              <from>
                <xdr:col>9</xdr:col>
                <xdr:colOff>9525</xdr:colOff>
                <xdr:row>49</xdr:row>
                <xdr:rowOff>9525</xdr:rowOff>
              </from>
              <to>
                <xdr:col>9</xdr:col>
                <xdr:colOff>561975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76" r:id="rId43" name="Option Button 52">
          <controlPr defaultSize="0" autoFill="0" autoLine="0" autoPict="0">
            <anchor moveWithCells="1">
              <from>
                <xdr:col>9</xdr:col>
                <xdr:colOff>9525</xdr:colOff>
                <xdr:row>51</xdr:row>
                <xdr:rowOff>9525</xdr:rowOff>
              </from>
              <to>
                <xdr:col>9</xdr:col>
                <xdr:colOff>561975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77" r:id="rId44" name="Option Button 53">
          <controlPr defaultSize="0" autoFill="0" autoLine="0" autoPict="0">
            <anchor moveWithCells="1">
              <from>
                <xdr:col>9</xdr:col>
                <xdr:colOff>9525</xdr:colOff>
                <xdr:row>53</xdr:row>
                <xdr:rowOff>9525</xdr:rowOff>
              </from>
              <to>
                <xdr:col>9</xdr:col>
                <xdr:colOff>561975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78" r:id="rId45" name="Option Button 54">
          <controlPr defaultSize="0" autoFill="0" autoLine="0" autoPict="0">
            <anchor moveWithCells="1">
              <from>
                <xdr:col>9</xdr:col>
                <xdr:colOff>9525</xdr:colOff>
                <xdr:row>55</xdr:row>
                <xdr:rowOff>9525</xdr:rowOff>
              </from>
              <to>
                <xdr:col>9</xdr:col>
                <xdr:colOff>561975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79" r:id="rId46" name="Option Button 55">
          <controlPr defaultSize="0" autoFill="0" autoLine="0" autoPict="0">
            <anchor moveWithCells="1">
              <from>
                <xdr:col>9</xdr:col>
                <xdr:colOff>9525</xdr:colOff>
                <xdr:row>57</xdr:row>
                <xdr:rowOff>9525</xdr:rowOff>
              </from>
              <to>
                <xdr:col>9</xdr:col>
                <xdr:colOff>561975</xdr:colOff>
                <xdr:row>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80" r:id="rId47" name="Option Button 56">
          <controlPr defaultSize="0" autoFill="0" autoLine="0" autoPict="0">
            <anchor moveWithCells="1">
              <from>
                <xdr:col>9</xdr:col>
                <xdr:colOff>9525</xdr:colOff>
                <xdr:row>59</xdr:row>
                <xdr:rowOff>9525</xdr:rowOff>
              </from>
              <to>
                <xdr:col>9</xdr:col>
                <xdr:colOff>561975</xdr:colOff>
                <xdr:row>60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81" r:id="rId48" name="Option Button 57">
          <controlPr defaultSize="0" autoFill="0" autoLine="0" autoPict="0">
            <anchor moveWithCells="1">
              <from>
                <xdr:col>9</xdr:col>
                <xdr:colOff>9525</xdr:colOff>
                <xdr:row>61</xdr:row>
                <xdr:rowOff>9525</xdr:rowOff>
              </from>
              <to>
                <xdr:col>9</xdr:col>
                <xdr:colOff>561975</xdr:colOff>
                <xdr:row>62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82" r:id="rId49" name="Option Button 58">
          <controlPr defaultSize="0" autoFill="0" autoLine="0" autoPict="0">
            <anchor moveWithCells="1">
              <from>
                <xdr:col>9</xdr:col>
                <xdr:colOff>9525</xdr:colOff>
                <xdr:row>63</xdr:row>
                <xdr:rowOff>9525</xdr:rowOff>
              </from>
              <to>
                <xdr:col>9</xdr:col>
                <xdr:colOff>561975</xdr:colOff>
                <xdr:row>64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83" r:id="rId50" name="Option Button 59">
          <controlPr defaultSize="0" autoFill="0" autoLine="0" autoPict="0">
            <anchor moveWithCells="1">
              <from>
                <xdr:col>9</xdr:col>
                <xdr:colOff>9525</xdr:colOff>
                <xdr:row>65</xdr:row>
                <xdr:rowOff>9525</xdr:rowOff>
              </from>
              <to>
                <xdr:col>9</xdr:col>
                <xdr:colOff>561975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84" r:id="rId51" name="Option Button 60">
          <controlPr defaultSize="0" autoFill="0" autoLine="0" autoPict="0">
            <anchor moveWithCells="1">
              <from>
                <xdr:col>9</xdr:col>
                <xdr:colOff>9525</xdr:colOff>
                <xdr:row>67</xdr:row>
                <xdr:rowOff>9525</xdr:rowOff>
              </from>
              <to>
                <xdr:col>9</xdr:col>
                <xdr:colOff>561975</xdr:colOff>
                <xdr:row>68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85" r:id="rId52" name="Option Button 61">
          <controlPr defaultSize="0" autoFill="0" autoLine="0" autoPict="0">
            <anchor moveWithCells="1">
              <from>
                <xdr:col>9</xdr:col>
                <xdr:colOff>9525</xdr:colOff>
                <xdr:row>69</xdr:row>
                <xdr:rowOff>9525</xdr:rowOff>
              </from>
              <to>
                <xdr:col>9</xdr:col>
                <xdr:colOff>561975</xdr:colOff>
                <xdr:row>70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86" r:id="rId53" name="Option Button 62">
          <controlPr defaultSize="0" autoFill="0" autoLine="0" autoPict="0">
            <anchor moveWithCells="1">
              <from>
                <xdr:col>9</xdr:col>
                <xdr:colOff>9525</xdr:colOff>
                <xdr:row>71</xdr:row>
                <xdr:rowOff>9525</xdr:rowOff>
              </from>
              <to>
                <xdr:col>9</xdr:col>
                <xdr:colOff>561975</xdr:colOff>
                <xdr:row>72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87" r:id="rId54" name="Option Button 63">
          <controlPr defaultSize="0" autoFill="0" autoLine="0" autoPict="0">
            <anchor moveWithCells="1">
              <from>
                <xdr:col>9</xdr:col>
                <xdr:colOff>9525</xdr:colOff>
                <xdr:row>73</xdr:row>
                <xdr:rowOff>9525</xdr:rowOff>
              </from>
              <to>
                <xdr:col>9</xdr:col>
                <xdr:colOff>561975</xdr:colOff>
                <xdr:row>74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88" r:id="rId55" name="Option Button 64">
          <controlPr defaultSize="0" autoFill="0" autoLine="0" autoPict="0">
            <anchor moveWithCells="1">
              <from>
                <xdr:col>10</xdr:col>
                <xdr:colOff>9525</xdr:colOff>
                <xdr:row>43</xdr:row>
                <xdr:rowOff>9525</xdr:rowOff>
              </from>
              <to>
                <xdr:col>10</xdr:col>
                <xdr:colOff>552450</xdr:colOff>
                <xdr:row>44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89" r:id="rId56" name="Option Button 65">
          <controlPr defaultSize="0" autoFill="0" autoLine="0" autoPict="0">
            <anchor moveWithCells="1">
              <from>
                <xdr:col>10</xdr:col>
                <xdr:colOff>9525</xdr:colOff>
                <xdr:row>45</xdr:row>
                <xdr:rowOff>9525</xdr:rowOff>
              </from>
              <to>
                <xdr:col>10</xdr:col>
                <xdr:colOff>552450</xdr:colOff>
                <xdr:row>46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90" r:id="rId57" name="Option Button 66">
          <controlPr defaultSize="0" autoFill="0" autoLine="0" autoPict="0">
            <anchor moveWithCells="1">
              <from>
                <xdr:col>10</xdr:col>
                <xdr:colOff>9525</xdr:colOff>
                <xdr:row>47</xdr:row>
                <xdr:rowOff>9525</xdr:rowOff>
              </from>
              <to>
                <xdr:col>10</xdr:col>
                <xdr:colOff>552450</xdr:colOff>
                <xdr:row>48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91" r:id="rId58" name="Option Button 67">
          <controlPr defaultSize="0" autoFill="0" autoLine="0" autoPict="0">
            <anchor moveWithCells="1">
              <from>
                <xdr:col>10</xdr:col>
                <xdr:colOff>9525</xdr:colOff>
                <xdr:row>49</xdr:row>
                <xdr:rowOff>9525</xdr:rowOff>
              </from>
              <to>
                <xdr:col>10</xdr:col>
                <xdr:colOff>552450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92" r:id="rId59" name="Option Button 68">
          <controlPr defaultSize="0" autoFill="0" autoLine="0" autoPict="0">
            <anchor moveWithCells="1">
              <from>
                <xdr:col>10</xdr:col>
                <xdr:colOff>9525</xdr:colOff>
                <xdr:row>51</xdr:row>
                <xdr:rowOff>9525</xdr:rowOff>
              </from>
              <to>
                <xdr:col>10</xdr:col>
                <xdr:colOff>552450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93" r:id="rId60" name="Option Button 69">
          <controlPr defaultSize="0" autoFill="0" autoLine="0" autoPict="0">
            <anchor moveWithCells="1">
              <from>
                <xdr:col>10</xdr:col>
                <xdr:colOff>9525</xdr:colOff>
                <xdr:row>53</xdr:row>
                <xdr:rowOff>9525</xdr:rowOff>
              </from>
              <to>
                <xdr:col>10</xdr:col>
                <xdr:colOff>552450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94" r:id="rId61" name="Option Button 70">
          <controlPr defaultSize="0" autoFill="0" autoLine="0" autoPict="0">
            <anchor moveWithCells="1">
              <from>
                <xdr:col>10</xdr:col>
                <xdr:colOff>9525</xdr:colOff>
                <xdr:row>55</xdr:row>
                <xdr:rowOff>9525</xdr:rowOff>
              </from>
              <to>
                <xdr:col>10</xdr:col>
                <xdr:colOff>552450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95" r:id="rId62" name="Option Button 71">
          <controlPr defaultSize="0" autoFill="0" autoLine="0" autoPict="0">
            <anchor moveWithCells="1">
              <from>
                <xdr:col>10</xdr:col>
                <xdr:colOff>9525</xdr:colOff>
                <xdr:row>57</xdr:row>
                <xdr:rowOff>9525</xdr:rowOff>
              </from>
              <to>
                <xdr:col>10</xdr:col>
                <xdr:colOff>552450</xdr:colOff>
                <xdr:row>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96" r:id="rId63" name="Option Button 72">
          <controlPr defaultSize="0" autoFill="0" autoLine="0" autoPict="0">
            <anchor moveWithCells="1">
              <from>
                <xdr:col>10</xdr:col>
                <xdr:colOff>9525</xdr:colOff>
                <xdr:row>59</xdr:row>
                <xdr:rowOff>9525</xdr:rowOff>
              </from>
              <to>
                <xdr:col>10</xdr:col>
                <xdr:colOff>552450</xdr:colOff>
                <xdr:row>60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97" r:id="rId64" name="Option Button 73">
          <controlPr defaultSize="0" autoFill="0" autoLine="0" autoPict="0">
            <anchor moveWithCells="1">
              <from>
                <xdr:col>10</xdr:col>
                <xdr:colOff>9525</xdr:colOff>
                <xdr:row>61</xdr:row>
                <xdr:rowOff>9525</xdr:rowOff>
              </from>
              <to>
                <xdr:col>10</xdr:col>
                <xdr:colOff>552450</xdr:colOff>
                <xdr:row>62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98" r:id="rId65" name="Option Button 74">
          <controlPr defaultSize="0" autoFill="0" autoLine="0" autoPict="0">
            <anchor moveWithCells="1">
              <from>
                <xdr:col>10</xdr:col>
                <xdr:colOff>9525</xdr:colOff>
                <xdr:row>63</xdr:row>
                <xdr:rowOff>9525</xdr:rowOff>
              </from>
              <to>
                <xdr:col>10</xdr:col>
                <xdr:colOff>552450</xdr:colOff>
                <xdr:row>64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99" r:id="rId66" name="Option Button 75">
          <controlPr defaultSize="0" autoFill="0" autoLine="0" autoPict="0">
            <anchor moveWithCells="1">
              <from>
                <xdr:col>10</xdr:col>
                <xdr:colOff>9525</xdr:colOff>
                <xdr:row>65</xdr:row>
                <xdr:rowOff>9525</xdr:rowOff>
              </from>
              <to>
                <xdr:col>10</xdr:col>
                <xdr:colOff>552450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00" r:id="rId67" name="Option Button 76">
          <controlPr defaultSize="0" autoFill="0" autoLine="0" autoPict="0">
            <anchor moveWithCells="1">
              <from>
                <xdr:col>10</xdr:col>
                <xdr:colOff>9525</xdr:colOff>
                <xdr:row>67</xdr:row>
                <xdr:rowOff>9525</xdr:rowOff>
              </from>
              <to>
                <xdr:col>10</xdr:col>
                <xdr:colOff>552450</xdr:colOff>
                <xdr:row>68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01" r:id="rId68" name="Option Button 77">
          <controlPr defaultSize="0" autoFill="0" autoLine="0" autoPict="0">
            <anchor moveWithCells="1">
              <from>
                <xdr:col>10</xdr:col>
                <xdr:colOff>9525</xdr:colOff>
                <xdr:row>69</xdr:row>
                <xdr:rowOff>9525</xdr:rowOff>
              </from>
              <to>
                <xdr:col>10</xdr:col>
                <xdr:colOff>552450</xdr:colOff>
                <xdr:row>70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02" r:id="rId69" name="Option Button 78">
          <controlPr defaultSize="0" autoFill="0" autoLine="0" autoPict="0">
            <anchor moveWithCells="1">
              <from>
                <xdr:col>10</xdr:col>
                <xdr:colOff>9525</xdr:colOff>
                <xdr:row>71</xdr:row>
                <xdr:rowOff>9525</xdr:rowOff>
              </from>
              <to>
                <xdr:col>10</xdr:col>
                <xdr:colOff>552450</xdr:colOff>
                <xdr:row>72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03" r:id="rId70" name="Option Button 79">
          <controlPr defaultSize="0" autoFill="0" autoLine="0" autoPict="0">
            <anchor moveWithCells="1">
              <from>
                <xdr:col>10</xdr:col>
                <xdr:colOff>9525</xdr:colOff>
                <xdr:row>73</xdr:row>
                <xdr:rowOff>9525</xdr:rowOff>
              </from>
              <to>
                <xdr:col>10</xdr:col>
                <xdr:colOff>552450</xdr:colOff>
                <xdr:row>74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04" r:id="rId71" name="Group Box 80">
          <controlPr defaultSize="0" autoFill="0" autoPict="0">
            <anchor moveWithCells="1">
              <from>
                <xdr:col>2</xdr:col>
                <xdr:colOff>0</xdr:colOff>
                <xdr:row>37</xdr:row>
                <xdr:rowOff>0</xdr:rowOff>
              </from>
              <to>
                <xdr:col>11</xdr:col>
                <xdr:colOff>0</xdr:colOff>
                <xdr:row>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05" r:id="rId72" name="Group Box 81">
          <controlPr defaultSize="0" autoFill="0" autoPict="0">
            <anchor moveWithCells="1">
              <from>
                <xdr:col>2</xdr:col>
                <xdr:colOff>0</xdr:colOff>
                <xdr:row>38</xdr:row>
                <xdr:rowOff>47625</xdr:rowOff>
              </from>
              <to>
                <xdr:col>11</xdr:col>
                <xdr:colOff>0</xdr:colOff>
                <xdr:row>40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07" r:id="rId73" name="Option Button 83">
          <controlPr defaultSize="0" autoFill="0" autoLine="0" autoPict="0">
            <anchor moveWithCells="1">
              <from>
                <xdr:col>9</xdr:col>
                <xdr:colOff>9525</xdr:colOff>
                <xdr:row>39</xdr:row>
                <xdr:rowOff>9525</xdr:rowOff>
              </from>
              <to>
                <xdr:col>9</xdr:col>
                <xdr:colOff>561975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08" r:id="rId74" name="Option Button 84">
          <controlPr defaultSize="0" autoFill="0" autoLine="0" autoPict="0">
            <anchor moveWithCells="1">
              <from>
                <xdr:col>9</xdr:col>
                <xdr:colOff>9525</xdr:colOff>
                <xdr:row>29</xdr:row>
                <xdr:rowOff>9525</xdr:rowOff>
              </from>
              <to>
                <xdr:col>9</xdr:col>
                <xdr:colOff>561975</xdr:colOff>
                <xdr:row>29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10" r:id="rId75" name="Option Button 86">
          <controlPr defaultSize="0" autoFill="0" autoLine="0" autoPict="0">
            <anchor moveWithCells="1">
              <from>
                <xdr:col>9</xdr:col>
                <xdr:colOff>9525</xdr:colOff>
                <xdr:row>33</xdr:row>
                <xdr:rowOff>9525</xdr:rowOff>
              </from>
              <to>
                <xdr:col>9</xdr:col>
                <xdr:colOff>561975</xdr:colOff>
                <xdr:row>33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11" r:id="rId76" name="Option Button 87">
          <controlPr defaultSize="0" autoFill="0" autoLine="0" autoPict="0">
            <anchor moveWithCells="1">
              <from>
                <xdr:col>9</xdr:col>
                <xdr:colOff>9525</xdr:colOff>
                <xdr:row>37</xdr:row>
                <xdr:rowOff>9525</xdr:rowOff>
              </from>
              <to>
                <xdr:col>9</xdr:col>
                <xdr:colOff>561975</xdr:colOff>
                <xdr:row>37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13" r:id="rId77" name="Option Button 89">
          <controlPr defaultSize="0" autoFill="0" autoLine="0" autoPict="0">
            <anchor moveWithCells="1">
              <from>
                <xdr:col>10</xdr:col>
                <xdr:colOff>9525</xdr:colOff>
                <xdr:row>39</xdr:row>
                <xdr:rowOff>9525</xdr:rowOff>
              </from>
              <to>
                <xdr:col>10</xdr:col>
                <xdr:colOff>552450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14" r:id="rId78" name="Option Button 90">
          <controlPr defaultSize="0" autoFill="0" autoLine="0" autoPict="0">
            <anchor moveWithCells="1">
              <from>
                <xdr:col>10</xdr:col>
                <xdr:colOff>9525</xdr:colOff>
                <xdr:row>29</xdr:row>
                <xdr:rowOff>9525</xdr:rowOff>
              </from>
              <to>
                <xdr:col>10</xdr:col>
                <xdr:colOff>552450</xdr:colOff>
                <xdr:row>29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16" r:id="rId79" name="Option Button 92">
          <controlPr defaultSize="0" autoFill="0" autoLine="0" autoPict="0">
            <anchor moveWithCells="1">
              <from>
                <xdr:col>10</xdr:col>
                <xdr:colOff>9525</xdr:colOff>
                <xdr:row>33</xdr:row>
                <xdr:rowOff>9525</xdr:rowOff>
              </from>
              <to>
                <xdr:col>10</xdr:col>
                <xdr:colOff>552450</xdr:colOff>
                <xdr:row>33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17" r:id="rId80" name="Option Button 93">
          <controlPr defaultSize="0" autoFill="0" autoLine="0" autoPict="0">
            <anchor moveWithCells="1">
              <from>
                <xdr:col>10</xdr:col>
                <xdr:colOff>9525</xdr:colOff>
                <xdr:row>37</xdr:row>
                <xdr:rowOff>9525</xdr:rowOff>
              </from>
              <to>
                <xdr:col>10</xdr:col>
                <xdr:colOff>552450</xdr:colOff>
                <xdr:row>37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21" r:id="rId81" name="Group Box 97">
          <controlPr defaultSize="0" autoFill="0" autoPict="0">
            <anchor moveWithCells="1">
              <from>
                <xdr:col>2</xdr:col>
                <xdr:colOff>0</xdr:colOff>
                <xdr:row>17</xdr:row>
                <xdr:rowOff>0</xdr:rowOff>
              </from>
              <to>
                <xdr:col>11</xdr:col>
                <xdr:colOff>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22" r:id="rId82" name="Option Button 98">
          <controlPr defaultSize="0" autoFill="0" autoLine="0" autoPict="0">
            <anchor moveWithCells="1">
              <from>
                <xdr:col>9</xdr:col>
                <xdr:colOff>9525</xdr:colOff>
                <xdr:row>17</xdr:row>
                <xdr:rowOff>9525</xdr:rowOff>
              </from>
              <to>
                <xdr:col>9</xdr:col>
                <xdr:colOff>561975</xdr:colOff>
                <xdr:row>17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23" r:id="rId83" name="Option Button 99">
          <controlPr defaultSize="0" autoFill="0" autoLine="0" autoPict="0">
            <anchor moveWithCells="1">
              <from>
                <xdr:col>10</xdr:col>
                <xdr:colOff>9525</xdr:colOff>
                <xdr:row>17</xdr:row>
                <xdr:rowOff>9525</xdr:rowOff>
              </from>
              <to>
                <xdr:col>10</xdr:col>
                <xdr:colOff>552450</xdr:colOff>
                <xdr:row>17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24" r:id="rId84" name="Group Box 100">
          <controlPr defaultSize="0" autoFill="0" autoPict="0">
            <anchor moveWithCells="1">
              <from>
                <xdr:col>2</xdr:col>
                <xdr:colOff>0</xdr:colOff>
                <xdr:row>19</xdr:row>
                <xdr:rowOff>0</xdr:rowOff>
              </from>
              <to>
                <xdr:col>11</xdr:col>
                <xdr:colOff>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25" r:id="rId85" name="Option Button 101">
          <controlPr defaultSize="0" autoFill="0" autoLine="0" autoPict="0">
            <anchor moveWithCells="1">
              <from>
                <xdr:col>9</xdr:col>
                <xdr:colOff>9525</xdr:colOff>
                <xdr:row>19</xdr:row>
                <xdr:rowOff>9525</xdr:rowOff>
              </from>
              <to>
                <xdr:col>9</xdr:col>
                <xdr:colOff>561975</xdr:colOff>
                <xdr:row>19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26" r:id="rId86" name="Option Button 102">
          <controlPr defaultSize="0" autoFill="0" autoLine="0" autoPict="0">
            <anchor moveWithCells="1">
              <from>
                <xdr:col>10</xdr:col>
                <xdr:colOff>9525</xdr:colOff>
                <xdr:row>19</xdr:row>
                <xdr:rowOff>9525</xdr:rowOff>
              </from>
              <to>
                <xdr:col>10</xdr:col>
                <xdr:colOff>552450</xdr:colOff>
                <xdr:row>19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27" r:id="rId87" name="Group Box 103">
          <controlPr defaultSize="0" autoFill="0" autoPict="0">
            <anchor moveWithCells="1">
              <from>
                <xdr:col>2</xdr:col>
                <xdr:colOff>0</xdr:colOff>
                <xdr:row>21</xdr:row>
                <xdr:rowOff>0</xdr:rowOff>
              </from>
              <to>
                <xdr:col>11</xdr:col>
                <xdr:colOff>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28" r:id="rId88" name="Option Button 104">
          <controlPr defaultSize="0" autoFill="0" autoLine="0" autoPict="0">
            <anchor moveWithCells="1">
              <from>
                <xdr:col>9</xdr:col>
                <xdr:colOff>9525</xdr:colOff>
                <xdr:row>21</xdr:row>
                <xdr:rowOff>9525</xdr:rowOff>
              </from>
              <to>
                <xdr:col>9</xdr:col>
                <xdr:colOff>561975</xdr:colOff>
                <xdr:row>21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29" r:id="rId89" name="Option Button 105">
          <controlPr defaultSize="0" autoFill="0" autoLine="0" autoPict="0">
            <anchor moveWithCells="1">
              <from>
                <xdr:col>10</xdr:col>
                <xdr:colOff>9525</xdr:colOff>
                <xdr:row>21</xdr:row>
                <xdr:rowOff>9525</xdr:rowOff>
              </from>
              <to>
                <xdr:col>10</xdr:col>
                <xdr:colOff>552450</xdr:colOff>
                <xdr:row>21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30" r:id="rId90" name="Group Box 106">
          <controlPr defaultSize="0" autoFill="0" autoPict="0">
            <anchor moveWithCells="1">
              <from>
                <xdr:col>2</xdr:col>
                <xdr:colOff>0</xdr:colOff>
                <xdr:row>23</xdr:row>
                <xdr:rowOff>0</xdr:rowOff>
              </from>
              <to>
                <xdr:col>11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31" r:id="rId91" name="Option Button 107">
          <controlPr defaultSize="0" autoFill="0" autoLine="0" autoPict="0">
            <anchor moveWithCells="1">
              <from>
                <xdr:col>9</xdr:col>
                <xdr:colOff>9525</xdr:colOff>
                <xdr:row>23</xdr:row>
                <xdr:rowOff>9525</xdr:rowOff>
              </from>
              <to>
                <xdr:col>9</xdr:col>
                <xdr:colOff>561975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32" r:id="rId92" name="Option Button 108">
          <controlPr defaultSize="0" autoFill="0" autoLine="0" autoPict="0">
            <anchor moveWithCells="1">
              <from>
                <xdr:col>10</xdr:col>
                <xdr:colOff>9525</xdr:colOff>
                <xdr:row>23</xdr:row>
                <xdr:rowOff>9525</xdr:rowOff>
              </from>
              <to>
                <xdr:col>10</xdr:col>
                <xdr:colOff>552450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33" r:id="rId93" name="Group Box 109">
          <controlPr defaultSize="0" autoFill="0" autoPict="0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11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34" r:id="rId94" name="Option Button 110">
          <controlPr defaultSize="0" autoFill="0" autoLine="0" autoPict="0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9</xdr:col>
                <xdr:colOff>561975</xdr:colOff>
                <xdr:row>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35" r:id="rId95" name="Option Button 111">
          <controlPr defaultSize="0" autoFill="0" autoLine="0" autoPict="0">
            <anchor moveWithCells="1">
              <from>
                <xdr:col>10</xdr:col>
                <xdr:colOff>9525</xdr:colOff>
                <xdr:row>7</xdr:row>
                <xdr:rowOff>9525</xdr:rowOff>
              </from>
              <to>
                <xdr:col>10</xdr:col>
                <xdr:colOff>552450</xdr:colOff>
                <xdr:row>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40" r:id="rId96" name="Option Button 116">
          <controlPr defaultSize="0" autoFill="0" autoLine="0" autoPict="0">
            <anchor moveWithCells="1">
              <from>
                <xdr:col>9</xdr:col>
                <xdr:colOff>9525</xdr:colOff>
                <xdr:row>31</xdr:row>
                <xdr:rowOff>19050</xdr:rowOff>
              </from>
              <to>
                <xdr:col>9</xdr:col>
                <xdr:colOff>561975</xdr:colOff>
                <xdr:row>31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41" r:id="rId97" name="Option Button 117">
          <controlPr defaultSize="0" autoFill="0" autoLine="0" autoPict="0">
            <anchor moveWithCells="1">
              <from>
                <xdr:col>10</xdr:col>
                <xdr:colOff>19050</xdr:colOff>
                <xdr:row>31</xdr:row>
                <xdr:rowOff>19050</xdr:rowOff>
              </from>
              <to>
                <xdr:col>10</xdr:col>
                <xdr:colOff>552450</xdr:colOff>
                <xdr:row>31</xdr:row>
                <xdr:rowOff>228600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5BFD7-87AB-4421-8EF4-23C290490CE2}">
  <sheetPr codeName="Sheet28"/>
  <dimension ref="A1:S947"/>
  <sheetViews>
    <sheetView showGridLines="0" showRowColHeaders="0" showRuler="0" showWhiteSpace="0" view="pageBreakPreview" zoomScale="60" zoomScaleNormal="100" zoomScalePageLayoutView="85" workbookViewId="0">
      <selection activeCell="B623" sqref="B623:C623"/>
    </sheetView>
  </sheetViews>
  <sheetFormatPr defaultColWidth="9.140625" defaultRowHeight="15" x14ac:dyDescent="0.25"/>
  <cols>
    <col min="1" max="1" width="14" style="611" customWidth="1"/>
    <col min="2" max="5" width="13.42578125" style="611" customWidth="1"/>
    <col min="6" max="7" width="9.5703125" style="611" customWidth="1"/>
    <col min="8" max="8" width="8.7109375" style="611" customWidth="1"/>
    <col min="9" max="9" width="5.7109375" style="611" customWidth="1"/>
    <col min="10" max="16384" width="9.140625" style="611"/>
  </cols>
  <sheetData>
    <row r="1" spans="1:9" ht="15.75" customHeight="1" x14ac:dyDescent="0.25"/>
    <row r="2" spans="1:9" ht="18.75" customHeight="1" x14ac:dyDescent="0.35">
      <c r="A2" s="1214" t="s">
        <v>1080</v>
      </c>
      <c r="B2" s="1214"/>
      <c r="C2" s="1214"/>
      <c r="D2" s="1214"/>
      <c r="E2" s="1214"/>
      <c r="F2" s="1214"/>
      <c r="G2" s="1214"/>
      <c r="H2" s="1214"/>
      <c r="I2" s="1214"/>
    </row>
    <row r="3" spans="1:9" ht="11.25" customHeight="1" x14ac:dyDescent="0.35">
      <c r="B3" s="242"/>
      <c r="C3" s="242"/>
      <c r="D3" s="242"/>
      <c r="E3" s="242"/>
      <c r="F3" s="242"/>
      <c r="G3" s="692"/>
      <c r="H3" s="692"/>
      <c r="I3" s="692"/>
    </row>
    <row r="4" spans="1:9" ht="14.25" customHeight="1" x14ac:dyDescent="0.25">
      <c r="A4" s="611" t="s">
        <v>394</v>
      </c>
    </row>
    <row r="5" spans="1:9" ht="15.75" x14ac:dyDescent="0.25">
      <c r="A5" s="1169" t="s">
        <v>315</v>
      </c>
      <c r="B5" s="1169"/>
      <c r="C5" s="1169"/>
      <c r="D5" s="1169"/>
      <c r="E5" s="1169"/>
      <c r="F5" s="1169"/>
      <c r="G5" s="1169"/>
      <c r="H5" s="1169"/>
      <c r="I5" s="1169"/>
    </row>
    <row r="6" spans="1:9" ht="15" customHeight="1" x14ac:dyDescent="0.25">
      <c r="A6" s="678" t="s">
        <v>1384</v>
      </c>
      <c r="B6" s="1203" t="str">
        <f>PROPER(IF(Unformatted!E5=0,"",Unformatted!E5))</f>
        <v>Vallejo Floodwater</v>
      </c>
      <c r="C6" s="1203"/>
      <c r="D6" s="1203"/>
      <c r="E6" s="678" t="s">
        <v>1388</v>
      </c>
      <c r="F6" s="688" t="str">
        <f>IF(Unformatted!E11=0,"",Unformatted!E11)</f>
        <v>2669</v>
      </c>
      <c r="G6" s="678" t="s">
        <v>1392</v>
      </c>
      <c r="H6" s="1215">
        <f>Unformatted!E14</f>
        <v>43823</v>
      </c>
      <c r="I6" s="1215"/>
    </row>
    <row r="7" spans="1:9" x14ac:dyDescent="0.25">
      <c r="A7" s="694" t="s">
        <v>1385</v>
      </c>
      <c r="B7" s="1210" t="str">
        <f>UPPER(IF(Unformatted!E6=0,"",Unformatted!E6))</f>
        <v/>
      </c>
      <c r="C7" s="1210"/>
      <c r="D7" s="1210"/>
      <c r="E7" s="694" t="s">
        <v>1389</v>
      </c>
      <c r="F7" s="691" t="str">
        <f>Unformatted!E12</f>
        <v>VEM0689</v>
      </c>
      <c r="G7" s="694" t="s">
        <v>1393</v>
      </c>
      <c r="H7" s="1216" t="str">
        <f>Unformatted!E15</f>
        <v/>
      </c>
      <c r="I7" s="1216"/>
    </row>
    <row r="8" spans="1:9" x14ac:dyDescent="0.25">
      <c r="A8" s="694" t="s">
        <v>1386</v>
      </c>
      <c r="B8" s="1210" t="str">
        <f>UPPER(IF(Unformatted!E7 =0, "N/A",Unformatted!E7))</f>
        <v/>
      </c>
      <c r="C8" s="1210"/>
      <c r="D8" s="1210"/>
      <c r="E8" s="694" t="s">
        <v>1390</v>
      </c>
      <c r="F8" s="691" t="str">
        <f>UPPER(IF(Unformatted!E13=0,"",Unformatted!E13))</f>
        <v/>
      </c>
    </row>
    <row r="9" spans="1:9" x14ac:dyDescent="0.25">
      <c r="A9" s="694" t="s">
        <v>1387</v>
      </c>
      <c r="B9" s="1107" t="str">
        <f>UPPER(IF(Unformatted!E8 = 0,"",Unformatted!E8))</f>
        <v/>
      </c>
      <c r="C9" s="1107"/>
      <c r="D9" s="1107"/>
      <c r="E9" s="694" t="s">
        <v>1391</v>
      </c>
      <c r="F9" s="1107" t="str">
        <f>IF(Unformatted!E4=0,"",Unformatted!E4)</f>
        <v>A. Lucas</v>
      </c>
      <c r="G9" s="1107"/>
      <c r="H9" s="1107"/>
      <c r="I9" s="1107"/>
    </row>
    <row r="10" spans="1:9" ht="15.75" x14ac:dyDescent="0.25">
      <c r="A10" s="1169" t="s">
        <v>316</v>
      </c>
      <c r="B10" s="1169"/>
      <c r="C10" s="1169"/>
      <c r="D10" s="1169"/>
      <c r="E10" s="1169"/>
      <c r="F10" s="1169"/>
      <c r="G10" s="1169"/>
      <c r="H10" s="1169"/>
      <c r="I10" s="1169"/>
    </row>
    <row r="11" spans="1:9" x14ac:dyDescent="0.25">
      <c r="A11" s="678" t="s">
        <v>1036</v>
      </c>
      <c r="B11" s="1203" t="str">
        <f>IF(Unformatted!E20=0,"",Unformatted!E20)</f>
        <v>Reliance</v>
      </c>
      <c r="C11" s="1203"/>
      <c r="D11" s="678" t="str">
        <f>Unformatted!I23&amp;":"</f>
        <v>HP:</v>
      </c>
      <c r="E11" s="688" t="str">
        <f>IF(Unformatted!E23=0,"",Unformatted!E23)</f>
        <v>25</v>
      </c>
      <c r="F11" s="678" t="s">
        <v>1397</v>
      </c>
      <c r="G11" s="688" t="str">
        <f>IF(Unformatted!E33=0,"",Unformatted!E33)</f>
        <v>3</v>
      </c>
      <c r="H11" s="678" t="s">
        <v>1402</v>
      </c>
      <c r="I11" s="688" t="str">
        <f>UPPER(IF(Unformatted!E38=0,"",Unformatted!E38))</f>
        <v>B</v>
      </c>
    </row>
    <row r="12" spans="1:9" x14ac:dyDescent="0.25">
      <c r="A12" s="678" t="str">
        <f>Unformatted!D29&amp;" "</f>
        <v xml:space="preserve">ID # </v>
      </c>
      <c r="B12" s="1204" t="str">
        <f>UPPER(IF(Unformatted!E29=0,"",Unformatted!E29))</f>
        <v/>
      </c>
      <c r="C12" s="1204"/>
      <c r="D12" s="678" t="s">
        <v>48</v>
      </c>
      <c r="E12" s="688" t="str">
        <f>UPPER(IF(Unformatted!E24=0,"",Unformatted!E24))</f>
        <v>X250TY</v>
      </c>
      <c r="F12" s="678" t="s">
        <v>1398</v>
      </c>
      <c r="G12" s="688" t="str">
        <f>IF(Unformatted!E34=0,"",Unformatted!E34)</f>
        <v>60</v>
      </c>
      <c r="H12" s="678" t="s">
        <v>1403</v>
      </c>
      <c r="I12" s="575" t="str">
        <f>UPPER(IF(Unformatted!E39=0,"",Unformatted!E39))</f>
        <v/>
      </c>
    </row>
    <row r="13" spans="1:9" x14ac:dyDescent="0.25">
      <c r="A13" s="678" t="str">
        <f>Unformatted!D30&amp;" "</f>
        <v xml:space="preserve">Spec # </v>
      </c>
      <c r="B13" s="1204" t="str">
        <f>UPPER(IF(Unformatted!E30=0,"",Unformatted!E30))</f>
        <v/>
      </c>
      <c r="C13" s="1204"/>
      <c r="D13" s="678" t="s">
        <v>1395</v>
      </c>
      <c r="E13" s="576" t="str">
        <f>IF(Unformatted!E28=0,"",Unformatted!E28)</f>
        <v>1760</v>
      </c>
      <c r="F13" s="678" t="s">
        <v>148</v>
      </c>
      <c r="G13" s="688" t="str">
        <f>UPPER(IF(Unformatted!E42=0,"",Unformatted!E42))</f>
        <v>F</v>
      </c>
      <c r="H13" s="678" t="s">
        <v>1406</v>
      </c>
      <c r="I13" s="688" t="str">
        <f>Unformatted!E35</f>
        <v>1.15</v>
      </c>
    </row>
    <row r="14" spans="1:9" x14ac:dyDescent="0.25">
      <c r="A14" s="678" t="str">
        <f>Unformatted!D31&amp;" "</f>
        <v xml:space="preserve">Style # </v>
      </c>
      <c r="B14" s="1204" t="str">
        <f>UPPER(IF(Unformatted!E31=0,"",Unformatted!E31))</f>
        <v/>
      </c>
      <c r="C14" s="1204"/>
      <c r="D14" s="678" t="s">
        <v>1190</v>
      </c>
      <c r="E14" s="688">
        <f>IF(Unformatted!E26=0,"",Unformatted!E26)</f>
        <v>460</v>
      </c>
      <c r="F14" s="678" t="s">
        <v>1399</v>
      </c>
      <c r="G14" s="688">
        <f>IF(Unformatted!E36=0,"",Unformatted!E36)</f>
        <v>40</v>
      </c>
      <c r="H14" s="678" t="s">
        <v>1405</v>
      </c>
      <c r="I14" s="688" t="str">
        <f>IF(Unformatted!E40=0,"",Unformatted!E40)</f>
        <v/>
      </c>
    </row>
    <row r="15" spans="1:9" x14ac:dyDescent="0.25">
      <c r="A15" s="678" t="s">
        <v>1326</v>
      </c>
      <c r="B15" s="1217" t="str">
        <f>UPPER(IF(Unformatted!E25=0,"",Unformatted!E25))</f>
        <v>P</v>
      </c>
      <c r="C15" s="1217"/>
      <c r="D15" s="678" t="s">
        <v>1192</v>
      </c>
      <c r="E15" s="688" t="str">
        <f>IF(Unformatted!E27=0,"",Unformatted!E27)</f>
        <v>64.2/32.1</v>
      </c>
      <c r="F15" s="678" t="s">
        <v>1400</v>
      </c>
      <c r="G15" s="688" t="str">
        <f>IF(Unformatted!E37=0,"",Unformatted!E37)</f>
        <v/>
      </c>
      <c r="H15" s="678" t="s">
        <v>1404</v>
      </c>
      <c r="I15" s="688" t="str">
        <f>Unformatted!E41</f>
        <v/>
      </c>
    </row>
    <row r="16" spans="1:9" x14ac:dyDescent="0.25">
      <c r="A16" s="678" t="s">
        <v>1394</v>
      </c>
      <c r="B16" s="1218" t="str">
        <f>IF(Unformatted!E19=0,"",Unformatted!E19)</f>
        <v>Vertical</v>
      </c>
      <c r="C16" s="1218"/>
      <c r="D16" s="678" t="s">
        <v>1396</v>
      </c>
      <c r="E16" s="688" t="str">
        <f>IF(Unformatted!E21=0,"",Unformatted!E21)</f>
        <v>TENV</v>
      </c>
      <c r="F16" s="678" t="s">
        <v>1401</v>
      </c>
      <c r="G16" s="688" t="str">
        <f>IF(Unformatted!E22=0,"",Unformatted!E22)</f>
        <v>Continuous</v>
      </c>
      <c r="H16" s="2"/>
      <c r="I16" s="2"/>
    </row>
    <row r="17" spans="1:19" ht="15.75" x14ac:dyDescent="0.25">
      <c r="A17" s="1169" t="s">
        <v>318</v>
      </c>
      <c r="B17" s="1169"/>
      <c r="C17" s="1169"/>
      <c r="D17" s="1169"/>
      <c r="E17" s="1169"/>
      <c r="F17" s="1169"/>
      <c r="G17" s="1169"/>
      <c r="H17" s="1169"/>
      <c r="I17" s="1169"/>
    </row>
    <row r="18" spans="1:19" ht="22.5" customHeight="1" x14ac:dyDescent="0.25">
      <c r="A18" s="678" t="s">
        <v>76</v>
      </c>
      <c r="B18" s="696" t="str">
        <f>Unformatted!E48</f>
        <v>N/A</v>
      </c>
      <c r="C18" s="2"/>
      <c r="D18" s="2"/>
      <c r="E18" s="2"/>
      <c r="G18" s="612"/>
      <c r="H18" s="612"/>
      <c r="I18" s="612"/>
      <c r="N18" s="2"/>
      <c r="O18" s="409"/>
      <c r="P18" s="396"/>
      <c r="Q18" s="396"/>
      <c r="R18" s="396"/>
      <c r="S18" s="396"/>
    </row>
    <row r="19" spans="1:19" ht="15" customHeight="1" x14ac:dyDescent="0.25">
      <c r="B19" s="678" t="s">
        <v>1383</v>
      </c>
      <c r="C19" s="1208" t="str">
        <f>Unformatted!E54</f>
        <v>N/A</v>
      </c>
      <c r="D19" s="1208"/>
      <c r="E19" s="1208"/>
      <c r="L19" s="688"/>
      <c r="O19" s="415"/>
      <c r="P19" s="396"/>
    </row>
    <row r="20" spans="1:19" ht="15" customHeight="1" x14ac:dyDescent="0.25">
      <c r="E20" s="694" t="s">
        <v>1327</v>
      </c>
      <c r="F20" s="2" t="str">
        <f>IF(Unformatted!F56=1,IF(Unformatted!F57=3,Unformatted!E57,Unformatted!E57&amp;Unformatted!E58&amp;" "),"")</f>
        <v/>
      </c>
      <c r="H20" s="2"/>
      <c r="I20" s="2"/>
      <c r="Q20" s="572"/>
      <c r="R20" s="572"/>
      <c r="S20" s="572"/>
    </row>
    <row r="21" spans="1:19" ht="15" customHeight="1" x14ac:dyDescent="0.25">
      <c r="A21" s="694" t="s">
        <v>1378</v>
      </c>
      <c r="B21" s="688" t="str">
        <f>IF(F61=0,IF(Unformatted!F61=3,"None",Unformatted!E61 &amp;", Facing: " &amp; Unformatted!E62),"N/A")</f>
        <v>None</v>
      </c>
      <c r="E21" s="684" t="s">
        <v>1382</v>
      </c>
      <c r="F21" s="1210" t="str">
        <f>Unformatted!E59</f>
        <v>N/A</v>
      </c>
      <c r="G21" s="1210"/>
      <c r="H21" s="1210"/>
      <c r="I21" s="1210"/>
      <c r="Q21" s="693"/>
      <c r="R21" s="693"/>
      <c r="S21" s="693"/>
    </row>
    <row r="22" spans="1:19" ht="15" customHeight="1" x14ac:dyDescent="0.25">
      <c r="A22" s="694" t="s">
        <v>1379</v>
      </c>
      <c r="B22" s="691" t="str">
        <f>Unformatted!E63&amp;IF(Unformatted!E63="N/A","","; "&amp;Unformatted!E64)</f>
        <v>N/A</v>
      </c>
      <c r="E22" s="118"/>
      <c r="F22" s="680"/>
      <c r="G22" s="680"/>
      <c r="H22" s="680"/>
      <c r="I22" s="680"/>
    </row>
    <row r="23" spans="1:19" ht="15.75" x14ac:dyDescent="0.25">
      <c r="A23" s="694" t="s">
        <v>1380</v>
      </c>
      <c r="B23" s="691" t="str">
        <f>Unformatted!E65</f>
        <v>None</v>
      </c>
      <c r="D23" s="1212" t="s">
        <v>1342</v>
      </c>
      <c r="E23" s="1212"/>
      <c r="F23" s="1212"/>
      <c r="G23" s="1212"/>
      <c r="H23" s="1212"/>
      <c r="I23" s="1212"/>
      <c r="K23" s="678"/>
      <c r="L23" s="2"/>
      <c r="M23" s="2"/>
    </row>
    <row r="24" spans="1:19" x14ac:dyDescent="0.25">
      <c r="A24" s="694" t="s">
        <v>1381</v>
      </c>
      <c r="B24" s="690" t="str">
        <f>Unformatted!E66</f>
        <v>N/A</v>
      </c>
      <c r="D24" s="694" t="s">
        <v>1375</v>
      </c>
      <c r="E24" s="691" t="str">
        <f>Unformatted!E77</f>
        <v>N/A</v>
      </c>
      <c r="F24" s="1055" t="s">
        <v>1340</v>
      </c>
      <c r="G24" s="1055"/>
      <c r="H24" s="1055"/>
      <c r="I24" s="1055"/>
      <c r="K24" s="694"/>
    </row>
    <row r="25" spans="1:19" x14ac:dyDescent="0.25">
      <c r="A25" s="694" t="s">
        <v>1323</v>
      </c>
      <c r="B25" s="580" t="str">
        <f>Unformatted!E67</f>
        <v>N/A</v>
      </c>
      <c r="D25" s="694" t="s">
        <v>1376</v>
      </c>
      <c r="E25" s="691" t="str">
        <f>Unformatted!E76</f>
        <v>No</v>
      </c>
      <c r="K25" s="694"/>
    </row>
    <row r="26" spans="1:19" x14ac:dyDescent="0.25">
      <c r="D26" s="694" t="s">
        <v>1377</v>
      </c>
      <c r="E26" s="691" t="str">
        <f>Unformatted!E80</f>
        <v>N/A</v>
      </c>
      <c r="K26" s="694"/>
    </row>
    <row r="27" spans="1:19" ht="15" customHeight="1" x14ac:dyDescent="0.25">
      <c r="D27" s="694" t="s">
        <v>1206</v>
      </c>
      <c r="E27" s="691" t="str">
        <f>Unformatted!E79</f>
        <v>N/A</v>
      </c>
      <c r="K27" s="694"/>
      <c r="L27" s="688"/>
    </row>
    <row r="28" spans="1:19" ht="15.75" x14ac:dyDescent="0.25">
      <c r="A28" s="1169" t="s">
        <v>1341</v>
      </c>
      <c r="B28" s="1169"/>
      <c r="C28" s="1169"/>
      <c r="D28" s="1169"/>
      <c r="E28" s="1169"/>
      <c r="F28" s="1169"/>
      <c r="G28" s="1169"/>
      <c r="H28" s="1169"/>
      <c r="I28" s="1169"/>
    </row>
    <row r="29" spans="1:19" ht="15.75" x14ac:dyDescent="0.25">
      <c r="A29" s="946" t="s">
        <v>1370</v>
      </c>
      <c r="B29" s="1143" t="str">
        <f>IF(Unformatted!E129="","N/A",Unformatted!E129)</f>
        <v>N/A</v>
      </c>
      <c r="C29" s="1211" t="s">
        <v>319</v>
      </c>
      <c r="D29" s="1211"/>
      <c r="E29" s="1211"/>
      <c r="G29" s="694" t="s">
        <v>1372</v>
      </c>
      <c r="H29" s="367" t="str">
        <f>IF(Unformatted!E138="","N/A",Unformatted!E138)</f>
        <v>N/A</v>
      </c>
    </row>
    <row r="30" spans="1:19" x14ac:dyDescent="0.25">
      <c r="B30" s="1219"/>
      <c r="C30" s="686" t="s">
        <v>1344</v>
      </c>
      <c r="D30" s="686" t="s">
        <v>1345</v>
      </c>
      <c r="E30" s="686" t="s">
        <v>1346</v>
      </c>
      <c r="G30" s="694" t="s">
        <v>1373</v>
      </c>
      <c r="H30" s="611" t="str">
        <f>Unformatted!E130</f>
        <v>N/A</v>
      </c>
    </row>
    <row r="31" spans="1:19" x14ac:dyDescent="0.25">
      <c r="A31" s="694" t="s">
        <v>1371</v>
      </c>
      <c r="B31" s="688" t="str">
        <f>Unformatted!E127</f>
        <v>N/A</v>
      </c>
      <c r="C31" s="245" t="str">
        <f>Unformatted!E137</f>
        <v>N/A</v>
      </c>
      <c r="D31" s="245" t="str">
        <f>Unformatted!F137</f>
        <v>N/A</v>
      </c>
      <c r="E31" s="245" t="str">
        <f>Unformatted!G137</f>
        <v>N/A</v>
      </c>
      <c r="G31" s="694" t="s">
        <v>1374</v>
      </c>
      <c r="H31" s="611" t="str">
        <f>Unformatted!E128</f>
        <v>N/A</v>
      </c>
    </row>
    <row r="32" spans="1:19" x14ac:dyDescent="0.25">
      <c r="A32" s="694" t="s">
        <v>1153</v>
      </c>
      <c r="B32" s="173" t="str">
        <f>Unformatted!E139</f>
        <v>N/A</v>
      </c>
    </row>
    <row r="33" spans="1:15" ht="15.75" x14ac:dyDescent="0.25">
      <c r="A33" s="694" t="s">
        <v>1154</v>
      </c>
      <c r="B33" s="173" t="str">
        <f>Unformatted!E140</f>
        <v>N/A</v>
      </c>
      <c r="C33" s="1212" t="s">
        <v>1343</v>
      </c>
      <c r="D33" s="1212"/>
      <c r="E33" s="1212"/>
      <c r="F33" s="1212"/>
      <c r="M33" s="694"/>
      <c r="N33" s="688"/>
    </row>
    <row r="34" spans="1:15" x14ac:dyDescent="0.25">
      <c r="A34" s="694" t="s">
        <v>1156</v>
      </c>
      <c r="B34" s="173" t="str">
        <f>Unformatted!E141</f>
        <v>N/A</v>
      </c>
      <c r="C34" s="1213" t="str">
        <f>Unformatted!I137</f>
        <v>N/A</v>
      </c>
      <c r="D34" s="1213" t="str">
        <f>Unformatted!J137</f>
        <v>N/A</v>
      </c>
      <c r="E34" s="1213" t="str">
        <f>Unformatted!K137</f>
        <v>N/A</v>
      </c>
      <c r="F34" s="1213" t="str">
        <f>Unformatted!L137</f>
        <v>N/A</v>
      </c>
      <c r="G34" s="1213"/>
      <c r="M34" s="694"/>
      <c r="N34" s="688"/>
    </row>
    <row r="35" spans="1:15" x14ac:dyDescent="0.25">
      <c r="A35" s="694" t="s">
        <v>1155</v>
      </c>
      <c r="B35" s="676" t="str">
        <f>Unformatted!E142</f>
        <v>N/A</v>
      </c>
      <c r="C35" s="1213"/>
      <c r="D35" s="1213"/>
      <c r="E35" s="1213"/>
      <c r="F35" s="1213"/>
      <c r="G35" s="1213"/>
      <c r="M35" s="694"/>
      <c r="N35" s="688"/>
    </row>
    <row r="36" spans="1:15" x14ac:dyDescent="0.25">
      <c r="M36" s="694"/>
      <c r="N36" s="688"/>
    </row>
    <row r="37" spans="1:15" ht="15.75" x14ac:dyDescent="0.25">
      <c r="B37" s="583" t="s">
        <v>1347</v>
      </c>
      <c r="M37" s="694"/>
      <c r="N37" s="688"/>
    </row>
    <row r="38" spans="1:15" x14ac:dyDescent="0.25">
      <c r="A38" s="694"/>
      <c r="B38" s="367"/>
      <c r="M38" s="694"/>
      <c r="N38" s="688"/>
    </row>
    <row r="39" spans="1:15" ht="15.75" x14ac:dyDescent="0.25">
      <c r="A39" s="1169" t="s">
        <v>1348</v>
      </c>
      <c r="B39" s="1169"/>
      <c r="C39" s="1169"/>
      <c r="D39" s="1169"/>
      <c r="E39" s="1169"/>
      <c r="F39" s="1169"/>
      <c r="G39" s="1169"/>
      <c r="H39" s="1169"/>
      <c r="I39" s="1169"/>
    </row>
    <row r="40" spans="1:15" ht="15.75" x14ac:dyDescent="0.25">
      <c r="A40" s="1386" t="s">
        <v>728</v>
      </c>
      <c r="B40" s="1386"/>
      <c r="C40" s="609"/>
      <c r="D40" s="1386" t="s">
        <v>1349</v>
      </c>
      <c r="E40" s="1386"/>
      <c r="F40" s="1386"/>
      <c r="G40" s="1386"/>
      <c r="H40" s="1386"/>
      <c r="I40" s="1386"/>
      <c r="O40" s="696"/>
    </row>
    <row r="41" spans="1:15" x14ac:dyDescent="0.25">
      <c r="A41" s="694" t="s">
        <v>1190</v>
      </c>
      <c r="B41" s="691" t="str">
        <f>Unformatted!E87</f>
        <v>N/A</v>
      </c>
      <c r="D41" s="1209" t="s">
        <v>1350</v>
      </c>
      <c r="E41" s="1209"/>
      <c r="F41" s="396"/>
      <c r="G41" s="1209" t="s">
        <v>1351</v>
      </c>
      <c r="H41" s="1209"/>
      <c r="I41" s="1209"/>
    </row>
    <row r="42" spans="1:15" x14ac:dyDescent="0.25">
      <c r="A42" s="694" t="s">
        <v>1191</v>
      </c>
      <c r="B42" s="691" t="str">
        <f>Unformatted!E89</f>
        <v>N/A</v>
      </c>
      <c r="D42" s="687" t="s">
        <v>1195</v>
      </c>
      <c r="E42" s="690" t="str">
        <f>Unformatted!E101</f>
        <v>N/A</v>
      </c>
      <c r="F42" s="396"/>
      <c r="G42" s="687" t="s">
        <v>1195</v>
      </c>
      <c r="H42" s="1208" t="str">
        <f>Unformatted!E108</f>
        <v>N/A</v>
      </c>
      <c r="I42" s="1208"/>
    </row>
    <row r="43" spans="1:15" x14ac:dyDescent="0.25">
      <c r="A43" s="694" t="s">
        <v>1369</v>
      </c>
      <c r="B43" s="691" t="str">
        <f>Unformatted!E91</f>
        <v>N/A</v>
      </c>
      <c r="D43" s="694" t="s">
        <v>1200</v>
      </c>
      <c r="E43" s="691" t="str">
        <f>Unformatted!E103</f>
        <v>N/A</v>
      </c>
      <c r="G43" s="694" t="s">
        <v>1200</v>
      </c>
      <c r="H43" s="1208" t="str">
        <f>Unformatted!E109</f>
        <v>N/A</v>
      </c>
      <c r="I43" s="1208"/>
    </row>
    <row r="44" spans="1:15" x14ac:dyDescent="0.25">
      <c r="A44" s="694" t="s">
        <v>1200</v>
      </c>
      <c r="B44" s="691" t="str">
        <f>Unformatted!E93</f>
        <v>N/A</v>
      </c>
      <c r="D44" s="694" t="s">
        <v>1153</v>
      </c>
      <c r="E44" s="691" t="str">
        <f>Unformatted!E102</f>
        <v>N/A</v>
      </c>
      <c r="G44" s="694" t="s">
        <v>1153</v>
      </c>
      <c r="H44" s="1208" t="str">
        <f>Unformatted!E110</f>
        <v>N/A</v>
      </c>
      <c r="I44" s="1208"/>
    </row>
    <row r="45" spans="1:15" x14ac:dyDescent="0.25">
      <c r="A45" s="694" t="s">
        <v>1195</v>
      </c>
      <c r="B45" s="691" t="str">
        <f>Unformatted!E95</f>
        <v>N/A</v>
      </c>
      <c r="D45" s="694" t="s">
        <v>1194</v>
      </c>
      <c r="E45" s="691" t="str">
        <f>Unformatted!E104</f>
        <v>N/A</v>
      </c>
      <c r="G45" s="694" t="s">
        <v>1194</v>
      </c>
      <c r="H45" s="1208" t="str">
        <f>Unformatted!E111</f>
        <v>N/A</v>
      </c>
      <c r="I45" s="1208"/>
    </row>
    <row r="46" spans="1:15" x14ac:dyDescent="0.25">
      <c r="A46" s="694" t="s">
        <v>1153</v>
      </c>
      <c r="B46" s="691" t="str">
        <f>Unformatted!E88</f>
        <v>N/A</v>
      </c>
      <c r="D46" s="1209" t="s">
        <v>136</v>
      </c>
      <c r="E46" s="1209"/>
      <c r="G46" s="1209" t="s">
        <v>1204</v>
      </c>
      <c r="H46" s="1209"/>
      <c r="I46" s="1209"/>
    </row>
    <row r="47" spans="1:15" x14ac:dyDescent="0.25">
      <c r="A47" s="694" t="s">
        <v>1194</v>
      </c>
      <c r="B47" s="691" t="str">
        <f>Unformatted!E90</f>
        <v>N/A</v>
      </c>
      <c r="D47" s="1064" t="str">
        <f>Unformatted!E100</f>
        <v>N/A</v>
      </c>
      <c r="E47" s="1064"/>
      <c r="F47" s="396"/>
      <c r="G47" s="1064" t="str">
        <f>Unformatted!E107</f>
        <v>N/A</v>
      </c>
      <c r="H47" s="1064"/>
      <c r="I47" s="1064"/>
    </row>
    <row r="48" spans="1:15" x14ac:dyDescent="0.25">
      <c r="A48" s="694" t="s">
        <v>1216</v>
      </c>
      <c r="B48" s="691" t="str">
        <f>Unformatted!E92</f>
        <v>N/A</v>
      </c>
      <c r="D48" s="709" t="s">
        <v>134</v>
      </c>
      <c r="E48" s="691" t="str">
        <f>Unformatted!E105</f>
        <v>N/A</v>
      </c>
      <c r="G48" s="709" t="s">
        <v>134</v>
      </c>
      <c r="H48" s="1208" t="str">
        <f>Unformatted!E112</f>
        <v>N/A</v>
      </c>
      <c r="I48" s="1208"/>
    </row>
    <row r="49" spans="1:15" ht="15.75" x14ac:dyDescent="0.25">
      <c r="A49" s="694" t="s">
        <v>1193</v>
      </c>
      <c r="B49" s="691" t="str">
        <f>Unformatted!E94</f>
        <v>N/A</v>
      </c>
      <c r="D49" s="1386" t="s">
        <v>1197</v>
      </c>
      <c r="E49" s="1386"/>
      <c r="F49" s="1386"/>
      <c r="G49" s="1386"/>
      <c r="H49" s="1386"/>
      <c r="I49" s="1386"/>
    </row>
    <row r="50" spans="1:15" x14ac:dyDescent="0.25">
      <c r="A50" s="694" t="s">
        <v>136</v>
      </c>
      <c r="B50" s="691" t="str">
        <f>Unformatted!E86</f>
        <v>N/A</v>
      </c>
      <c r="D50" s="694" t="s">
        <v>1201</v>
      </c>
      <c r="E50" s="691" t="str">
        <f>Unformatted!E121</f>
        <v>N/A</v>
      </c>
      <c r="G50" s="694" t="s">
        <v>1153</v>
      </c>
      <c r="H50" s="1210" t="str">
        <f>Unformatted!E118</f>
        <v>N/A</v>
      </c>
      <c r="I50" s="1210"/>
    </row>
    <row r="51" spans="1:15" x14ac:dyDescent="0.25">
      <c r="A51" s="709" t="s">
        <v>1196</v>
      </c>
      <c r="B51" s="691" t="str">
        <f>Unformatted!E96</f>
        <v>N/A</v>
      </c>
      <c r="D51" s="694" t="s">
        <v>1195</v>
      </c>
      <c r="E51" s="691" t="str">
        <f>Unformatted!E117</f>
        <v>N/A</v>
      </c>
      <c r="G51" s="694" t="s">
        <v>1194</v>
      </c>
      <c r="H51" s="1210" t="str">
        <f>Unformatted!E120</f>
        <v>N/A</v>
      </c>
      <c r="I51" s="1210"/>
    </row>
    <row r="52" spans="1:15" x14ac:dyDescent="0.25">
      <c r="D52" s="694" t="s">
        <v>1200</v>
      </c>
      <c r="E52" s="691" t="str">
        <f>Unformatted!E119</f>
        <v>N/A</v>
      </c>
      <c r="G52" s="694" t="s">
        <v>1196</v>
      </c>
      <c r="H52" s="1210" t="str">
        <f>Unformatted!E122</f>
        <v>N/A</v>
      </c>
      <c r="I52" s="1210"/>
    </row>
    <row r="53" spans="1:15" ht="15.75" customHeight="1" x14ac:dyDescent="0.25">
      <c r="A53" s="1125" t="s">
        <v>1446</v>
      </c>
      <c r="B53" s="1126"/>
      <c r="C53" s="1126"/>
      <c r="D53" s="1126"/>
      <c r="E53" s="1126"/>
      <c r="F53" s="1126"/>
      <c r="G53" s="1126"/>
      <c r="H53" s="1126"/>
      <c r="I53" s="1127"/>
      <c r="O53" s="146"/>
    </row>
    <row r="54" spans="1:15" ht="15" customHeight="1" x14ac:dyDescent="0.25">
      <c r="A54" s="1176" t="str">
        <f>Unformatted!E9</f>
        <v>Issues with water sensor. Cable damaged at entry point into pump.</v>
      </c>
      <c r="B54" s="1177"/>
      <c r="C54" s="1177"/>
      <c r="D54" s="1177"/>
      <c r="E54" s="1177"/>
      <c r="F54" s="1177"/>
      <c r="G54" s="1177"/>
      <c r="H54" s="1177"/>
      <c r="I54" s="1178"/>
    </row>
    <row r="55" spans="1:15" ht="15" customHeight="1" x14ac:dyDescent="0.25">
      <c r="A55" s="1179"/>
      <c r="B55" s="1180"/>
      <c r="C55" s="1180"/>
      <c r="D55" s="1180"/>
      <c r="E55" s="1180"/>
      <c r="F55" s="1180"/>
      <c r="G55" s="1180"/>
      <c r="H55" s="1180"/>
      <c r="I55" s="1181"/>
    </row>
    <row r="56" spans="1:15" ht="15" customHeight="1" x14ac:dyDescent="0.25">
      <c r="A56" s="1182"/>
      <c r="B56" s="1183"/>
      <c r="C56" s="1183"/>
      <c r="D56" s="1183"/>
      <c r="E56" s="1183"/>
      <c r="F56" s="1183"/>
      <c r="G56" s="1183"/>
      <c r="H56" s="1183"/>
      <c r="I56" s="1184"/>
    </row>
    <row r="57" spans="1:15" ht="15" customHeight="1" x14ac:dyDescent="0.25">
      <c r="A57" s="1125" t="s">
        <v>1111</v>
      </c>
      <c r="B57" s="1126"/>
      <c r="C57" s="1126"/>
      <c r="D57" s="1126"/>
      <c r="E57" s="1126"/>
      <c r="F57" s="1126"/>
      <c r="G57" s="1126"/>
      <c r="H57" s="1126"/>
      <c r="I57" s="1127"/>
    </row>
    <row r="58" spans="1:15" ht="15" customHeight="1" x14ac:dyDescent="0.25">
      <c r="A58" s="1142" t="str">
        <f>Unformatted!E10</f>
        <v>Dropped off by Drew.</v>
      </c>
      <c r="B58" s="1143"/>
      <c r="C58" s="1143"/>
      <c r="D58" s="1143"/>
      <c r="E58" s="1143"/>
      <c r="F58" s="1143"/>
      <c r="G58" s="1143"/>
      <c r="H58" s="1143"/>
      <c r="I58" s="1144"/>
    </row>
    <row r="59" spans="1:15" ht="15" customHeight="1" x14ac:dyDescent="0.25">
      <c r="A59" s="1145"/>
      <c r="B59" s="1146"/>
      <c r="C59" s="1146"/>
      <c r="D59" s="1146"/>
      <c r="E59" s="1146"/>
      <c r="F59" s="1146"/>
      <c r="G59" s="1146"/>
      <c r="H59" s="1146"/>
      <c r="I59" s="1147"/>
    </row>
    <row r="60" spans="1:15" ht="15" customHeight="1" x14ac:dyDescent="0.25">
      <c r="A60" s="1145"/>
      <c r="B60" s="1146"/>
      <c r="C60" s="1146"/>
      <c r="D60" s="1146"/>
      <c r="E60" s="1146"/>
      <c r="F60" s="1146"/>
      <c r="G60" s="1146"/>
      <c r="H60" s="1146"/>
      <c r="I60" s="1147"/>
    </row>
    <row r="61" spans="1:15" ht="15" customHeight="1" x14ac:dyDescent="0.25">
      <c r="A61" s="1145"/>
      <c r="B61" s="1146"/>
      <c r="C61" s="1146"/>
      <c r="D61" s="1146"/>
      <c r="E61" s="1146"/>
      <c r="F61" s="1146"/>
      <c r="G61" s="1146"/>
      <c r="H61" s="1146"/>
      <c r="I61" s="1147"/>
      <c r="O61" s="146"/>
    </row>
    <row r="62" spans="1:15" ht="15" customHeight="1" x14ac:dyDescent="0.25">
      <c r="A62" s="1145"/>
      <c r="B62" s="1146"/>
      <c r="C62" s="1146"/>
      <c r="D62" s="1146"/>
      <c r="E62" s="1146"/>
      <c r="F62" s="1146"/>
      <c r="G62" s="1146"/>
      <c r="H62" s="1146"/>
      <c r="I62" s="1147"/>
      <c r="O62" s="146"/>
    </row>
    <row r="63" spans="1:15" ht="15" customHeight="1" x14ac:dyDescent="0.25">
      <c r="A63" s="1148"/>
      <c r="B63" s="1149"/>
      <c r="C63" s="1149"/>
      <c r="D63" s="1149"/>
      <c r="E63" s="1149"/>
      <c r="F63" s="1149"/>
      <c r="G63" s="1149"/>
      <c r="H63" s="1149"/>
      <c r="I63" s="1150"/>
      <c r="O63" s="146"/>
    </row>
    <row r="64" spans="1:15" ht="15" customHeight="1" x14ac:dyDescent="0.25">
      <c r="A64" s="1125" t="s">
        <v>1443</v>
      </c>
      <c r="B64" s="1126"/>
      <c r="C64" s="1126"/>
      <c r="D64" s="1126"/>
      <c r="E64" s="1126"/>
      <c r="F64" s="1126"/>
      <c r="G64" s="1126"/>
      <c r="H64" s="1126"/>
      <c r="I64" s="1127"/>
      <c r="O64" s="146"/>
    </row>
    <row r="65" spans="1:15" ht="15" customHeight="1" x14ac:dyDescent="0.25">
      <c r="A65" s="1142" t="str">
        <f>Unformatted!E81</f>
        <v xml:space="preserve">Large power cable damaged at entry point in top of pump. Pump covered in product. Lifting device on top of pump.Has chinese handcuffs on both cables.End of large cable markings- Black (T1), White (T2), Red (T3),Green(G). End of small cable markings- Green (G), Black (P1), White (P2), Red (W1), Orange (W2). </v>
      </c>
      <c r="B65" s="1143"/>
      <c r="C65" s="1143"/>
      <c r="D65" s="1143"/>
      <c r="E65" s="1143"/>
      <c r="F65" s="1143"/>
      <c r="G65" s="1143"/>
      <c r="H65" s="1143"/>
      <c r="I65" s="1144"/>
      <c r="O65" s="146"/>
    </row>
    <row r="66" spans="1:15" ht="15" customHeight="1" x14ac:dyDescent="0.25">
      <c r="A66" s="1145"/>
      <c r="B66" s="1146"/>
      <c r="C66" s="1146"/>
      <c r="D66" s="1146"/>
      <c r="E66" s="1146"/>
      <c r="F66" s="1146"/>
      <c r="G66" s="1146"/>
      <c r="H66" s="1146"/>
      <c r="I66" s="1147"/>
      <c r="O66" s="146"/>
    </row>
    <row r="67" spans="1:15" ht="15" customHeight="1" x14ac:dyDescent="0.25">
      <c r="A67" s="1145"/>
      <c r="B67" s="1146"/>
      <c r="C67" s="1146"/>
      <c r="D67" s="1146"/>
      <c r="E67" s="1146"/>
      <c r="F67" s="1146"/>
      <c r="G67" s="1146"/>
      <c r="H67" s="1146"/>
      <c r="I67" s="1147"/>
    </row>
    <row r="68" spans="1:15" ht="15" customHeight="1" x14ac:dyDescent="0.25">
      <c r="A68" s="1145"/>
      <c r="B68" s="1146"/>
      <c r="C68" s="1146"/>
      <c r="D68" s="1146"/>
      <c r="E68" s="1146"/>
      <c r="F68" s="1146"/>
      <c r="G68" s="1146"/>
      <c r="H68" s="1146"/>
      <c r="I68" s="1147"/>
    </row>
    <row r="69" spans="1:15" ht="15" customHeight="1" x14ac:dyDescent="0.25">
      <c r="A69" s="1145"/>
      <c r="B69" s="1146"/>
      <c r="C69" s="1146"/>
      <c r="D69" s="1146"/>
      <c r="E69" s="1146"/>
      <c r="F69" s="1146"/>
      <c r="G69" s="1146"/>
      <c r="H69" s="1146"/>
      <c r="I69" s="1147"/>
    </row>
    <row r="70" spans="1:15" ht="14.25" customHeight="1" x14ac:dyDescent="0.25">
      <c r="A70" s="1145"/>
      <c r="B70" s="1146"/>
      <c r="C70" s="1146"/>
      <c r="D70" s="1146"/>
      <c r="E70" s="1146"/>
      <c r="F70" s="1146"/>
      <c r="G70" s="1146"/>
      <c r="H70" s="1146"/>
      <c r="I70" s="1147"/>
    </row>
    <row r="71" spans="1:15" x14ac:dyDescent="0.25">
      <c r="A71" s="1145"/>
      <c r="B71" s="1146"/>
      <c r="C71" s="1146"/>
      <c r="D71" s="1146"/>
      <c r="E71" s="1146"/>
      <c r="F71" s="1146"/>
      <c r="G71" s="1146"/>
      <c r="H71" s="1146"/>
      <c r="I71" s="1147"/>
    </row>
    <row r="72" spans="1:15" x14ac:dyDescent="0.25">
      <c r="A72" s="1145"/>
      <c r="B72" s="1146"/>
      <c r="C72" s="1146"/>
      <c r="D72" s="1146"/>
      <c r="E72" s="1146"/>
      <c r="F72" s="1146"/>
      <c r="G72" s="1146"/>
      <c r="H72" s="1146"/>
      <c r="I72" s="1147"/>
    </row>
    <row r="73" spans="1:15" x14ac:dyDescent="0.25">
      <c r="A73" s="1145"/>
      <c r="B73" s="1146"/>
      <c r="C73" s="1146"/>
      <c r="D73" s="1146"/>
      <c r="E73" s="1146"/>
      <c r="F73" s="1146"/>
      <c r="G73" s="1146"/>
      <c r="H73" s="1146"/>
      <c r="I73" s="1147"/>
    </row>
    <row r="74" spans="1:15" ht="14.45" customHeight="1" x14ac:dyDescent="0.25">
      <c r="A74" s="1148"/>
      <c r="B74" s="1149"/>
      <c r="C74" s="1149"/>
      <c r="D74" s="1149"/>
      <c r="E74" s="1149"/>
      <c r="F74" s="1149"/>
      <c r="G74" s="1149"/>
      <c r="H74" s="1149"/>
      <c r="I74" s="1150"/>
    </row>
    <row r="75" spans="1:15" ht="15" customHeight="1" x14ac:dyDescent="0.25">
      <c r="A75" s="1125" t="s">
        <v>1444</v>
      </c>
      <c r="B75" s="1126"/>
      <c r="C75" s="1126"/>
      <c r="D75" s="1126"/>
      <c r="E75" s="1126"/>
      <c r="F75" s="1126"/>
      <c r="G75" s="1126"/>
      <c r="H75" s="1126"/>
      <c r="I75" s="1127"/>
    </row>
    <row r="76" spans="1:15" x14ac:dyDescent="0.25">
      <c r="A76" s="1142" t="str">
        <f>Unformatted!E153</f>
        <v/>
      </c>
      <c r="B76" s="1143"/>
      <c r="C76" s="1143"/>
      <c r="D76" s="1143"/>
      <c r="E76" s="1143"/>
      <c r="F76" s="1143"/>
      <c r="G76" s="1143"/>
      <c r="H76" s="1143"/>
      <c r="I76" s="1144"/>
    </row>
    <row r="77" spans="1:15" x14ac:dyDescent="0.25">
      <c r="A77" s="1145"/>
      <c r="B77" s="1146"/>
      <c r="C77" s="1146"/>
      <c r="D77" s="1146"/>
      <c r="E77" s="1146"/>
      <c r="F77" s="1146"/>
      <c r="G77" s="1146"/>
      <c r="H77" s="1146"/>
      <c r="I77" s="1147"/>
    </row>
    <row r="78" spans="1:15" x14ac:dyDescent="0.25">
      <c r="A78" s="1145"/>
      <c r="B78" s="1146"/>
      <c r="C78" s="1146"/>
      <c r="D78" s="1146"/>
      <c r="E78" s="1146"/>
      <c r="F78" s="1146"/>
      <c r="G78" s="1146"/>
      <c r="H78" s="1146"/>
      <c r="I78" s="1147"/>
    </row>
    <row r="79" spans="1:15" ht="15.75" customHeight="1" x14ac:dyDescent="0.25">
      <c r="A79" s="1145"/>
      <c r="B79" s="1146"/>
      <c r="C79" s="1146"/>
      <c r="D79" s="1146"/>
      <c r="E79" s="1146"/>
      <c r="F79" s="1146"/>
      <c r="G79" s="1146"/>
      <c r="H79" s="1146"/>
      <c r="I79" s="1147"/>
    </row>
    <row r="80" spans="1:15" x14ac:dyDescent="0.25">
      <c r="A80" s="1145"/>
      <c r="B80" s="1146"/>
      <c r="C80" s="1146"/>
      <c r="D80" s="1146"/>
      <c r="E80" s="1146"/>
      <c r="F80" s="1146"/>
      <c r="G80" s="1146"/>
      <c r="H80" s="1146"/>
      <c r="I80" s="1147"/>
    </row>
    <row r="81" spans="1:9" ht="15.75" customHeight="1" x14ac:dyDescent="0.25">
      <c r="A81" s="1145"/>
      <c r="B81" s="1146"/>
      <c r="C81" s="1146"/>
      <c r="D81" s="1146"/>
      <c r="E81" s="1146"/>
      <c r="F81" s="1146"/>
      <c r="G81" s="1146"/>
      <c r="H81" s="1146"/>
      <c r="I81" s="1147"/>
    </row>
    <row r="82" spans="1:9" ht="15.75" customHeight="1" x14ac:dyDescent="0.25">
      <c r="A82" s="1145"/>
      <c r="B82" s="1146"/>
      <c r="C82" s="1146"/>
      <c r="D82" s="1146"/>
      <c r="E82" s="1146"/>
      <c r="F82" s="1146"/>
      <c r="G82" s="1146"/>
      <c r="H82" s="1146"/>
      <c r="I82" s="1147"/>
    </row>
    <row r="83" spans="1:9" ht="15.75" customHeight="1" x14ac:dyDescent="0.25">
      <c r="A83" s="1145"/>
      <c r="B83" s="1146"/>
      <c r="C83" s="1146"/>
      <c r="D83" s="1146"/>
      <c r="E83" s="1146"/>
      <c r="F83" s="1146"/>
      <c r="G83" s="1146"/>
      <c r="H83" s="1146"/>
      <c r="I83" s="1147"/>
    </row>
    <row r="84" spans="1:9" ht="15.75" customHeight="1" x14ac:dyDescent="0.25">
      <c r="A84" s="1145"/>
      <c r="B84" s="1146"/>
      <c r="C84" s="1146"/>
      <c r="D84" s="1146"/>
      <c r="E84" s="1146"/>
      <c r="F84" s="1146"/>
      <c r="G84" s="1146"/>
      <c r="H84" s="1146"/>
      <c r="I84" s="1147"/>
    </row>
    <row r="85" spans="1:9" ht="15.75" customHeight="1" x14ac:dyDescent="0.25">
      <c r="A85" s="1148"/>
      <c r="B85" s="1149"/>
      <c r="C85" s="1149"/>
      <c r="D85" s="1149"/>
      <c r="E85" s="1149"/>
      <c r="F85" s="1149"/>
      <c r="G85" s="1149"/>
      <c r="H85" s="1149"/>
      <c r="I85" s="1150"/>
    </row>
    <row r="86" spans="1:9" ht="15.75" x14ac:dyDescent="0.25">
      <c r="A86" s="1125" t="s">
        <v>1445</v>
      </c>
      <c r="B86" s="1126"/>
      <c r="C86" s="1126"/>
      <c r="D86" s="1126"/>
      <c r="E86" s="1126"/>
      <c r="F86" s="1126"/>
      <c r="G86" s="1126"/>
      <c r="H86" s="1126"/>
      <c r="I86" s="1127"/>
    </row>
    <row r="87" spans="1:9" ht="15.75" customHeight="1" x14ac:dyDescent="0.25">
      <c r="A87" s="1142" t="str">
        <f>Unformatted!E97</f>
        <v/>
      </c>
      <c r="B87" s="1143"/>
      <c r="C87" s="1143"/>
      <c r="D87" s="1143"/>
      <c r="E87" s="1143"/>
      <c r="F87" s="1143"/>
      <c r="G87" s="1143"/>
      <c r="H87" s="1143"/>
      <c r="I87" s="1144"/>
    </row>
    <row r="88" spans="1:9" ht="15.75" customHeight="1" x14ac:dyDescent="0.25">
      <c r="A88" s="1145"/>
      <c r="B88" s="1146"/>
      <c r="C88" s="1146"/>
      <c r="D88" s="1146"/>
      <c r="E88" s="1146"/>
      <c r="F88" s="1146"/>
      <c r="G88" s="1146"/>
      <c r="H88" s="1146"/>
      <c r="I88" s="1147"/>
    </row>
    <row r="89" spans="1:9" ht="15.75" customHeight="1" x14ac:dyDescent="0.25">
      <c r="A89" s="1145"/>
      <c r="B89" s="1146"/>
      <c r="C89" s="1146"/>
      <c r="D89" s="1146"/>
      <c r="E89" s="1146"/>
      <c r="F89" s="1146"/>
      <c r="G89" s="1146"/>
      <c r="H89" s="1146"/>
      <c r="I89" s="1147"/>
    </row>
    <row r="90" spans="1:9" ht="15.75" customHeight="1" x14ac:dyDescent="0.25">
      <c r="A90" s="1148"/>
      <c r="B90" s="1149"/>
      <c r="C90" s="1149"/>
      <c r="D90" s="1149"/>
      <c r="E90" s="1149"/>
      <c r="F90" s="1149"/>
      <c r="G90" s="1149"/>
      <c r="H90" s="1149"/>
      <c r="I90" s="1150"/>
    </row>
    <row r="91" spans="1:9" ht="15.75" x14ac:dyDescent="0.25">
      <c r="A91" s="1125" t="s">
        <v>1442</v>
      </c>
      <c r="B91" s="1126"/>
      <c r="C91" s="1126"/>
      <c r="D91" s="1126"/>
      <c r="E91" s="1126"/>
      <c r="F91" s="1126"/>
      <c r="G91" s="1126"/>
      <c r="H91" s="1126"/>
      <c r="I91" s="1127"/>
    </row>
    <row r="92" spans="1:9" ht="15.75" customHeight="1" x14ac:dyDescent="0.25">
      <c r="A92" s="1142" t="str">
        <f>Unformatted!E113</f>
        <v/>
      </c>
      <c r="B92" s="1143"/>
      <c r="C92" s="1143"/>
      <c r="D92" s="1143"/>
      <c r="E92" s="1143"/>
      <c r="F92" s="1143"/>
      <c r="G92" s="1143"/>
      <c r="H92" s="1143"/>
      <c r="I92" s="1144"/>
    </row>
    <row r="93" spans="1:9" ht="15.75" customHeight="1" x14ac:dyDescent="0.25">
      <c r="A93" s="1145"/>
      <c r="B93" s="1146"/>
      <c r="C93" s="1146"/>
      <c r="D93" s="1146"/>
      <c r="E93" s="1146"/>
      <c r="F93" s="1146"/>
      <c r="G93" s="1146"/>
      <c r="H93" s="1146"/>
      <c r="I93" s="1147"/>
    </row>
    <row r="94" spans="1:9" ht="15.75" customHeight="1" x14ac:dyDescent="0.25">
      <c r="A94" s="1145"/>
      <c r="B94" s="1146"/>
      <c r="C94" s="1146"/>
      <c r="D94" s="1146"/>
      <c r="E94" s="1146"/>
      <c r="F94" s="1146"/>
      <c r="G94" s="1146"/>
      <c r="H94" s="1146"/>
      <c r="I94" s="1147"/>
    </row>
    <row r="95" spans="1:9" ht="15.75" customHeight="1" x14ac:dyDescent="0.25">
      <c r="A95" s="1145"/>
      <c r="B95" s="1146"/>
      <c r="C95" s="1146"/>
      <c r="D95" s="1146"/>
      <c r="E95" s="1146"/>
      <c r="F95" s="1146"/>
      <c r="G95" s="1146"/>
      <c r="H95" s="1146"/>
      <c r="I95" s="1147"/>
    </row>
    <row r="96" spans="1:9" ht="15.75" customHeight="1" x14ac:dyDescent="0.25">
      <c r="A96" s="1145"/>
      <c r="B96" s="1146"/>
      <c r="C96" s="1146"/>
      <c r="D96" s="1146"/>
      <c r="E96" s="1146"/>
      <c r="F96" s="1146"/>
      <c r="G96" s="1146"/>
      <c r="H96" s="1146"/>
      <c r="I96" s="1147"/>
    </row>
    <row r="97" spans="1:9" ht="15.75" customHeight="1" x14ac:dyDescent="0.25">
      <c r="A97" s="1145"/>
      <c r="B97" s="1146"/>
      <c r="C97" s="1146"/>
      <c r="D97" s="1146"/>
      <c r="E97" s="1146"/>
      <c r="F97" s="1146"/>
      <c r="G97" s="1146"/>
      <c r="H97" s="1146"/>
      <c r="I97" s="1147"/>
    </row>
    <row r="98" spans="1:9" ht="15.75" customHeight="1" x14ac:dyDescent="0.25">
      <c r="A98" s="1148"/>
      <c r="B98" s="1149"/>
      <c r="C98" s="1149"/>
      <c r="D98" s="1149"/>
      <c r="E98" s="1149"/>
      <c r="F98" s="1149"/>
      <c r="G98" s="1149"/>
      <c r="H98" s="1149"/>
      <c r="I98" s="1150"/>
    </row>
    <row r="99" spans="1:9" ht="15.75" x14ac:dyDescent="0.25">
      <c r="A99" s="1125" t="s">
        <v>1441</v>
      </c>
      <c r="B99" s="1126"/>
      <c r="C99" s="1126"/>
      <c r="D99" s="1126"/>
      <c r="E99" s="1126"/>
      <c r="F99" s="1126"/>
      <c r="G99" s="1126"/>
      <c r="H99" s="1126"/>
      <c r="I99" s="1127"/>
    </row>
    <row r="100" spans="1:9" ht="15.75" customHeight="1" x14ac:dyDescent="0.25">
      <c r="A100" s="1185" t="str">
        <f>Unformatted!E123</f>
        <v/>
      </c>
      <c r="B100" s="1186"/>
      <c r="C100" s="1186"/>
      <c r="D100" s="1186"/>
      <c r="E100" s="1186"/>
      <c r="F100" s="1186"/>
      <c r="G100" s="1186"/>
      <c r="H100" s="1186"/>
      <c r="I100" s="1187"/>
    </row>
    <row r="101" spans="1:9" ht="15.75" customHeight="1" x14ac:dyDescent="0.25">
      <c r="A101" s="1188"/>
      <c r="B101" s="1189"/>
      <c r="C101" s="1189"/>
      <c r="D101" s="1189"/>
      <c r="E101" s="1189"/>
      <c r="F101" s="1189"/>
      <c r="G101" s="1189"/>
      <c r="H101" s="1189"/>
      <c r="I101" s="1190"/>
    </row>
    <row r="102" spans="1:9" ht="15.75" customHeight="1" x14ac:dyDescent="0.25">
      <c r="A102" s="1188"/>
      <c r="B102" s="1189"/>
      <c r="C102" s="1189"/>
      <c r="D102" s="1189"/>
      <c r="E102" s="1189"/>
      <c r="F102" s="1189"/>
      <c r="G102" s="1189"/>
      <c r="H102" s="1189"/>
      <c r="I102" s="1190"/>
    </row>
    <row r="103" spans="1:9" ht="15.75" customHeight="1" x14ac:dyDescent="0.25">
      <c r="A103" s="1191"/>
      <c r="B103" s="1192"/>
      <c r="C103" s="1192"/>
      <c r="D103" s="1192"/>
      <c r="E103" s="1192"/>
      <c r="F103" s="1192"/>
      <c r="G103" s="1192"/>
      <c r="H103" s="1192"/>
      <c r="I103" s="1193"/>
    </row>
    <row r="104" spans="1:9" ht="15.75" x14ac:dyDescent="0.25">
      <c r="A104" s="1169" t="s">
        <v>364</v>
      </c>
      <c r="B104" s="1169"/>
      <c r="C104" s="1169"/>
      <c r="D104" s="1169"/>
      <c r="E104" s="1169"/>
      <c r="F104" s="1169"/>
      <c r="G104" s="1169"/>
      <c r="H104" s="1169"/>
      <c r="I104" s="1169"/>
    </row>
    <row r="105" spans="1:9" ht="15.75" x14ac:dyDescent="0.25">
      <c r="A105" s="689" t="s">
        <v>366</v>
      </c>
      <c r="B105" s="689"/>
      <c r="C105" s="689"/>
      <c r="D105" s="689"/>
      <c r="E105" s="689"/>
      <c r="F105" s="689"/>
      <c r="G105" s="689"/>
      <c r="H105" s="689"/>
      <c r="I105" s="689"/>
    </row>
    <row r="106" spans="1:9" ht="7.5" customHeight="1" x14ac:dyDescent="0.25">
      <c r="A106" s="682"/>
      <c r="B106" s="682"/>
      <c r="C106" s="682"/>
      <c r="D106" s="681"/>
      <c r="E106" s="682"/>
      <c r="F106" s="682"/>
      <c r="G106" s="682"/>
      <c r="H106" s="682"/>
      <c r="I106" s="682"/>
    </row>
    <row r="107" spans="1:9" ht="15.75" x14ac:dyDescent="0.25">
      <c r="A107" s="584" t="s">
        <v>367</v>
      </c>
      <c r="E107" s="679" t="s">
        <v>375</v>
      </c>
      <c r="F107" s="679"/>
      <c r="G107" s="679"/>
      <c r="H107" s="37"/>
      <c r="I107" s="37"/>
    </row>
    <row r="108" spans="1:9" x14ac:dyDescent="0.25">
      <c r="B108" s="679" t="s">
        <v>1352</v>
      </c>
      <c r="C108" s="679"/>
      <c r="D108" s="679"/>
      <c r="E108" s="709" t="str">
        <f>"A-B: "</f>
        <v xml:space="preserve">A-B: </v>
      </c>
      <c r="F108" s="702" t="str">
        <f>IF(Unformatted!F160="","N/A", Unformatted!F160 &amp; " " &amp; Unformatted!G160 &amp; IF(Unformatted!H160&gt;=Tolerances!W3," (Open circuit)",""))</f>
        <v>N/A</v>
      </c>
    </row>
    <row r="109" spans="1:9" x14ac:dyDescent="0.25">
      <c r="B109" s="694" t="s">
        <v>1478</v>
      </c>
      <c r="C109" s="702" t="str">
        <f>IF(Unformatted!F157="","N/A",Unformatted!F157 &amp; " " &amp; Unformatted!G157 &amp;" @ " &amp;Unformatted!E158&amp;"v")</f>
        <v>N/A</v>
      </c>
      <c r="E109" s="709" t="str">
        <f>"A-C: "</f>
        <v xml:space="preserve">A-C: </v>
      </c>
      <c r="F109" s="702" t="str">
        <f>IF(Unformatted!F161="","N/A", Unformatted!F161 &amp; " " &amp; Unformatted!G161 &amp; IF(Unformatted!H161&gt;=Tolerances!W3," (Open circuit)",""))</f>
        <v>N/A</v>
      </c>
    </row>
    <row r="110" spans="1:9" x14ac:dyDescent="0.25">
      <c r="E110" s="709" t="str">
        <f>"B-C: "</f>
        <v xml:space="preserve">B-C: </v>
      </c>
      <c r="F110" s="611" t="str">
        <f>IF(Unformatted!F162="","N/A", Unformatted!F162 &amp; " " &amp; Unformatted!G162 &amp; IF(Unformatted!H162&gt;=Tolerances!W3," (Open circuit)",""))</f>
        <v>N/A</v>
      </c>
    </row>
    <row r="111" spans="1:9" ht="15.75" x14ac:dyDescent="0.25">
      <c r="A111" s="1196" t="s">
        <v>379</v>
      </c>
      <c r="B111" s="1196"/>
      <c r="C111" s="1196"/>
      <c r="D111" s="1196"/>
      <c r="E111" s="1196"/>
    </row>
    <row r="112" spans="1:9" x14ac:dyDescent="0.25">
      <c r="A112" s="918" t="s">
        <v>1081</v>
      </c>
      <c r="B112" s="412" t="str">
        <f>Unformatted!E164</f>
        <v>N/A</v>
      </c>
      <c r="D112" s="918" t="s">
        <v>908</v>
      </c>
      <c r="E112" s="245" t="str">
        <f>Unformatted!E165</f>
        <v>N/A</v>
      </c>
    </row>
    <row r="113" spans="1:9" ht="3.75" customHeight="1" x14ac:dyDescent="0.25">
      <c r="A113" s="918"/>
      <c r="B113" s="412"/>
      <c r="D113" s="918"/>
      <c r="E113" s="412"/>
    </row>
    <row r="114" spans="1:9" x14ac:dyDescent="0.25">
      <c r="A114" s="918" t="s">
        <v>407</v>
      </c>
      <c r="B114" s="298" t="str">
        <f>Unformatted!E166</f>
        <v>N/A</v>
      </c>
      <c r="D114" s="918" t="s">
        <v>1407</v>
      </c>
      <c r="E114" s="298" t="str">
        <f>IF(Unformatted!F56,Unformatted!F169,"N/A")</f>
        <v>N/A</v>
      </c>
    </row>
    <row r="115" spans="1:9" ht="3.75" customHeight="1" x14ac:dyDescent="0.25">
      <c r="A115" s="918"/>
      <c r="B115" s="412"/>
      <c r="D115" s="918"/>
      <c r="E115" s="412"/>
    </row>
    <row r="116" spans="1:9" x14ac:dyDescent="0.25">
      <c r="A116" s="918" t="str">
        <f>Unformatted!F168&amp;"Face Run Out: "</f>
        <v xml:space="preserve">Face Run Out: </v>
      </c>
      <c r="B116" s="298" t="str">
        <f>Unformatted!E167</f>
        <v>N/A</v>
      </c>
      <c r="D116" s="918" t="s">
        <v>1408</v>
      </c>
      <c r="E116" s="298" t="str">
        <f>IF(Unformatted!F56,Unformatted!F170,"N/A")</f>
        <v>N/A</v>
      </c>
    </row>
    <row r="117" spans="1:9" ht="3.75" customHeight="1" x14ac:dyDescent="0.25">
      <c r="A117" s="918"/>
      <c r="B117" s="412"/>
      <c r="D117" s="918"/>
      <c r="E117" s="412"/>
    </row>
    <row r="118" spans="1:9" x14ac:dyDescent="0.25">
      <c r="A118" s="918" t="s">
        <v>654</v>
      </c>
      <c r="B118" s="298" t="str">
        <f>Unformatted!E168</f>
        <v>N/A</v>
      </c>
      <c r="D118" s="918" t="s">
        <v>1409</v>
      </c>
      <c r="E118" s="298" t="str">
        <f>Unformatted!E171</f>
        <v>N/A</v>
      </c>
    </row>
    <row r="119" spans="1:9" ht="7.5" customHeight="1" x14ac:dyDescent="0.25">
      <c r="C119" s="8"/>
    </row>
    <row r="120" spans="1:9" ht="15.75" x14ac:dyDescent="0.25">
      <c r="A120" s="706" t="s">
        <v>368</v>
      </c>
      <c r="B120" s="706"/>
      <c r="C120" s="706"/>
      <c r="D120" s="706"/>
      <c r="E120" s="706"/>
      <c r="F120" s="706"/>
      <c r="G120" s="706"/>
      <c r="H120" s="706"/>
      <c r="I120" s="706"/>
    </row>
    <row r="121" spans="1:9" ht="7.5" customHeight="1" x14ac:dyDescent="0.25">
      <c r="A121" s="482"/>
      <c r="B121" s="482"/>
      <c r="C121" s="482"/>
      <c r="D121" s="482"/>
      <c r="E121" s="699"/>
      <c r="F121" s="699"/>
      <c r="G121" s="699"/>
      <c r="H121" s="699"/>
      <c r="I121" s="699"/>
    </row>
    <row r="122" spans="1:9" x14ac:dyDescent="0.25">
      <c r="B122" s="709" t="s">
        <v>409</v>
      </c>
      <c r="C122" s="921" t="str">
        <f>IF(Unformatted!E176="N/A","N/A",Unformatted!E176 &amp; "V")</f>
        <v>ERRORV</v>
      </c>
      <c r="E122" s="1197" t="s">
        <v>371</v>
      </c>
      <c r="F122" s="1197"/>
      <c r="G122" s="1197"/>
      <c r="H122" s="1197"/>
      <c r="I122" s="1197"/>
    </row>
    <row r="123" spans="1:9" x14ac:dyDescent="0.25">
      <c r="B123" s="709" t="str">
        <f>"Nameplate Curr: "</f>
        <v xml:space="preserve">Nameplate Curr: </v>
      </c>
      <c r="C123" s="921" t="str">
        <f>IF(Unformatted!E177="N/A","N/A",Unformatted!E177 &amp; "A")</f>
        <v>ERRORA</v>
      </c>
      <c r="F123" s="711" t="s">
        <v>69</v>
      </c>
      <c r="G123" s="711" t="s">
        <v>370</v>
      </c>
      <c r="H123" s="711" t="s">
        <v>70</v>
      </c>
      <c r="I123" s="247"/>
    </row>
    <row r="124" spans="1:9" x14ac:dyDescent="0.25">
      <c r="B124" s="709" t="s">
        <v>1410</v>
      </c>
      <c r="C124" s="611" t="str">
        <f>IF(Unformatted!E182 = "", "N/A","A = " &amp; Unformatted!E182 &amp; "A, B =  " &amp; Unformatted!F182 &amp; "A, C =  " &amp; Unformatted!G182 &amp;"A")</f>
        <v>N/A</v>
      </c>
      <c r="E124" s="709" t="s">
        <v>1413</v>
      </c>
      <c r="F124" s="923" t="str">
        <f>Unformatted!E184</f>
        <v>N/A</v>
      </c>
      <c r="G124" s="923" t="str">
        <f>Unformatted!F184</f>
        <v>N/A</v>
      </c>
      <c r="H124" s="1111" t="str">
        <f>Unformatted!E186</f>
        <v>N/A</v>
      </c>
      <c r="I124" s="247"/>
    </row>
    <row r="125" spans="1:9" x14ac:dyDescent="0.25">
      <c r="B125" s="125" t="str">
        <f>IFERROR(IF(AND(Unformatted!E178,Unformatted!K182&lt;=1),"",IF(AND(Unformatted!E182&lt;&gt;0,Unformatted!F182&lt;&gt;0,Unformatted!G182&lt;&gt;0,Unformatted!K182&gt;Tolerances!AC3),"ALERT: Current = "&amp;ROUND(100*Unformatted!K182,1)&amp;"% of nameplate.","")),"")</f>
        <v/>
      </c>
      <c r="E125" s="709" t="s">
        <v>1414</v>
      </c>
      <c r="F125" s="923" t="str">
        <f>Unformatted!E185</f>
        <v>N/A</v>
      </c>
      <c r="G125" s="923" t="str">
        <f>Unformatted!F185</f>
        <v>N/A</v>
      </c>
      <c r="H125" s="1112"/>
      <c r="I125" s="247"/>
    </row>
    <row r="126" spans="1:9" x14ac:dyDescent="0.25">
      <c r="B126" s="125" t="str">
        <f>IFERROR(IF(Unformatted!J182&gt;Tolerances!AC2,"Current differential = "&amp;ROUND(100*Unformatted!J182,1)&amp;"%.",""),"")</f>
        <v/>
      </c>
      <c r="F126" s="1194" t="str">
        <f>IF(OR(F124="N/A",H124="N/A",G124="N/A",F125="N/A",G125="N/A"),"",IF(OR(F124&gt;Tolerances!AE2,G124&gt;Tolerances!AE2,F125&gt;Tolerances!AE2,G125&gt;Tolerances!AE2,H124&gt;Tolerances!AE2),"Excessive vibration recorded!",""))</f>
        <v/>
      </c>
      <c r="G126" s="1194"/>
      <c r="H126" s="1194"/>
      <c r="I126" s="247"/>
    </row>
    <row r="127" spans="1:9" x14ac:dyDescent="0.25">
      <c r="F127" s="1195"/>
      <c r="G127" s="1195"/>
      <c r="H127" s="1195"/>
      <c r="I127" s="247"/>
    </row>
    <row r="128" spans="1:9" x14ac:dyDescent="0.25">
      <c r="B128" s="709" t="s">
        <v>1411</v>
      </c>
      <c r="F128" s="610"/>
      <c r="G128" s="610"/>
      <c r="H128" s="610"/>
      <c r="I128" s="247"/>
    </row>
    <row r="129" spans="1:9" x14ac:dyDescent="0.25">
      <c r="B129" s="709" t="s">
        <v>1412</v>
      </c>
      <c r="C129" s="702" t="str">
        <f>IF(Unformatted!E179=TRUE," YES",IF(Unformatted!E176=0,"N/A"," NO"))</f>
        <v xml:space="preserve"> NO</v>
      </c>
      <c r="H129" s="247"/>
      <c r="I129" s="247"/>
    </row>
    <row r="130" spans="1:9" ht="7.5" customHeight="1" x14ac:dyDescent="0.25">
      <c r="I130" s="247"/>
    </row>
    <row r="131" spans="1:9" ht="15" customHeight="1" x14ac:dyDescent="0.25">
      <c r="A131" s="1125" t="s">
        <v>1439</v>
      </c>
      <c r="B131" s="1126"/>
      <c r="C131" s="1126"/>
      <c r="D131" s="1126"/>
      <c r="E131" s="1126"/>
      <c r="F131" s="1126"/>
      <c r="G131" s="1126"/>
      <c r="H131" s="1126"/>
      <c r="I131" s="1127"/>
    </row>
    <row r="132" spans="1:9" x14ac:dyDescent="0.25">
      <c r="A132" s="1142" t="str">
        <f>Unformatted!E172</f>
        <v/>
      </c>
      <c r="B132" s="1143"/>
      <c r="C132" s="1143"/>
      <c r="D132" s="1143"/>
      <c r="E132" s="1143"/>
      <c r="F132" s="1143"/>
      <c r="G132" s="1143"/>
      <c r="H132" s="1143"/>
      <c r="I132" s="1144"/>
    </row>
    <row r="133" spans="1:9" x14ac:dyDescent="0.25">
      <c r="A133" s="1145"/>
      <c r="B133" s="1146"/>
      <c r="C133" s="1146"/>
      <c r="D133" s="1146"/>
      <c r="E133" s="1146"/>
      <c r="F133" s="1146"/>
      <c r="G133" s="1146"/>
      <c r="H133" s="1146"/>
      <c r="I133" s="1147"/>
    </row>
    <row r="134" spans="1:9" x14ac:dyDescent="0.25">
      <c r="A134" s="1145"/>
      <c r="B134" s="1146"/>
      <c r="C134" s="1146"/>
      <c r="D134" s="1146"/>
      <c r="E134" s="1146"/>
      <c r="F134" s="1146"/>
      <c r="G134" s="1146"/>
      <c r="H134" s="1146"/>
      <c r="I134" s="1147"/>
    </row>
    <row r="135" spans="1:9" x14ac:dyDescent="0.25">
      <c r="A135" s="1145"/>
      <c r="B135" s="1146"/>
      <c r="C135" s="1146"/>
      <c r="D135" s="1146"/>
      <c r="E135" s="1146"/>
      <c r="F135" s="1146"/>
      <c r="G135" s="1146"/>
      <c r="H135" s="1146"/>
      <c r="I135" s="1147"/>
    </row>
    <row r="136" spans="1:9" x14ac:dyDescent="0.25">
      <c r="A136" s="1145"/>
      <c r="B136" s="1146"/>
      <c r="C136" s="1146"/>
      <c r="D136" s="1146"/>
      <c r="E136" s="1146"/>
      <c r="F136" s="1146"/>
      <c r="G136" s="1146"/>
      <c r="H136" s="1146"/>
      <c r="I136" s="1147"/>
    </row>
    <row r="137" spans="1:9" x14ac:dyDescent="0.25">
      <c r="A137" s="1145"/>
      <c r="B137" s="1146"/>
      <c r="C137" s="1146"/>
      <c r="D137" s="1146"/>
      <c r="E137" s="1146"/>
      <c r="F137" s="1146"/>
      <c r="G137" s="1146"/>
      <c r="H137" s="1146"/>
      <c r="I137" s="1147"/>
    </row>
    <row r="138" spans="1:9" x14ac:dyDescent="0.25">
      <c r="A138" s="1145"/>
      <c r="B138" s="1146"/>
      <c r="C138" s="1146"/>
      <c r="D138" s="1146"/>
      <c r="E138" s="1146"/>
      <c r="F138" s="1146"/>
      <c r="G138" s="1146"/>
      <c r="H138" s="1146"/>
      <c r="I138" s="1147"/>
    </row>
    <row r="139" spans="1:9" x14ac:dyDescent="0.25">
      <c r="A139" s="1145"/>
      <c r="B139" s="1146"/>
      <c r="C139" s="1146"/>
      <c r="D139" s="1146"/>
      <c r="E139" s="1146"/>
      <c r="F139" s="1146"/>
      <c r="G139" s="1146"/>
      <c r="H139" s="1146"/>
      <c r="I139" s="1147"/>
    </row>
    <row r="140" spans="1:9" x14ac:dyDescent="0.25">
      <c r="A140" s="1145"/>
      <c r="B140" s="1146"/>
      <c r="C140" s="1146"/>
      <c r="D140" s="1146"/>
      <c r="E140" s="1146"/>
      <c r="F140" s="1146"/>
      <c r="G140" s="1146"/>
      <c r="H140" s="1146"/>
      <c r="I140" s="1147"/>
    </row>
    <row r="141" spans="1:9" x14ac:dyDescent="0.25">
      <c r="A141" s="1145"/>
      <c r="B141" s="1146"/>
      <c r="C141" s="1146"/>
      <c r="D141" s="1146"/>
      <c r="E141" s="1146"/>
      <c r="F141" s="1146"/>
      <c r="G141" s="1146"/>
      <c r="H141" s="1146"/>
      <c r="I141" s="1147"/>
    </row>
    <row r="142" spans="1:9" x14ac:dyDescent="0.25">
      <c r="A142" s="1145"/>
      <c r="B142" s="1146"/>
      <c r="C142" s="1146"/>
      <c r="D142" s="1146"/>
      <c r="E142" s="1146"/>
      <c r="F142" s="1146"/>
      <c r="G142" s="1146"/>
      <c r="H142" s="1146"/>
      <c r="I142" s="1147"/>
    </row>
    <row r="143" spans="1:9" x14ac:dyDescent="0.25">
      <c r="A143" s="1145"/>
      <c r="B143" s="1146"/>
      <c r="C143" s="1146"/>
      <c r="D143" s="1146"/>
      <c r="E143" s="1146"/>
      <c r="F143" s="1146"/>
      <c r="G143" s="1146"/>
      <c r="H143" s="1146"/>
      <c r="I143" s="1147"/>
    </row>
    <row r="144" spans="1:9" x14ac:dyDescent="0.25">
      <c r="A144" s="1148"/>
      <c r="B144" s="1149"/>
      <c r="C144" s="1149"/>
      <c r="D144" s="1149"/>
      <c r="E144" s="1149"/>
      <c r="F144" s="1149"/>
      <c r="G144" s="1149"/>
      <c r="H144" s="1149"/>
      <c r="I144" s="1150"/>
    </row>
    <row r="145" spans="1:9" ht="15.75" x14ac:dyDescent="0.25">
      <c r="A145" s="1125" t="s">
        <v>1440</v>
      </c>
      <c r="B145" s="1126"/>
      <c r="C145" s="1126"/>
      <c r="D145" s="1126"/>
      <c r="E145" s="1126"/>
      <c r="F145" s="1126"/>
      <c r="G145" s="1126"/>
      <c r="H145" s="1126"/>
      <c r="I145" s="1127"/>
    </row>
    <row r="146" spans="1:9" x14ac:dyDescent="0.25">
      <c r="A146" s="1142" t="str">
        <f>Unformatted!E187</f>
        <v/>
      </c>
      <c r="B146" s="1143"/>
      <c r="C146" s="1143"/>
      <c r="D146" s="1143"/>
      <c r="E146" s="1143"/>
      <c r="F146" s="1143"/>
      <c r="G146" s="1143"/>
      <c r="H146" s="1143"/>
      <c r="I146" s="1144"/>
    </row>
    <row r="147" spans="1:9" x14ac:dyDescent="0.25">
      <c r="A147" s="1145"/>
      <c r="B147" s="1146"/>
      <c r="C147" s="1146"/>
      <c r="D147" s="1146"/>
      <c r="E147" s="1146"/>
      <c r="F147" s="1146"/>
      <c r="G147" s="1146"/>
      <c r="H147" s="1146"/>
      <c r="I147" s="1147"/>
    </row>
    <row r="148" spans="1:9" x14ac:dyDescent="0.25">
      <c r="A148" s="1145"/>
      <c r="B148" s="1146"/>
      <c r="C148" s="1146"/>
      <c r="D148" s="1146"/>
      <c r="E148" s="1146"/>
      <c r="F148" s="1146"/>
      <c r="G148" s="1146"/>
      <c r="H148" s="1146"/>
      <c r="I148" s="1147"/>
    </row>
    <row r="149" spans="1:9" x14ac:dyDescent="0.25">
      <c r="A149" s="1145"/>
      <c r="B149" s="1146"/>
      <c r="C149" s="1146"/>
      <c r="D149" s="1146"/>
      <c r="E149" s="1146"/>
      <c r="F149" s="1146"/>
      <c r="G149" s="1146"/>
      <c r="H149" s="1146"/>
      <c r="I149" s="1147"/>
    </row>
    <row r="150" spans="1:9" x14ac:dyDescent="0.25">
      <c r="A150" s="1145"/>
      <c r="B150" s="1146"/>
      <c r="C150" s="1146"/>
      <c r="D150" s="1146"/>
      <c r="E150" s="1146"/>
      <c r="F150" s="1146"/>
      <c r="G150" s="1146"/>
      <c r="H150" s="1146"/>
      <c r="I150" s="1147"/>
    </row>
    <row r="151" spans="1:9" x14ac:dyDescent="0.25">
      <c r="A151" s="1145"/>
      <c r="B151" s="1146"/>
      <c r="C151" s="1146"/>
      <c r="D151" s="1146"/>
      <c r="E151" s="1146"/>
      <c r="F151" s="1146"/>
      <c r="G151" s="1146"/>
      <c r="H151" s="1146"/>
      <c r="I151" s="1147"/>
    </row>
    <row r="152" spans="1:9" x14ac:dyDescent="0.25">
      <c r="A152" s="1145"/>
      <c r="B152" s="1146"/>
      <c r="C152" s="1146"/>
      <c r="D152" s="1146"/>
      <c r="E152" s="1146"/>
      <c r="F152" s="1146"/>
      <c r="G152" s="1146"/>
      <c r="H152" s="1146"/>
      <c r="I152" s="1147"/>
    </row>
    <row r="153" spans="1:9" x14ac:dyDescent="0.25">
      <c r="A153" s="1145"/>
      <c r="B153" s="1146"/>
      <c r="C153" s="1146"/>
      <c r="D153" s="1146"/>
      <c r="E153" s="1146"/>
      <c r="F153" s="1146"/>
      <c r="G153" s="1146"/>
      <c r="H153" s="1146"/>
      <c r="I153" s="1147"/>
    </row>
    <row r="154" spans="1:9" x14ac:dyDescent="0.25">
      <c r="A154" s="1145"/>
      <c r="B154" s="1146"/>
      <c r="C154" s="1146"/>
      <c r="D154" s="1146"/>
      <c r="E154" s="1146"/>
      <c r="F154" s="1146"/>
      <c r="G154" s="1146"/>
      <c r="H154" s="1146"/>
      <c r="I154" s="1147"/>
    </row>
    <row r="155" spans="1:9" x14ac:dyDescent="0.25">
      <c r="A155" s="1145"/>
      <c r="B155" s="1146"/>
      <c r="C155" s="1146"/>
      <c r="D155" s="1146"/>
      <c r="E155" s="1146"/>
      <c r="F155" s="1146"/>
      <c r="G155" s="1146"/>
      <c r="H155" s="1146"/>
      <c r="I155" s="1147"/>
    </row>
    <row r="156" spans="1:9" x14ac:dyDescent="0.25">
      <c r="A156" s="1145"/>
      <c r="B156" s="1146"/>
      <c r="C156" s="1146"/>
      <c r="D156" s="1146"/>
      <c r="E156" s="1146"/>
      <c r="F156" s="1146"/>
      <c r="G156" s="1146"/>
      <c r="H156" s="1146"/>
      <c r="I156" s="1147"/>
    </row>
    <row r="157" spans="1:9" x14ac:dyDescent="0.25">
      <c r="A157" s="1145"/>
      <c r="B157" s="1146"/>
      <c r="C157" s="1146"/>
      <c r="D157" s="1146"/>
      <c r="E157" s="1146"/>
      <c r="F157" s="1146"/>
      <c r="G157" s="1146"/>
      <c r="H157" s="1146"/>
      <c r="I157" s="1147"/>
    </row>
    <row r="158" spans="1:9" x14ac:dyDescent="0.25">
      <c r="A158" s="1145"/>
      <c r="B158" s="1146"/>
      <c r="C158" s="1146"/>
      <c r="D158" s="1146"/>
      <c r="E158" s="1146"/>
      <c r="F158" s="1146"/>
      <c r="G158" s="1146"/>
      <c r="H158" s="1146"/>
      <c r="I158" s="1147"/>
    </row>
    <row r="159" spans="1:9" x14ac:dyDescent="0.25">
      <c r="A159" s="1145"/>
      <c r="B159" s="1146"/>
      <c r="C159" s="1146"/>
      <c r="D159" s="1146"/>
      <c r="E159" s="1146"/>
      <c r="F159" s="1146"/>
      <c r="G159" s="1146"/>
      <c r="H159" s="1146"/>
      <c r="I159" s="1147"/>
    </row>
    <row r="160" spans="1:9" x14ac:dyDescent="0.25">
      <c r="A160" s="1148"/>
      <c r="B160" s="1149"/>
      <c r="C160" s="1149"/>
      <c r="D160" s="1149"/>
      <c r="E160" s="1149"/>
      <c r="F160" s="1149"/>
      <c r="G160" s="1149"/>
      <c r="H160" s="1149"/>
      <c r="I160" s="1150"/>
    </row>
    <row r="161" spans="1:9" ht="15.75" x14ac:dyDescent="0.25">
      <c r="A161" s="1169" t="s">
        <v>373</v>
      </c>
      <c r="B161" s="1169"/>
      <c r="C161" s="1169"/>
      <c r="D161" s="1169"/>
      <c r="E161" s="1169"/>
      <c r="F161" s="1169"/>
      <c r="G161" s="1169"/>
      <c r="H161" s="1169"/>
      <c r="I161" s="1169"/>
    </row>
    <row r="162" spans="1:9" ht="15.75" x14ac:dyDescent="0.25">
      <c r="A162" s="1205" t="s">
        <v>354</v>
      </c>
      <c r="B162" s="1205"/>
      <c r="C162" s="1205"/>
      <c r="D162" s="1205"/>
      <c r="E162" s="1205"/>
      <c r="F162" s="1205"/>
      <c r="G162" s="706"/>
      <c r="H162" s="706"/>
      <c r="I162" s="706"/>
    </row>
    <row r="163" spans="1:9" ht="7.5" customHeight="1" x14ac:dyDescent="0.25">
      <c r="A163" s="700"/>
      <c r="B163" s="700"/>
      <c r="C163" s="700"/>
      <c r="D163" s="700"/>
      <c r="E163" s="700"/>
      <c r="F163" s="700"/>
      <c r="G163" s="700"/>
      <c r="H163" s="700"/>
      <c r="I163" s="700"/>
    </row>
    <row r="164" spans="1:9" x14ac:dyDescent="0.25">
      <c r="A164" s="709" t="s">
        <v>60</v>
      </c>
      <c r="B164" s="611" t="str">
        <f>Unformatted!E198</f>
        <v>N/A</v>
      </c>
      <c r="D164" s="709" t="s">
        <v>170</v>
      </c>
      <c r="E164" s="611" t="str">
        <f>IF(Unformatted!E196="","N/A",Unformatted!E196)</f>
        <v>N/A</v>
      </c>
      <c r="G164" s="709" t="s">
        <v>531</v>
      </c>
      <c r="H164" s="2" t="str">
        <f>IF(Unformatted!F200=1,"N/A",Unformatted!E200)</f>
        <v>N/A</v>
      </c>
    </row>
    <row r="165" spans="1:9" x14ac:dyDescent="0.25">
      <c r="A165" s="709" t="s">
        <v>65</v>
      </c>
      <c r="B165" s="611" t="str">
        <f>IF(B164="NONE","N/A",Unformatted!E197)</f>
        <v>N/A</v>
      </c>
      <c r="D165" s="709" t="s">
        <v>528</v>
      </c>
      <c r="E165" s="59" t="str">
        <f>Unformatted!E199</f>
        <v>N/A</v>
      </c>
    </row>
    <row r="166" spans="1:9" ht="7.5" customHeight="1" x14ac:dyDescent="0.25">
      <c r="A166" s="709"/>
      <c r="D166" s="709"/>
    </row>
    <row r="167" spans="1:9" ht="15" customHeight="1" x14ac:dyDescent="0.25">
      <c r="A167" s="707" t="s">
        <v>454</v>
      </c>
      <c r="B167" s="697"/>
      <c r="C167" s="2"/>
      <c r="D167" s="697"/>
      <c r="E167" s="707" t="s">
        <v>625</v>
      </c>
    </row>
    <row r="168" spans="1:9" ht="7.5" customHeight="1" x14ac:dyDescent="0.25">
      <c r="A168" s="707"/>
      <c r="B168" s="697"/>
      <c r="C168" s="2"/>
      <c r="D168" s="697"/>
      <c r="E168" s="707"/>
    </row>
    <row r="169" spans="1:9" x14ac:dyDescent="0.25">
      <c r="A169" s="707"/>
      <c r="B169" s="248" t="s">
        <v>574</v>
      </c>
      <c r="C169" s="248" t="s">
        <v>575</v>
      </c>
      <c r="D169" s="924" t="s">
        <v>621</v>
      </c>
      <c r="E169" s="249" t="str">
        <f>Unformatted!E225</f>
        <v>N/A</v>
      </c>
      <c r="F169" s="1206" t="s">
        <v>589</v>
      </c>
      <c r="G169" s="1207"/>
      <c r="H169" s="1394">
        <f>IF(ISBLANK(Unformatted!E233),"",Unformatted!E233)</f>
        <v>0</v>
      </c>
      <c r="I169" s="1395"/>
    </row>
    <row r="170" spans="1:9" ht="15" customHeight="1" x14ac:dyDescent="0.25">
      <c r="A170" s="709" t="s">
        <v>285</v>
      </c>
      <c r="B170" s="245" t="str">
        <f>Unformatted!F216</f>
        <v>N/A</v>
      </c>
      <c r="C170" s="245" t="str">
        <f>Unformatted!I216</f>
        <v>N/A</v>
      </c>
      <c r="D170" s="924" t="s">
        <v>352</v>
      </c>
      <c r="E170" s="249" t="str">
        <f>Unformatted!E226</f>
        <v>N/A</v>
      </c>
      <c r="F170" s="1174" t="s">
        <v>617</v>
      </c>
      <c r="G170" s="1175"/>
      <c r="H170" s="1396" t="str">
        <f>IFERROR(IF(H169="","",ROUND(Unformatted!E623,2)&amp;" Gm. In.*"),"")</f>
        <v/>
      </c>
      <c r="I170" s="1396"/>
    </row>
    <row r="171" spans="1:9" ht="15" customHeight="1" x14ac:dyDescent="0.25">
      <c r="A171" s="709" t="s">
        <v>286</v>
      </c>
      <c r="B171" s="245" t="str">
        <f>Unformatted!F217</f>
        <v>N/A</v>
      </c>
      <c r="C171" s="245" t="str">
        <f>Unformatted!I217</f>
        <v>N/A</v>
      </c>
      <c r="G171" s="196" t="str">
        <f>IF(H169="","","* "&amp;Unformatted!G626&amp;" method")</f>
        <v>* 2W method</v>
      </c>
    </row>
    <row r="172" spans="1:9" ht="7.5" customHeight="1" x14ac:dyDescent="0.25">
      <c r="B172" s="697"/>
      <c r="C172" s="2"/>
      <c r="D172" s="697"/>
      <c r="H172" s="182"/>
    </row>
    <row r="173" spans="1:9" ht="15" customHeight="1" x14ac:dyDescent="0.25">
      <c r="A173" s="250" t="s">
        <v>403</v>
      </c>
      <c r="F173" s="251" t="s">
        <v>160</v>
      </c>
      <c r="H173" s="920"/>
      <c r="I173" s="920"/>
    </row>
    <row r="174" spans="1:9" ht="15" customHeight="1" x14ac:dyDescent="0.25">
      <c r="A174" s="252" t="s">
        <v>399</v>
      </c>
      <c r="B174" s="1167" t="s">
        <v>397</v>
      </c>
      <c r="C174" s="1168"/>
      <c r="D174" s="1167" t="s">
        <v>338</v>
      </c>
      <c r="E174" s="1168"/>
      <c r="F174" s="709" t="s">
        <v>1084</v>
      </c>
      <c r="G174" s="1166" t="str">
        <f>IF(Unformatted!L212=0,"N/A",Unformatted!M212&amp;IF(COUNTIF(Unformatted!F212:K212,TRUE)," - ","")&amp;IF(Unformatted!N212&lt;&gt;"",Unformatted!N212,"")&amp;IF(Unformatted!O212&lt;&gt;"",Unformatted!O212,"")&amp;IF(Unformatted!P212&lt;&gt;"",Unformatted!P212,"")&amp;IF(Unformatted!Q212&lt;&gt;"",Unformatted!Q212,"")&amp;IF(Unformatted!R212&lt;&gt;"",Unformatted!R212,"")&amp;IF(Unformatted!S212&lt;&gt;"",Unformatted!S212,""))</f>
        <v>N/A</v>
      </c>
      <c r="H174" s="1166"/>
      <c r="I174" s="1166"/>
    </row>
    <row r="175" spans="1:9" ht="15" customHeight="1" x14ac:dyDescent="0.25">
      <c r="A175" s="713" t="str">
        <f>IF(Unformatted!E202=0,"",Unformatted!E202)</f>
        <v/>
      </c>
      <c r="B175" s="711" t="s">
        <v>221</v>
      </c>
      <c r="C175" s="711" t="s">
        <v>222</v>
      </c>
      <c r="D175" s="711" t="s">
        <v>221</v>
      </c>
      <c r="E175" s="711" t="s">
        <v>222</v>
      </c>
      <c r="G175" s="1166"/>
      <c r="H175" s="1166"/>
      <c r="I175" s="1166"/>
    </row>
    <row r="176" spans="1:9" x14ac:dyDescent="0.25">
      <c r="A176" s="709" t="s">
        <v>341</v>
      </c>
      <c r="B176" s="249" t="str">
        <f>Unformatted!G206</f>
        <v>N/A</v>
      </c>
      <c r="C176" s="249" t="str">
        <f>Unformatted!H206</f>
        <v>N/A</v>
      </c>
      <c r="D176" s="249" t="str">
        <f>Unformatted!I206</f>
        <v>N/A</v>
      </c>
      <c r="E176" s="249" t="str">
        <f>Unformatted!J206</f>
        <v>N/A</v>
      </c>
      <c r="G176" s="1165" t="str">
        <f>IFERROR(IF(OR(Unformatted!H206="",Unformatted!G206=""),"",IF(ABS(Unformatted!H206-Unformatted!G206)&gt;0.0004,"Journ. out of round by "&amp;FIXED(ABS(Unformatted!H206-Unformatted!G206),4),"")),"")</f>
        <v/>
      </c>
      <c r="H176" s="1165"/>
      <c r="I176" s="1165"/>
    </row>
    <row r="177" spans="1:9" ht="15" customHeight="1" x14ac:dyDescent="0.25">
      <c r="A177" s="709" t="s">
        <v>380</v>
      </c>
      <c r="B177" s="249" t="str">
        <f>Unformatted!G207</f>
        <v/>
      </c>
      <c r="C177" s="249" t="str">
        <f>Unformatted!H207</f>
        <v/>
      </c>
      <c r="D177" s="249" t="str">
        <f>Unformatted!I207</f>
        <v/>
      </c>
      <c r="E177" s="249" t="str">
        <f>Unformatted!J207</f>
        <v/>
      </c>
      <c r="F177" s="709" t="s">
        <v>1082</v>
      </c>
      <c r="G177" s="1166" t="str">
        <f>IF(Unformatted!L213=0,"N/A",Unformatted!M213&amp;IF(COUNTIF(Unformatted!F213:K213,TRUE)," - ","")&amp;IF(Unformatted!N213&lt;&gt;"",Unformatted!N213,"")&amp;IF(Unformatted!O213&lt;&gt;"",Unformatted!O213,"")&amp;IF(Unformatted!P213&lt;&gt;"",Unformatted!P213,"")&amp;IF(Unformatted!Q213&lt;&gt;"",Unformatted!Q213,"")&amp;IF(Unformatted!R213&lt;&gt;"",Unformatted!R213,"")&amp;IF(Unformatted!S213&lt;&gt;"",Unformatted!S213,""))</f>
        <v>N/A</v>
      </c>
      <c r="H177" s="1166"/>
      <c r="I177" s="1166"/>
    </row>
    <row r="178" spans="1:9" ht="15" customHeight="1" x14ac:dyDescent="0.25">
      <c r="A178" s="709"/>
      <c r="B178" s="101"/>
      <c r="C178" s="101"/>
      <c r="D178" s="101"/>
      <c r="E178" s="101"/>
      <c r="F178" s="253"/>
      <c r="G178" s="1166"/>
      <c r="H178" s="1166"/>
      <c r="I178" s="1166"/>
    </row>
    <row r="179" spans="1:9" ht="15" customHeight="1" x14ac:dyDescent="0.25">
      <c r="A179" s="709"/>
      <c r="G179" s="1165" t="str">
        <f>IFERROR(IF(OR(Unformatted!I206="",Unformatted!J206=""),"",IF(ABS(Unformatted!J206-Unformatted!I206)&gt;0.0004,"Hous. out of round by "&amp;FIXED(ABS(Unformatted!J206-Unformatted!I206),4),"")),"")</f>
        <v/>
      </c>
      <c r="H179" s="1165"/>
      <c r="I179" s="1165"/>
    </row>
    <row r="180" spans="1:9" ht="11.25" customHeight="1" x14ac:dyDescent="0.25">
      <c r="A180" s="709"/>
      <c r="F180" s="251" t="s">
        <v>160</v>
      </c>
      <c r="G180" s="254"/>
      <c r="H180" s="254"/>
      <c r="I180" s="254"/>
    </row>
    <row r="181" spans="1:9" ht="15" customHeight="1" x14ac:dyDescent="0.25">
      <c r="A181" s="252" t="s">
        <v>400</v>
      </c>
      <c r="B181" s="1167" t="s">
        <v>398</v>
      </c>
      <c r="C181" s="1168"/>
      <c r="D181" s="1167" t="s">
        <v>393</v>
      </c>
      <c r="E181" s="1168"/>
      <c r="F181" s="709" t="s">
        <v>1085</v>
      </c>
      <c r="G181" s="1166" t="str">
        <f>IF(Unformatted!L214=0,"N/A",Unformatted!M214&amp;IF(COUNTIF(Unformatted!F214:K214,TRUE)," - ","")&amp;IF(Unformatted!N214&lt;&gt;"",Unformatted!N214,"")&amp;IF(Unformatted!O214&lt;&gt;"",Unformatted!O214,"")&amp;IF(Unformatted!P214&lt;&gt;"",Unformatted!P214,"")&amp;IF(Unformatted!Q214&lt;&gt;"",Unformatted!Q214,"")&amp;IF(Unformatted!R214&lt;&gt;"",Unformatted!R214,"")&amp;IF(Unformatted!S214&lt;&gt;"",Unformatted!S214,""))</f>
        <v>N/A</v>
      </c>
      <c r="H181" s="1166"/>
      <c r="I181" s="1166"/>
    </row>
    <row r="182" spans="1:9" x14ac:dyDescent="0.25">
      <c r="A182" s="713" t="str">
        <f>IF(Unformatted!G202=0,"",Unformatted!G202)</f>
        <v/>
      </c>
      <c r="B182" s="711" t="s">
        <v>221</v>
      </c>
      <c r="C182" s="711" t="s">
        <v>222</v>
      </c>
      <c r="D182" s="711" t="s">
        <v>221</v>
      </c>
      <c r="E182" s="711" t="s">
        <v>222</v>
      </c>
      <c r="G182" s="1166"/>
      <c r="H182" s="1166"/>
      <c r="I182" s="1166"/>
    </row>
    <row r="183" spans="1:9" x14ac:dyDescent="0.25">
      <c r="A183" s="709" t="s">
        <v>341</v>
      </c>
      <c r="B183" s="249" t="str">
        <f>Unformatted!G209</f>
        <v>N/A</v>
      </c>
      <c r="C183" s="249" t="str">
        <f>Unformatted!H209</f>
        <v>N/A</v>
      </c>
      <c r="D183" s="249" t="str">
        <f>Unformatted!I209</f>
        <v>N/A</v>
      </c>
      <c r="E183" s="249" t="str">
        <f>Unformatted!J209</f>
        <v>N/A</v>
      </c>
      <c r="G183" s="1165" t="str">
        <f>IFERROR(IF(OR(Unformatted!G209="",Unformatted!H209=""),"",IF(ABS(Unformatted!H209-Unformatted!G209)&gt;0.0004,"Journ. out of round by "&amp;FIXED(ABS(Unformatted!H209-Unformatted!G209),4),"")),"")</f>
        <v/>
      </c>
      <c r="H183" s="1165"/>
      <c r="I183" s="1165"/>
    </row>
    <row r="184" spans="1:9" x14ac:dyDescent="0.25">
      <c r="A184" s="709" t="s">
        <v>380</v>
      </c>
      <c r="B184" s="249" t="str">
        <f>Unformatted!G210</f>
        <v/>
      </c>
      <c r="C184" s="249" t="str">
        <f>Unformatted!H210</f>
        <v/>
      </c>
      <c r="D184" s="249" t="str">
        <f>Unformatted!I210</f>
        <v/>
      </c>
      <c r="E184" s="249" t="str">
        <f>Unformatted!J210</f>
        <v/>
      </c>
      <c r="F184" s="698" t="s">
        <v>1083</v>
      </c>
      <c r="G184" s="1166" t="str">
        <f>IF(Unformatted!L215=0,"N/A",Unformatted!M215&amp;IF(COUNTIF(Unformatted!F215:K215,TRUE)," - ","")&amp;IF(Unformatted!N215&lt;&gt;"",Unformatted!N215,"")&amp;IF(Unformatted!O215&lt;&gt;"",Unformatted!O215,"")&amp;IF(Unformatted!P215&lt;&gt;"",Unformatted!P215,"")&amp;IF(Unformatted!Q215&lt;&gt;"",Unformatted!Q215,"")&amp;IF(Unformatted!R215&lt;&gt;"",Unformatted!R215,"")&amp;IF(Unformatted!S215&lt;&gt;"",Unformatted!S215,""))</f>
        <v>N/A</v>
      </c>
      <c r="H184" s="1166"/>
      <c r="I184" s="1166"/>
    </row>
    <row r="185" spans="1:9" x14ac:dyDescent="0.25">
      <c r="G185" s="1166"/>
      <c r="H185" s="1166"/>
      <c r="I185" s="1166"/>
    </row>
    <row r="186" spans="1:9" ht="15" customHeight="1" x14ac:dyDescent="0.25">
      <c r="A186" s="709"/>
      <c r="G186" s="1170" t="str">
        <f>IFERROR(IF(OR(Unformatted!I209="",Unformatted!J209=""),"",IF(ABS(Unformatted!J209-Unformatted!I209)&gt;0.0004,"Hous. Out of Round by "&amp;ROUND(ABS(Unformatted!J209-Unformatted!I209),4),"")),"")</f>
        <v/>
      </c>
      <c r="H186" s="1170"/>
      <c r="I186" s="1170"/>
    </row>
    <row r="187" spans="1:9" x14ac:dyDescent="0.25">
      <c r="A187" s="1171" t="s">
        <v>614</v>
      </c>
      <c r="B187" s="1171"/>
      <c r="C187" s="1171"/>
      <c r="G187" s="920"/>
      <c r="H187" s="920"/>
      <c r="I187" s="920"/>
    </row>
    <row r="188" spans="1:9" x14ac:dyDescent="0.25">
      <c r="A188" s="709" t="s">
        <v>352</v>
      </c>
      <c r="B188" s="611" t="str">
        <f>IFERROR(IF(Unformatted!E228="","N/A","1st = " &amp; FIXED(Unformatted!E228,4) &amp; ", 2nd = " &amp; FIXED(Unformatted!F228,4) &amp; ", 3rd = " &amp;FIXED(Unformatted!G228,4) &amp; " / Avg. = " &amp; FIXED(Unformatted!H228,4)),"N/A")</f>
        <v>N/A</v>
      </c>
      <c r="C188" s="118"/>
      <c r="F188" s="1172" t="str">
        <f>"Shaft Ext. Condition:" &amp; " " &amp;Unformatted!E232</f>
        <v xml:space="preserve">Shaft Ext. Condition: </v>
      </c>
      <c r="G188" s="1172"/>
      <c r="H188" s="1172"/>
      <c r="I188" s="1172"/>
    </row>
    <row r="189" spans="1:9" ht="15" customHeight="1" x14ac:dyDescent="0.25">
      <c r="A189" s="709" t="s">
        <v>351</v>
      </c>
      <c r="B189" s="611" t="str">
        <f>IFERROR(IF(Unformatted!E229="","N/A","1st = " &amp; FIXED(Unformatted!F229,4) &amp; ", 2nd = " &amp; FIXED(Unformatted!G229,4) &amp; ", 3rd = " &amp;FIXED(Unformatted!H229,4) &amp; " / Avg. = " &amp; FIXED(Unformatted!H229,4)),"N/A")</f>
        <v>N/A</v>
      </c>
      <c r="C189" s="118"/>
      <c r="I189" s="24"/>
    </row>
    <row r="190" spans="1:9" x14ac:dyDescent="0.25">
      <c r="A190" s="709" t="s">
        <v>402</v>
      </c>
      <c r="B190" s="702" t="str">
        <f>IFERROR(IF(Unformatted!E229="","N/A", FIXED(Unformatted!I228,4) &amp;" in. " &amp; Unformatted!I229 ),"N/A")</f>
        <v>N/A</v>
      </c>
      <c r="I190" s="24"/>
    </row>
    <row r="191" spans="1:9" x14ac:dyDescent="0.25">
      <c r="B191" s="43" t="str">
        <f>IFERROR(IF(Unformatted!L228&gt;0.0005,"ALERT: Shaft Ext Out of Round by "&amp;FIXED(Unformatted!L228,4),""),"")</f>
        <v/>
      </c>
      <c r="E191" s="254"/>
      <c r="F191" s="254"/>
      <c r="G191" s="254"/>
      <c r="I191" s="24"/>
    </row>
    <row r="192" spans="1:9" x14ac:dyDescent="0.25">
      <c r="B192" s="43" t="str">
        <f>IFERROR(IF(Unformatted!L229&gt;0.0005,"ALERT: Coupling Bore Out of Round by "&amp;FIXED(Unformatted!L229,4),""),"")</f>
        <v/>
      </c>
      <c r="I192" s="24"/>
    </row>
    <row r="193" spans="1:9" ht="15" customHeight="1" x14ac:dyDescent="0.25">
      <c r="A193" s="243" t="s">
        <v>622</v>
      </c>
    </row>
    <row r="194" spans="1:9" x14ac:dyDescent="0.25">
      <c r="B194" s="196" t="s">
        <v>623</v>
      </c>
    </row>
    <row r="195" spans="1:9" ht="15" customHeight="1" x14ac:dyDescent="0.25">
      <c r="B195" s="255" t="s">
        <v>537</v>
      </c>
      <c r="C195" s="249" t="str">
        <f>Unformatted!E223</f>
        <v>N/A</v>
      </c>
      <c r="D195" s="701" t="s">
        <v>517</v>
      </c>
    </row>
    <row r="196" spans="1:9" x14ac:dyDescent="0.25">
      <c r="B196" s="709" t="s">
        <v>534</v>
      </c>
      <c r="C196" s="249" t="str">
        <f>Unformatted!E219</f>
        <v>N/A</v>
      </c>
      <c r="D196" s="249" t="str">
        <f>Unformatted!F219</f>
        <v>N/A</v>
      </c>
    </row>
    <row r="197" spans="1:9" x14ac:dyDescent="0.25">
      <c r="B197" s="709" t="s">
        <v>535</v>
      </c>
      <c r="C197" s="249" t="str">
        <f>Unformatted!E220</f>
        <v>N/A</v>
      </c>
      <c r="D197" s="43" t="str">
        <f>IF(Unformatted!$F$219&lt;0.001,"   WARNING: BEARING NOT CAPTURED","")</f>
        <v/>
      </c>
    </row>
    <row r="198" spans="1:9" x14ac:dyDescent="0.25">
      <c r="B198" s="709" t="s">
        <v>536</v>
      </c>
      <c r="C198" s="249" t="str">
        <f>Unformatted!G221</f>
        <v>N/A</v>
      </c>
    </row>
    <row r="199" spans="1:9" ht="7.5" customHeight="1" x14ac:dyDescent="0.25"/>
    <row r="200" spans="1:9" ht="15.75" customHeight="1" x14ac:dyDescent="0.25">
      <c r="A200" s="1126" t="s">
        <v>1353</v>
      </c>
      <c r="B200" s="1126"/>
      <c r="C200" s="1126"/>
      <c r="D200" s="1126"/>
      <c r="E200" s="1126"/>
      <c r="F200" s="1126"/>
      <c r="G200" s="1126"/>
      <c r="H200" s="1126"/>
      <c r="I200" s="1126"/>
    </row>
    <row r="201" spans="1:9" ht="15" customHeight="1" x14ac:dyDescent="0.25">
      <c r="A201" s="1156" t="str">
        <f>Unformatted!E234</f>
        <v/>
      </c>
      <c r="B201" s="1157"/>
      <c r="C201" s="1157"/>
      <c r="D201" s="1157"/>
      <c r="E201" s="1157"/>
      <c r="F201" s="1157"/>
      <c r="G201" s="1157"/>
      <c r="H201" s="1157"/>
      <c r="I201" s="1158"/>
    </row>
    <row r="202" spans="1:9" ht="15" customHeight="1" x14ac:dyDescent="0.25">
      <c r="A202" s="1159"/>
      <c r="B202" s="1160"/>
      <c r="C202" s="1160"/>
      <c r="D202" s="1160"/>
      <c r="E202" s="1160"/>
      <c r="F202" s="1160"/>
      <c r="G202" s="1160"/>
      <c r="H202" s="1160"/>
      <c r="I202" s="1161"/>
    </row>
    <row r="203" spans="1:9" ht="15" customHeight="1" x14ac:dyDescent="0.25">
      <c r="A203" s="1159"/>
      <c r="B203" s="1160"/>
      <c r="C203" s="1160"/>
      <c r="D203" s="1160"/>
      <c r="E203" s="1160"/>
      <c r="F203" s="1160"/>
      <c r="G203" s="1160"/>
      <c r="H203" s="1160"/>
      <c r="I203" s="1161"/>
    </row>
    <row r="204" spans="1:9" ht="15" customHeight="1" x14ac:dyDescent="0.25">
      <c r="A204" s="1159"/>
      <c r="B204" s="1160"/>
      <c r="C204" s="1160"/>
      <c r="D204" s="1160"/>
      <c r="E204" s="1160"/>
      <c r="F204" s="1160"/>
      <c r="G204" s="1160"/>
      <c r="H204" s="1160"/>
      <c r="I204" s="1161"/>
    </row>
    <row r="205" spans="1:9" ht="15" customHeight="1" x14ac:dyDescent="0.25">
      <c r="A205" s="1159"/>
      <c r="B205" s="1160"/>
      <c r="C205" s="1160"/>
      <c r="D205" s="1160"/>
      <c r="E205" s="1160"/>
      <c r="F205" s="1160"/>
      <c r="G205" s="1160"/>
      <c r="H205" s="1160"/>
      <c r="I205" s="1161"/>
    </row>
    <row r="206" spans="1:9" ht="15" customHeight="1" x14ac:dyDescent="0.25">
      <c r="A206" s="1159"/>
      <c r="B206" s="1160"/>
      <c r="C206" s="1160"/>
      <c r="D206" s="1160"/>
      <c r="E206" s="1160"/>
      <c r="F206" s="1160"/>
      <c r="G206" s="1160"/>
      <c r="H206" s="1160"/>
      <c r="I206" s="1161"/>
    </row>
    <row r="207" spans="1:9" ht="15" customHeight="1" x14ac:dyDescent="0.25">
      <c r="A207" s="1159"/>
      <c r="B207" s="1160"/>
      <c r="C207" s="1160"/>
      <c r="D207" s="1160"/>
      <c r="E207" s="1160"/>
      <c r="F207" s="1160"/>
      <c r="G207" s="1160"/>
      <c r="H207" s="1160"/>
      <c r="I207" s="1161"/>
    </row>
    <row r="208" spans="1:9" ht="15" customHeight="1" x14ac:dyDescent="0.25">
      <c r="A208" s="1159"/>
      <c r="B208" s="1160"/>
      <c r="C208" s="1160"/>
      <c r="D208" s="1160"/>
      <c r="E208" s="1160"/>
      <c r="F208" s="1160"/>
      <c r="G208" s="1160"/>
      <c r="H208" s="1160"/>
      <c r="I208" s="1161"/>
    </row>
    <row r="209" spans="1:18" ht="15" customHeight="1" x14ac:dyDescent="0.25">
      <c r="A209" s="1159"/>
      <c r="B209" s="1160"/>
      <c r="C209" s="1160"/>
      <c r="D209" s="1160"/>
      <c r="E209" s="1160"/>
      <c r="F209" s="1160"/>
      <c r="G209" s="1160"/>
      <c r="H209" s="1160"/>
      <c r="I209" s="1161"/>
    </row>
    <row r="210" spans="1:18" ht="15" customHeight="1" x14ac:dyDescent="0.25">
      <c r="A210" s="1159"/>
      <c r="B210" s="1160"/>
      <c r="C210" s="1160"/>
      <c r="D210" s="1160"/>
      <c r="E210" s="1160"/>
      <c r="F210" s="1160"/>
      <c r="G210" s="1160"/>
      <c r="H210" s="1160"/>
      <c r="I210" s="1161"/>
    </row>
    <row r="211" spans="1:18" ht="15" customHeight="1" x14ac:dyDescent="0.25">
      <c r="A211" s="1159"/>
      <c r="B211" s="1160"/>
      <c r="C211" s="1160"/>
      <c r="D211" s="1160"/>
      <c r="E211" s="1160"/>
      <c r="F211" s="1160"/>
      <c r="G211" s="1160"/>
      <c r="H211" s="1160"/>
      <c r="I211" s="1161"/>
    </row>
    <row r="212" spans="1:18" ht="15" customHeight="1" x14ac:dyDescent="0.25">
      <c r="A212" s="1159"/>
      <c r="B212" s="1160"/>
      <c r="C212" s="1160"/>
      <c r="D212" s="1160"/>
      <c r="E212" s="1160"/>
      <c r="F212" s="1160"/>
      <c r="G212" s="1160"/>
      <c r="H212" s="1160"/>
      <c r="I212" s="1161"/>
    </row>
    <row r="213" spans="1:18" ht="15" customHeight="1" x14ac:dyDescent="0.25">
      <c r="A213" s="1159"/>
      <c r="B213" s="1160"/>
      <c r="C213" s="1160"/>
      <c r="D213" s="1160"/>
      <c r="E213" s="1160"/>
      <c r="F213" s="1160"/>
      <c r="G213" s="1160"/>
      <c r="H213" s="1160"/>
      <c r="I213" s="1161"/>
    </row>
    <row r="214" spans="1:18" ht="15" customHeight="1" x14ac:dyDescent="0.25">
      <c r="A214" s="1159"/>
      <c r="B214" s="1160"/>
      <c r="C214" s="1160"/>
      <c r="D214" s="1160"/>
      <c r="E214" s="1160"/>
      <c r="F214" s="1160"/>
      <c r="G214" s="1160"/>
      <c r="H214" s="1160"/>
      <c r="I214" s="1161"/>
    </row>
    <row r="215" spans="1:18" ht="15" customHeight="1" x14ac:dyDescent="0.25">
      <c r="A215" s="1162"/>
      <c r="B215" s="1163"/>
      <c r="C215" s="1163"/>
      <c r="D215" s="1163"/>
      <c r="E215" s="1163"/>
      <c r="F215" s="1163"/>
      <c r="G215" s="1163"/>
      <c r="H215" s="1163"/>
      <c r="I215" s="1164"/>
    </row>
    <row r="216" spans="1:18" ht="15.75" customHeight="1" x14ac:dyDescent="0.25">
      <c r="A216" s="1169" t="s">
        <v>1417</v>
      </c>
      <c r="B216" s="1169"/>
      <c r="C216" s="1169"/>
      <c r="D216" s="1169"/>
      <c r="E216" s="1169"/>
      <c r="F216" s="1169"/>
      <c r="G216" s="1169"/>
      <c r="H216" s="1169"/>
      <c r="I216" s="1169"/>
    </row>
    <row r="217" spans="1:18" ht="7.5" customHeight="1" x14ac:dyDescent="0.25">
      <c r="D217" s="396"/>
      <c r="E217" s="396"/>
      <c r="F217" s="396"/>
      <c r="G217" s="396"/>
      <c r="H217" s="396"/>
      <c r="I217" s="396"/>
    </row>
    <row r="218" spans="1:18" x14ac:dyDescent="0.25">
      <c r="A218" s="935" t="s">
        <v>1214</v>
      </c>
      <c r="B218" s="929" t="str">
        <f>Unformatted!E240</f>
        <v>N/A</v>
      </c>
      <c r="C218" s="934"/>
      <c r="D218" s="933"/>
      <c r="E218" s="935" t="s">
        <v>1214</v>
      </c>
      <c r="F218" s="929" t="str">
        <f>Unformatted!E244</f>
        <v>N/A</v>
      </c>
      <c r="G218" s="934"/>
      <c r="H218" s="933"/>
    </row>
    <row r="219" spans="1:18" x14ac:dyDescent="0.25">
      <c r="A219" s="935" t="s">
        <v>1357</v>
      </c>
      <c r="B219" s="298" t="str">
        <f>Unformatted!E241</f>
        <v>N/A</v>
      </c>
      <c r="C219" s="935" t="s">
        <v>1196</v>
      </c>
      <c r="D219" s="611" t="str">
        <f>Unformatted!E243</f>
        <v>N/A</v>
      </c>
      <c r="E219" s="935" t="s">
        <v>1357</v>
      </c>
      <c r="F219" s="298" t="str">
        <f>Unformatted!E245</f>
        <v>N/A</v>
      </c>
      <c r="G219" s="935" t="s">
        <v>1196</v>
      </c>
      <c r="H219" s="611" t="str">
        <f>Unformatted!E247</f>
        <v>N/A</v>
      </c>
    </row>
    <row r="220" spans="1:18" x14ac:dyDescent="0.25">
      <c r="A220" s="935" t="s">
        <v>1358</v>
      </c>
      <c r="B220" s="298" t="str">
        <f>Unformatted!E242</f>
        <v>N/A</v>
      </c>
      <c r="D220" s="933"/>
      <c r="E220" s="935" t="s">
        <v>1358</v>
      </c>
      <c r="F220" s="298" t="str">
        <f>Unformatted!E246</f>
        <v>N/A</v>
      </c>
      <c r="H220" s="933"/>
    </row>
    <row r="221" spans="1:18" ht="6.75" customHeight="1" x14ac:dyDescent="0.25"/>
    <row r="222" spans="1:18" x14ac:dyDescent="0.25">
      <c r="A222" s="935" t="s">
        <v>1214</v>
      </c>
      <c r="B222" s="929" t="str">
        <f>Unformatted!E248</f>
        <v>N/A</v>
      </c>
      <c r="C222" s="934"/>
      <c r="D222" s="933"/>
      <c r="E222" s="935" t="s">
        <v>1214</v>
      </c>
      <c r="F222" s="929" t="str">
        <f>Unformatted!E252</f>
        <v>N/A</v>
      </c>
      <c r="G222" s="934"/>
      <c r="H222" s="933"/>
      <c r="O222" s="396"/>
    </row>
    <row r="223" spans="1:18" x14ac:dyDescent="0.25">
      <c r="A223" s="935" t="s">
        <v>1357</v>
      </c>
      <c r="B223" s="298" t="str">
        <f>Unformatted!E249</f>
        <v>N/A</v>
      </c>
      <c r="C223" s="935" t="s">
        <v>1196</v>
      </c>
      <c r="D223" s="611" t="str">
        <f>Unformatted!E251</f>
        <v>N/A</v>
      </c>
      <c r="E223" s="935" t="s">
        <v>1357</v>
      </c>
      <c r="F223" s="298" t="str">
        <f>Unformatted!E253</f>
        <v>N/A</v>
      </c>
      <c r="G223" s="935" t="s">
        <v>1196</v>
      </c>
      <c r="H223" s="929" t="str">
        <f>Unformatted!E255</f>
        <v>N/A</v>
      </c>
      <c r="O223" s="396"/>
    </row>
    <row r="224" spans="1:18" x14ac:dyDescent="0.25">
      <c r="A224" s="935" t="s">
        <v>1358</v>
      </c>
      <c r="B224" s="298" t="str">
        <f>Unformatted!E250</f>
        <v>N/A</v>
      </c>
      <c r="D224" s="933"/>
      <c r="E224" s="935" t="s">
        <v>1358</v>
      </c>
      <c r="F224" s="298" t="str">
        <f>Unformatted!E254</f>
        <v>N/A</v>
      </c>
      <c r="H224" s="933"/>
      <c r="K224" s="396"/>
      <c r="L224" s="396"/>
      <c r="M224" s="396"/>
      <c r="N224" s="396"/>
      <c r="O224" s="396"/>
      <c r="P224" s="396"/>
      <c r="Q224" s="396"/>
      <c r="R224" s="396"/>
    </row>
    <row r="225" spans="1:18" ht="6.75" customHeight="1" x14ac:dyDescent="0.25">
      <c r="A225" s="933"/>
      <c r="B225" s="396"/>
      <c r="C225" s="933"/>
      <c r="D225" s="396"/>
      <c r="K225" s="396"/>
      <c r="L225" s="396"/>
      <c r="M225" s="396"/>
      <c r="N225" s="396"/>
      <c r="O225" s="396"/>
      <c r="P225" s="396"/>
      <c r="Q225" s="396"/>
      <c r="R225" s="396"/>
    </row>
    <row r="226" spans="1:18" x14ac:dyDescent="0.25">
      <c r="A226" s="935" t="s">
        <v>1214</v>
      </c>
      <c r="B226" s="929" t="str">
        <f>Unformatted!E256</f>
        <v>N/A</v>
      </c>
      <c r="C226" s="934"/>
      <c r="D226" s="933"/>
      <c r="E226" s="935" t="s">
        <v>1214</v>
      </c>
      <c r="F226" s="929" t="str">
        <f>Unformatted!E260</f>
        <v>N/A</v>
      </c>
      <c r="G226" s="934"/>
      <c r="H226" s="933"/>
      <c r="K226" s="396"/>
      <c r="L226" s="396"/>
      <c r="M226" s="396"/>
      <c r="N226" s="396"/>
      <c r="O226" s="396"/>
      <c r="P226" s="396"/>
      <c r="Q226" s="396"/>
      <c r="R226" s="396"/>
    </row>
    <row r="227" spans="1:18" x14ac:dyDescent="0.25">
      <c r="A227" s="935" t="s">
        <v>1357</v>
      </c>
      <c r="B227" s="298" t="str">
        <f>Unformatted!E257</f>
        <v>N/A</v>
      </c>
      <c r="C227" s="935" t="s">
        <v>1196</v>
      </c>
      <c r="D227" s="611" t="str">
        <f>Unformatted!E259</f>
        <v>N/A</v>
      </c>
      <c r="E227" s="935" t="s">
        <v>1357</v>
      </c>
      <c r="F227" s="298" t="str">
        <f>Unformatted!E261</f>
        <v>N/A</v>
      </c>
      <c r="G227" s="935" t="s">
        <v>1196</v>
      </c>
      <c r="H227" s="611" t="str">
        <f>Unformatted!E263</f>
        <v>N/A</v>
      </c>
      <c r="K227" s="396"/>
      <c r="L227" s="396"/>
      <c r="M227" s="396"/>
      <c r="N227" s="396"/>
      <c r="O227" s="396"/>
      <c r="P227" s="396"/>
      <c r="Q227" s="396"/>
      <c r="R227" s="396"/>
    </row>
    <row r="228" spans="1:18" x14ac:dyDescent="0.25">
      <c r="A228" s="935" t="s">
        <v>1358</v>
      </c>
      <c r="B228" s="298" t="str">
        <f>Unformatted!E258</f>
        <v>N/A</v>
      </c>
      <c r="D228" s="933"/>
      <c r="E228" s="935" t="s">
        <v>1358</v>
      </c>
      <c r="F228" s="298" t="str">
        <f>Unformatted!E262</f>
        <v>N/A</v>
      </c>
      <c r="H228" s="933"/>
      <c r="K228" s="396"/>
      <c r="L228" s="396"/>
      <c r="M228" s="396"/>
      <c r="N228" s="396"/>
      <c r="O228" s="396"/>
      <c r="P228" s="396"/>
      <c r="Q228" s="396"/>
      <c r="R228" s="396"/>
    </row>
    <row r="229" spans="1:18" ht="6.75" customHeight="1" x14ac:dyDescent="0.25">
      <c r="A229" s="933"/>
      <c r="B229" s="925"/>
      <c r="C229" s="925"/>
      <c r="D229" s="933"/>
      <c r="K229" s="396"/>
      <c r="L229" s="396"/>
      <c r="M229" s="396"/>
      <c r="N229" s="396"/>
      <c r="O229" s="396"/>
      <c r="P229" s="396"/>
      <c r="Q229" s="396"/>
      <c r="R229" s="396"/>
    </row>
    <row r="230" spans="1:18" x14ac:dyDescent="0.25">
      <c r="A230" s="935" t="s">
        <v>1214</v>
      </c>
      <c r="B230" s="929" t="str">
        <f>Unformatted!E264</f>
        <v>N/A</v>
      </c>
      <c r="C230" s="934"/>
      <c r="D230" s="933"/>
      <c r="E230" s="935" t="s">
        <v>1214</v>
      </c>
      <c r="F230" s="929" t="str">
        <f>Unformatted!E268</f>
        <v>N/A</v>
      </c>
      <c r="G230" s="934"/>
      <c r="H230" s="933"/>
      <c r="K230" s="396"/>
      <c r="L230" s="396"/>
      <c r="M230" s="396"/>
      <c r="N230" s="396"/>
      <c r="O230" s="396"/>
      <c r="P230" s="396"/>
      <c r="Q230" s="396"/>
      <c r="R230" s="396"/>
    </row>
    <row r="231" spans="1:18" x14ac:dyDescent="0.25">
      <c r="A231" s="935" t="s">
        <v>1357</v>
      </c>
      <c r="B231" s="298" t="str">
        <f>Unformatted!E265</f>
        <v>N/A</v>
      </c>
      <c r="C231" s="935" t="s">
        <v>1196</v>
      </c>
      <c r="D231" s="611" t="str">
        <f>Unformatted!E267</f>
        <v>N/A</v>
      </c>
      <c r="E231" s="935" t="s">
        <v>1357</v>
      </c>
      <c r="F231" s="298" t="str">
        <f>Unformatted!E269</f>
        <v>N/A</v>
      </c>
      <c r="G231" s="935" t="s">
        <v>1196</v>
      </c>
      <c r="H231" s="611" t="str">
        <f>Unformatted!E271</f>
        <v>N/A</v>
      </c>
      <c r="K231" s="396"/>
      <c r="L231" s="396"/>
      <c r="M231" s="396"/>
      <c r="N231" s="396"/>
      <c r="O231" s="396"/>
      <c r="P231" s="396"/>
      <c r="Q231" s="396"/>
      <c r="R231" s="396"/>
    </row>
    <row r="232" spans="1:18" x14ac:dyDescent="0.25">
      <c r="A232" s="935" t="s">
        <v>1358</v>
      </c>
      <c r="B232" s="298" t="str">
        <f>Unformatted!E266</f>
        <v>N/A</v>
      </c>
      <c r="C232" s="935"/>
      <c r="E232" s="935" t="s">
        <v>1358</v>
      </c>
      <c r="F232" s="298" t="str">
        <f>Unformatted!E270</f>
        <v>N/A</v>
      </c>
      <c r="H232" s="933"/>
      <c r="K232" s="396"/>
      <c r="L232" s="396"/>
      <c r="M232" s="396"/>
      <c r="N232" s="396"/>
      <c r="O232" s="396"/>
      <c r="P232" s="396"/>
      <c r="Q232" s="396"/>
      <c r="R232" s="396"/>
    </row>
    <row r="233" spans="1:18" ht="6.75" customHeight="1" x14ac:dyDescent="0.25">
      <c r="A233" s="504"/>
      <c r="B233" s="504"/>
      <c r="C233" s="504"/>
      <c r="D233" s="504"/>
      <c r="K233" s="396"/>
      <c r="L233" s="396"/>
      <c r="M233" s="396"/>
      <c r="N233" s="396"/>
      <c r="O233" s="396"/>
      <c r="P233" s="396"/>
      <c r="Q233" s="396"/>
      <c r="R233" s="396"/>
    </row>
    <row r="234" spans="1:18" x14ac:dyDescent="0.25">
      <c r="A234" s="935" t="s">
        <v>1214</v>
      </c>
      <c r="B234" s="929" t="str">
        <f>Unformatted!E272</f>
        <v>N/A</v>
      </c>
      <c r="C234" s="934"/>
      <c r="D234" s="933"/>
      <c r="E234" s="935" t="s">
        <v>1214</v>
      </c>
      <c r="F234" s="929" t="str">
        <f>Unformatted!E276</f>
        <v>N/A</v>
      </c>
      <c r="G234" s="934"/>
      <c r="H234" s="933"/>
      <c r="K234" s="396"/>
      <c r="L234" s="396"/>
      <c r="M234" s="396"/>
      <c r="N234" s="396"/>
      <c r="O234" s="396"/>
      <c r="P234" s="396"/>
      <c r="Q234" s="396"/>
      <c r="R234" s="396"/>
    </row>
    <row r="235" spans="1:18" x14ac:dyDescent="0.25">
      <c r="A235" s="935" t="s">
        <v>1357</v>
      </c>
      <c r="B235" s="298" t="str">
        <f>Unformatted!E273</f>
        <v>N/A</v>
      </c>
      <c r="C235" s="935" t="s">
        <v>1196</v>
      </c>
      <c r="D235" s="611" t="str">
        <f>Unformatted!E275</f>
        <v>N/A</v>
      </c>
      <c r="E235" s="935" t="s">
        <v>1357</v>
      </c>
      <c r="F235" s="298" t="str">
        <f>Unformatted!E277</f>
        <v>N/A</v>
      </c>
      <c r="G235" s="935" t="s">
        <v>1196</v>
      </c>
      <c r="H235" s="611" t="str">
        <f>Unformatted!E279</f>
        <v>N/A</v>
      </c>
      <c r="K235" s="396"/>
      <c r="L235" s="396"/>
      <c r="M235" s="396"/>
      <c r="N235" s="396"/>
      <c r="O235" s="396"/>
      <c r="P235" s="396"/>
      <c r="Q235" s="396"/>
      <c r="R235" s="396"/>
    </row>
    <row r="236" spans="1:18" x14ac:dyDescent="0.25">
      <c r="A236" s="935" t="s">
        <v>1358</v>
      </c>
      <c r="B236" s="298" t="str">
        <f>Unformatted!E274</f>
        <v>N/A</v>
      </c>
      <c r="D236" s="933"/>
      <c r="E236" s="935" t="s">
        <v>1358</v>
      </c>
      <c r="F236" s="298" t="str">
        <f>Unformatted!E278</f>
        <v>N/A</v>
      </c>
      <c r="H236" s="933"/>
      <c r="K236" s="925"/>
      <c r="L236" s="925"/>
      <c r="M236" s="396"/>
      <c r="N236" s="396"/>
      <c r="O236" s="396"/>
      <c r="P236" s="396"/>
      <c r="Q236" s="396"/>
      <c r="R236" s="396"/>
    </row>
    <row r="237" spans="1:18" ht="6.75" customHeight="1" x14ac:dyDescent="0.25">
      <c r="A237" s="405"/>
      <c r="B237" s="405"/>
      <c r="C237" s="405"/>
      <c r="D237" s="405"/>
      <c r="K237" s="396"/>
      <c r="L237" s="396"/>
      <c r="M237" s="396"/>
      <c r="N237" s="396"/>
      <c r="O237" s="396"/>
      <c r="P237" s="396"/>
      <c r="Q237" s="396"/>
      <c r="R237" s="396"/>
    </row>
    <row r="238" spans="1:18" ht="15.75" x14ac:dyDescent="0.25">
      <c r="A238" s="1169" t="s">
        <v>1418</v>
      </c>
      <c r="B238" s="1169"/>
      <c r="C238" s="1169"/>
      <c r="D238" s="1169"/>
      <c r="E238" s="1169"/>
      <c r="F238" s="1169"/>
      <c r="G238" s="1169"/>
      <c r="H238" s="1169"/>
      <c r="I238" s="1169"/>
      <c r="K238" s="396"/>
      <c r="L238" s="396"/>
      <c r="M238" s="396"/>
      <c r="N238" s="396"/>
      <c r="O238" s="396"/>
      <c r="P238" s="396"/>
      <c r="Q238" s="396"/>
      <c r="R238" s="396"/>
    </row>
    <row r="239" spans="1:18" ht="6.75" customHeight="1" x14ac:dyDescent="0.25">
      <c r="K239" s="396"/>
      <c r="L239" s="396"/>
      <c r="M239" s="396"/>
      <c r="N239" s="396"/>
      <c r="O239" s="396"/>
      <c r="P239" s="396"/>
      <c r="Q239" s="396"/>
      <c r="R239" s="396"/>
    </row>
    <row r="240" spans="1:18" x14ac:dyDescent="0.25">
      <c r="A240" s="933" t="s">
        <v>1214</v>
      </c>
      <c r="B240" s="677" t="str">
        <f>Unformatted!E284</f>
        <v>N/A</v>
      </c>
      <c r="C240" s="396"/>
      <c r="D240" s="396"/>
      <c r="E240" s="933" t="s">
        <v>1214</v>
      </c>
      <c r="F240" s="618" t="str">
        <f>Unformatted!E289</f>
        <v>N/A</v>
      </c>
      <c r="G240" s="396"/>
      <c r="H240" s="396"/>
      <c r="I240" s="888"/>
      <c r="K240" s="396"/>
      <c r="L240" s="396"/>
      <c r="M240" s="396"/>
      <c r="N240" s="396"/>
      <c r="O240" s="396"/>
      <c r="P240" s="396"/>
      <c r="Q240" s="396"/>
      <c r="R240" s="396"/>
    </row>
    <row r="241" spans="1:18" x14ac:dyDescent="0.25">
      <c r="A241" s="933" t="s">
        <v>1213</v>
      </c>
      <c r="B241" s="928" t="str">
        <f>Unformatted!E288</f>
        <v>N/A</v>
      </c>
      <c r="C241" s="396"/>
      <c r="D241" s="396"/>
      <c r="E241" s="933" t="s">
        <v>1213</v>
      </c>
      <c r="F241" s="928" t="str">
        <f>Unformatted!E293</f>
        <v>N/A</v>
      </c>
      <c r="G241" s="396"/>
      <c r="H241" s="396"/>
      <c r="I241" s="888"/>
      <c r="K241" s="504"/>
      <c r="L241" s="504"/>
      <c r="M241" s="396"/>
      <c r="N241" s="396"/>
      <c r="O241" s="396"/>
      <c r="P241" s="396"/>
      <c r="Q241" s="396"/>
      <c r="R241" s="396"/>
    </row>
    <row r="242" spans="1:18" x14ac:dyDescent="0.25">
      <c r="A242" s="933" t="s">
        <v>1420</v>
      </c>
      <c r="B242" s="926" t="str">
        <f>Unformatted!E285</f>
        <v>N/A</v>
      </c>
      <c r="C242" s="396"/>
      <c r="D242" s="396"/>
      <c r="E242" s="933" t="s">
        <v>1420</v>
      </c>
      <c r="F242" s="926" t="str">
        <f>Unformatted!E290</f>
        <v>N/A</v>
      </c>
      <c r="G242" s="396"/>
      <c r="H242" s="396"/>
      <c r="I242" s="888"/>
      <c r="K242" s="396"/>
      <c r="L242" s="396"/>
      <c r="M242" s="396"/>
      <c r="N242" s="396"/>
      <c r="O242" s="396"/>
      <c r="P242" s="396"/>
      <c r="Q242" s="396"/>
      <c r="R242" s="396"/>
    </row>
    <row r="243" spans="1:18" x14ac:dyDescent="0.25">
      <c r="A243" s="933" t="s">
        <v>1419</v>
      </c>
      <c r="B243" s="298" t="str">
        <f>Unformatted!E286</f>
        <v>N/A</v>
      </c>
      <c r="C243" s="927" t="s">
        <v>134</v>
      </c>
      <c r="D243" s="396" t="str">
        <f>Unformatted!E287</f>
        <v>N/A</v>
      </c>
      <c r="E243" s="933" t="s">
        <v>1419</v>
      </c>
      <c r="F243" s="298" t="str">
        <f>Unformatted!E291</f>
        <v>N/A</v>
      </c>
      <c r="G243" s="927" t="s">
        <v>134</v>
      </c>
      <c r="H243" s="396" t="str">
        <f>Unformatted!E292</f>
        <v>N/A</v>
      </c>
      <c r="I243" s="888"/>
      <c r="K243" s="396"/>
      <c r="L243" s="396"/>
      <c r="M243" s="396"/>
      <c r="N243" s="396"/>
      <c r="O243" s="396"/>
      <c r="P243" s="396"/>
      <c r="Q243" s="396"/>
      <c r="R243" s="396"/>
    </row>
    <row r="244" spans="1:18" ht="6.75" customHeight="1" x14ac:dyDescent="0.25">
      <c r="A244" s="396"/>
      <c r="D244" s="396"/>
      <c r="E244" s="888"/>
      <c r="F244" s="888"/>
      <c r="G244" s="888"/>
      <c r="H244" s="888"/>
      <c r="I244" s="888"/>
      <c r="K244" s="396"/>
      <c r="L244" s="396"/>
      <c r="M244" s="396"/>
      <c r="N244" s="396"/>
      <c r="O244" s="396"/>
      <c r="P244" s="396"/>
      <c r="Q244" s="396"/>
      <c r="R244" s="396"/>
    </row>
    <row r="245" spans="1:18" x14ac:dyDescent="0.25">
      <c r="A245" s="933" t="s">
        <v>1214</v>
      </c>
      <c r="B245" s="618" t="str">
        <f>Unformatted!E294</f>
        <v>N/A</v>
      </c>
      <c r="C245" s="396"/>
      <c r="D245" s="396"/>
      <c r="E245" s="933" t="s">
        <v>1214</v>
      </c>
      <c r="F245" s="618" t="str">
        <f>Unformatted!E299</f>
        <v>N/A</v>
      </c>
      <c r="G245" s="396"/>
      <c r="H245" s="396"/>
      <c r="I245" s="888"/>
      <c r="K245" s="396"/>
      <c r="L245" s="396"/>
      <c r="M245" s="396"/>
      <c r="N245" s="396"/>
      <c r="O245" s="396"/>
      <c r="P245" s="396"/>
      <c r="Q245" s="396"/>
      <c r="R245" s="396"/>
    </row>
    <row r="246" spans="1:18" x14ac:dyDescent="0.25">
      <c r="A246" s="933" t="s">
        <v>1213</v>
      </c>
      <c r="B246" s="928" t="str">
        <f>Unformatted!E298</f>
        <v>N/A</v>
      </c>
      <c r="C246" s="396"/>
      <c r="D246" s="396"/>
      <c r="E246" s="933" t="s">
        <v>1213</v>
      </c>
      <c r="F246" s="928" t="str">
        <f>Unformatted!E303</f>
        <v>N/A</v>
      </c>
      <c r="G246" s="396"/>
      <c r="H246" s="396"/>
      <c r="I246" s="888"/>
      <c r="K246" s="396"/>
      <c r="L246" s="396"/>
      <c r="M246" s="888"/>
      <c r="N246" s="888"/>
      <c r="O246" s="888"/>
      <c r="P246" s="888"/>
      <c r="Q246" s="396"/>
      <c r="R246" s="396"/>
    </row>
    <row r="247" spans="1:18" x14ac:dyDescent="0.25">
      <c r="A247" s="933" t="s">
        <v>1420</v>
      </c>
      <c r="B247" s="926" t="str">
        <f>Unformatted!E295</f>
        <v>N/A</v>
      </c>
      <c r="C247" s="396"/>
      <c r="D247" s="396"/>
      <c r="E247" s="933" t="s">
        <v>1420</v>
      </c>
      <c r="F247" s="926" t="str">
        <f>Unformatted!E300</f>
        <v>N/A</v>
      </c>
      <c r="G247" s="396"/>
      <c r="H247" s="396"/>
      <c r="I247" s="888"/>
      <c r="K247" s="396"/>
      <c r="L247" s="396"/>
      <c r="M247" s="396"/>
      <c r="N247" s="396"/>
      <c r="O247" s="396"/>
      <c r="P247" s="396"/>
      <c r="Q247" s="396"/>
      <c r="R247" s="396"/>
    </row>
    <row r="248" spans="1:18" x14ac:dyDescent="0.25">
      <c r="A248" s="933" t="s">
        <v>1419</v>
      </c>
      <c r="B248" s="298" t="str">
        <f>Unformatted!E296</f>
        <v>N/A</v>
      </c>
      <c r="C248" s="927" t="s">
        <v>134</v>
      </c>
      <c r="D248" s="396" t="str">
        <f>Unformatted!E297</f>
        <v>N/A</v>
      </c>
      <c r="E248" s="933" t="s">
        <v>1419</v>
      </c>
      <c r="F248" s="298" t="str">
        <f>Unformatted!E301</f>
        <v>N/A</v>
      </c>
      <c r="G248" s="927" t="s">
        <v>134</v>
      </c>
      <c r="H248" s="396" t="str">
        <f>Unformatted!E302</f>
        <v>N/A</v>
      </c>
      <c r="I248" s="888"/>
      <c r="K248" s="396"/>
      <c r="L248" s="396"/>
      <c r="M248" s="396"/>
      <c r="N248" s="396"/>
      <c r="O248" s="396"/>
      <c r="P248" s="396"/>
      <c r="Q248" s="396"/>
      <c r="R248" s="396"/>
    </row>
    <row r="249" spans="1:18" ht="6.75" customHeight="1" x14ac:dyDescent="0.25">
      <c r="A249" s="933"/>
      <c r="B249" s="925"/>
      <c r="C249" s="925"/>
      <c r="D249" s="933"/>
      <c r="E249" s="888"/>
      <c r="F249" s="888"/>
      <c r="G249" s="888"/>
      <c r="H249" s="888"/>
      <c r="I249" s="940"/>
      <c r="K249" s="396"/>
      <c r="L249" s="396"/>
      <c r="M249" s="396"/>
      <c r="N249" s="396"/>
      <c r="O249" s="396"/>
      <c r="P249" s="396"/>
      <c r="Q249" s="396"/>
      <c r="R249" s="396"/>
    </row>
    <row r="250" spans="1:18" ht="15.75" x14ac:dyDescent="0.25">
      <c r="A250" s="1169" t="s">
        <v>1447</v>
      </c>
      <c r="B250" s="1169"/>
      <c r="C250" s="1169"/>
      <c r="D250" s="1169"/>
      <c r="E250" s="1169"/>
      <c r="F250" s="1169"/>
      <c r="G250" s="1169"/>
      <c r="H250" s="1169"/>
      <c r="I250" s="1169"/>
      <c r="K250" s="396"/>
      <c r="L250" s="396"/>
      <c r="M250" s="396"/>
      <c r="N250" s="396"/>
      <c r="O250" s="396"/>
      <c r="P250" s="396"/>
      <c r="Q250" s="396"/>
      <c r="R250" s="396"/>
    </row>
    <row r="251" spans="1:18" x14ac:dyDescent="0.25">
      <c r="A251" s="1128" t="str">
        <f>Unformatted!E304</f>
        <v/>
      </c>
      <c r="B251" s="1129"/>
      <c r="C251" s="1129"/>
      <c r="D251" s="1129"/>
      <c r="E251" s="1129"/>
      <c r="F251" s="1129"/>
      <c r="G251" s="1129"/>
      <c r="H251" s="1129"/>
      <c r="I251" s="1130"/>
      <c r="K251" s="396"/>
      <c r="L251" s="396"/>
      <c r="M251" s="396"/>
      <c r="N251" s="396"/>
      <c r="O251" s="396"/>
      <c r="P251" s="396"/>
      <c r="Q251" s="396"/>
      <c r="R251" s="396"/>
    </row>
    <row r="252" spans="1:18" x14ac:dyDescent="0.25">
      <c r="A252" s="1131"/>
      <c r="B252" s="1132"/>
      <c r="C252" s="1132"/>
      <c r="D252" s="1132"/>
      <c r="E252" s="1132"/>
      <c r="F252" s="1132"/>
      <c r="G252" s="1132"/>
      <c r="H252" s="1132"/>
      <c r="I252" s="1133"/>
      <c r="K252" s="396"/>
      <c r="L252" s="396"/>
      <c r="M252" s="396"/>
      <c r="N252" s="396"/>
      <c r="O252" s="396"/>
      <c r="P252" s="396"/>
      <c r="Q252" s="396"/>
      <c r="R252" s="396"/>
    </row>
    <row r="253" spans="1:18" x14ac:dyDescent="0.25">
      <c r="A253" s="1131"/>
      <c r="B253" s="1132"/>
      <c r="C253" s="1132"/>
      <c r="D253" s="1132"/>
      <c r="E253" s="1132"/>
      <c r="F253" s="1132"/>
      <c r="G253" s="1132"/>
      <c r="H253" s="1132"/>
      <c r="I253" s="1133"/>
      <c r="K253" s="396"/>
      <c r="L253" s="396"/>
      <c r="M253" s="396"/>
      <c r="N253" s="396"/>
      <c r="O253" s="396"/>
      <c r="P253" s="396"/>
      <c r="Q253" s="396"/>
      <c r="R253" s="396"/>
    </row>
    <row r="254" spans="1:18" x14ac:dyDescent="0.25">
      <c r="A254" s="1131"/>
      <c r="B254" s="1132"/>
      <c r="C254" s="1132"/>
      <c r="D254" s="1132"/>
      <c r="E254" s="1132"/>
      <c r="F254" s="1132"/>
      <c r="G254" s="1132"/>
      <c r="H254" s="1132"/>
      <c r="I254" s="1133"/>
      <c r="K254" s="396"/>
      <c r="L254" s="396"/>
      <c r="M254" s="396"/>
      <c r="N254" s="396"/>
      <c r="O254" s="396"/>
      <c r="P254" s="396"/>
      <c r="Q254" s="396"/>
      <c r="R254" s="396"/>
    </row>
    <row r="255" spans="1:18" x14ac:dyDescent="0.25">
      <c r="A255" s="1131"/>
      <c r="B255" s="1132"/>
      <c r="C255" s="1132"/>
      <c r="D255" s="1132"/>
      <c r="E255" s="1132"/>
      <c r="F255" s="1132"/>
      <c r="G255" s="1132"/>
      <c r="H255" s="1132"/>
      <c r="I255" s="1133"/>
      <c r="K255" s="396"/>
      <c r="L255" s="396"/>
      <c r="M255" s="396"/>
      <c r="N255" s="396"/>
      <c r="O255" s="396"/>
      <c r="P255" s="396"/>
      <c r="Q255" s="396"/>
      <c r="R255" s="396"/>
    </row>
    <row r="256" spans="1:18" x14ac:dyDescent="0.25">
      <c r="A256" s="1131"/>
      <c r="B256" s="1132"/>
      <c r="C256" s="1132"/>
      <c r="D256" s="1132"/>
      <c r="E256" s="1132"/>
      <c r="F256" s="1132"/>
      <c r="G256" s="1132"/>
      <c r="H256" s="1132"/>
      <c r="I256" s="1133"/>
      <c r="K256" s="396"/>
      <c r="L256" s="396"/>
      <c r="M256" s="396"/>
      <c r="N256" s="396"/>
      <c r="O256" s="396"/>
      <c r="P256" s="396"/>
      <c r="Q256" s="396"/>
      <c r="R256" s="396"/>
    </row>
    <row r="257" spans="1:18" x14ac:dyDescent="0.25">
      <c r="A257" s="1131"/>
      <c r="B257" s="1132"/>
      <c r="C257" s="1132"/>
      <c r="D257" s="1132"/>
      <c r="E257" s="1132"/>
      <c r="F257" s="1132"/>
      <c r="G257" s="1132"/>
      <c r="H257" s="1132"/>
      <c r="I257" s="1133"/>
      <c r="K257" s="396"/>
      <c r="L257" s="396"/>
      <c r="M257" s="396"/>
      <c r="N257" s="396"/>
      <c r="O257" s="396"/>
      <c r="P257" s="396"/>
      <c r="Q257" s="396"/>
      <c r="R257" s="396"/>
    </row>
    <row r="258" spans="1:18" x14ac:dyDescent="0.25">
      <c r="A258" s="1131" t="s">
        <v>1448</v>
      </c>
      <c r="B258" s="1132"/>
      <c r="C258" s="1132"/>
      <c r="D258" s="1132"/>
      <c r="E258" s="1132"/>
      <c r="F258" s="1132"/>
      <c r="G258" s="1132"/>
      <c r="H258" s="1132"/>
      <c r="I258" s="1133"/>
      <c r="K258" s="396"/>
      <c r="L258" s="396"/>
      <c r="M258" s="396"/>
      <c r="N258" s="396"/>
      <c r="O258" s="396"/>
      <c r="P258" s="396"/>
      <c r="Q258" s="396"/>
      <c r="R258" s="396"/>
    </row>
    <row r="259" spans="1:18" ht="15" customHeight="1" x14ac:dyDescent="0.25">
      <c r="A259" s="1134" t="str">
        <f>Unformatted!E281</f>
        <v/>
      </c>
      <c r="B259" s="1135"/>
      <c r="C259" s="1135"/>
      <c r="D259" s="1135"/>
      <c r="E259" s="1135"/>
      <c r="F259" s="1135"/>
      <c r="G259" s="1135"/>
      <c r="H259" s="1135"/>
      <c r="I259" s="1136"/>
    </row>
    <row r="260" spans="1:18" ht="15.75" x14ac:dyDescent="0.25">
      <c r="A260" s="1125"/>
      <c r="B260" s="1126"/>
      <c r="C260" s="1126"/>
      <c r="D260" s="1126"/>
      <c r="E260" s="1126"/>
      <c r="F260" s="1126"/>
      <c r="G260" s="1126"/>
      <c r="H260" s="1126"/>
      <c r="I260" s="1127"/>
    </row>
    <row r="261" spans="1:18" x14ac:dyDescent="0.25">
      <c r="A261" s="1128" t="str">
        <f>Unformatted!E281</f>
        <v/>
      </c>
      <c r="B261" s="1129"/>
      <c r="C261" s="1129"/>
      <c r="D261" s="1129"/>
      <c r="E261" s="1129"/>
      <c r="F261" s="1129"/>
      <c r="G261" s="1129"/>
      <c r="H261" s="1129"/>
      <c r="I261" s="1130"/>
    </row>
    <row r="262" spans="1:18" x14ac:dyDescent="0.25">
      <c r="A262" s="1131"/>
      <c r="B262" s="1132"/>
      <c r="C262" s="1132"/>
      <c r="D262" s="1132"/>
      <c r="E262" s="1132"/>
      <c r="F262" s="1132"/>
      <c r="G262" s="1132"/>
      <c r="H262" s="1132"/>
      <c r="I262" s="1133"/>
    </row>
    <row r="263" spans="1:18" x14ac:dyDescent="0.25">
      <c r="A263" s="1131"/>
      <c r="B263" s="1132"/>
      <c r="C263" s="1132"/>
      <c r="D263" s="1132"/>
      <c r="E263" s="1132"/>
      <c r="F263" s="1132"/>
      <c r="G263" s="1132"/>
      <c r="H263" s="1132"/>
      <c r="I263" s="1133"/>
    </row>
    <row r="264" spans="1:18" x14ac:dyDescent="0.25">
      <c r="A264" s="1131"/>
      <c r="B264" s="1132"/>
      <c r="C264" s="1132"/>
      <c r="D264" s="1132"/>
      <c r="E264" s="1132"/>
      <c r="F264" s="1132"/>
      <c r="G264" s="1132"/>
      <c r="H264" s="1132"/>
      <c r="I264" s="1133"/>
    </row>
    <row r="265" spans="1:18" x14ac:dyDescent="0.25">
      <c r="A265" s="1131"/>
      <c r="B265" s="1132"/>
      <c r="C265" s="1132"/>
      <c r="D265" s="1132"/>
      <c r="E265" s="1132"/>
      <c r="F265" s="1132"/>
      <c r="G265" s="1132"/>
      <c r="H265" s="1132"/>
      <c r="I265" s="1133"/>
    </row>
    <row r="266" spans="1:18" x14ac:dyDescent="0.25">
      <c r="A266" s="1131"/>
      <c r="B266" s="1132"/>
      <c r="C266" s="1132"/>
      <c r="D266" s="1132"/>
      <c r="E266" s="1132"/>
      <c r="F266" s="1132"/>
      <c r="G266" s="1132"/>
      <c r="H266" s="1132"/>
      <c r="I266" s="1133"/>
    </row>
    <row r="267" spans="1:18" x14ac:dyDescent="0.25">
      <c r="A267" s="1131"/>
      <c r="B267" s="1132"/>
      <c r="C267" s="1132"/>
      <c r="D267" s="1132"/>
      <c r="E267" s="1132"/>
      <c r="F267" s="1132"/>
      <c r="G267" s="1132"/>
      <c r="H267" s="1132"/>
      <c r="I267" s="1133"/>
    </row>
    <row r="268" spans="1:18" x14ac:dyDescent="0.25">
      <c r="A268" s="1131"/>
      <c r="B268" s="1132"/>
      <c r="C268" s="1132"/>
      <c r="D268" s="1132"/>
      <c r="E268" s="1132"/>
      <c r="F268" s="1132"/>
      <c r="G268" s="1132"/>
      <c r="H268" s="1132"/>
      <c r="I268" s="1133"/>
    </row>
    <row r="269" spans="1:18" x14ac:dyDescent="0.25">
      <c r="A269" s="1131"/>
      <c r="B269" s="1132"/>
      <c r="C269" s="1132"/>
      <c r="D269" s="1132"/>
      <c r="E269" s="1132"/>
      <c r="F269" s="1132"/>
      <c r="G269" s="1132"/>
      <c r="H269" s="1132"/>
      <c r="I269" s="1133"/>
    </row>
    <row r="270" spans="1:18" x14ac:dyDescent="0.25">
      <c r="A270" s="1131"/>
      <c r="B270" s="1132"/>
      <c r="C270" s="1132"/>
      <c r="D270" s="1132"/>
      <c r="E270" s="1132"/>
      <c r="F270" s="1132"/>
      <c r="G270" s="1132"/>
      <c r="H270" s="1132"/>
      <c r="I270" s="1133"/>
    </row>
    <row r="271" spans="1:18" x14ac:dyDescent="0.25">
      <c r="A271" s="1131"/>
      <c r="B271" s="1132"/>
      <c r="C271" s="1132"/>
      <c r="D271" s="1132"/>
      <c r="E271" s="1132"/>
      <c r="F271" s="1132"/>
      <c r="G271" s="1132"/>
      <c r="H271" s="1132"/>
      <c r="I271" s="1133"/>
    </row>
    <row r="272" spans="1:18" ht="15" customHeight="1" x14ac:dyDescent="0.25">
      <c r="A272" s="1134"/>
      <c r="B272" s="1135"/>
      <c r="C272" s="1135"/>
      <c r="D272" s="1135"/>
      <c r="E272" s="1135"/>
      <c r="F272" s="1135"/>
      <c r="G272" s="1135"/>
      <c r="H272" s="1135"/>
      <c r="I272" s="1136"/>
    </row>
    <row r="273" spans="1:9" s="396" customFormat="1" ht="15.75" x14ac:dyDescent="0.25">
      <c r="A273" s="1110" t="s">
        <v>355</v>
      </c>
      <c r="B273" s="1110"/>
      <c r="C273" s="1110"/>
      <c r="D273" s="1110"/>
      <c r="E273" s="1110"/>
      <c r="F273" s="1110"/>
      <c r="G273" s="1110"/>
      <c r="H273" s="1110"/>
      <c r="I273" s="1110"/>
    </row>
    <row r="274" spans="1:9" s="396" customFormat="1" ht="15" customHeight="1" x14ac:dyDescent="0.25">
      <c r="A274" s="700"/>
      <c r="B274" s="700"/>
      <c r="C274" s="700"/>
      <c r="D274" s="700"/>
      <c r="E274" s="700"/>
      <c r="F274" s="700"/>
      <c r="G274" s="700"/>
      <c r="H274" s="700"/>
      <c r="I274" s="700"/>
    </row>
    <row r="275" spans="1:9" s="396" customFormat="1" x14ac:dyDescent="0.25">
      <c r="A275" s="611"/>
      <c r="B275" s="697" t="s">
        <v>358</v>
      </c>
      <c r="C275" s="2" t="str">
        <f>IF(Unformatted!E307=0,"N/A",Unformatted!E307)</f>
        <v>No issues observed</v>
      </c>
      <c r="D275" s="611"/>
      <c r="E275" s="611"/>
      <c r="F275" s="611"/>
      <c r="G275" s="711" t="s">
        <v>361</v>
      </c>
      <c r="H275" s="711" t="s">
        <v>362</v>
      </c>
      <c r="I275" s="611"/>
    </row>
    <row r="276" spans="1:9" s="396" customFormat="1" x14ac:dyDescent="0.25">
      <c r="A276" s="2"/>
      <c r="B276" s="697" t="s">
        <v>306</v>
      </c>
      <c r="C276" s="2" t="str">
        <f>IF(Unformatted!E308=0,"N/A",Unformatted!E308)</f>
        <v>N/A</v>
      </c>
      <c r="D276" s="611"/>
      <c r="E276" s="611"/>
      <c r="F276" s="709" t="s">
        <v>360</v>
      </c>
      <c r="G276" s="713" t="str">
        <f>Unformatted!E310</f>
        <v>N/A</v>
      </c>
      <c r="H276" s="713" t="str">
        <f>Unformatted!E313</f>
        <v>N/A</v>
      </c>
      <c r="I276" s="611"/>
    </row>
    <row r="277" spans="1:9" s="396" customFormat="1" x14ac:dyDescent="0.25">
      <c r="A277" s="2"/>
      <c r="B277" s="697" t="s">
        <v>381</v>
      </c>
      <c r="C277" s="705" t="str">
        <f>Unformatted!E314</f>
        <v>NO</v>
      </c>
      <c r="D277" s="611"/>
      <c r="E277" s="611"/>
      <c r="F277" s="709" t="s">
        <v>363</v>
      </c>
      <c r="G277" s="713" t="str">
        <f>Unformatted!F310</f>
        <v>N/A</v>
      </c>
      <c r="H277" s="713" t="str">
        <f>Unformatted!F313</f>
        <v>N/A</v>
      </c>
      <c r="I277" s="611"/>
    </row>
    <row r="278" spans="1:9" s="396" customFormat="1" ht="15" customHeight="1" x14ac:dyDescent="0.25">
      <c r="A278" s="2"/>
      <c r="B278" s="697"/>
      <c r="C278" s="705"/>
      <c r="D278" s="709"/>
      <c r="E278" s="712"/>
      <c r="F278" s="712"/>
      <c r="G278" s="611" t="str">
        <f>IF(OR(Unformatted!F311=0,Unformatted!F311=""),"","  (Leakage = " &amp; Unformatted!F311 &amp; " µAmps)")</f>
        <v/>
      </c>
      <c r="H278" s="611"/>
      <c r="I278" s="611"/>
    </row>
    <row r="279" spans="1:9" s="396" customFormat="1" ht="15" customHeight="1" x14ac:dyDescent="0.25">
      <c r="A279" s="1055" t="s">
        <v>452</v>
      </c>
      <c r="B279" s="1055"/>
      <c r="C279" s="1055"/>
      <c r="D279" s="37"/>
      <c r="F279" s="614" t="s">
        <v>1437</v>
      </c>
      <c r="G279" s="616"/>
      <c r="H279" s="169" t="s">
        <v>1438</v>
      </c>
      <c r="I279" s="8"/>
    </row>
    <row r="280" spans="1:9" s="396" customFormat="1" ht="15" customHeight="1" x14ac:dyDescent="0.25">
      <c r="A280" s="611"/>
      <c r="B280" s="256"/>
      <c r="C280" s="611"/>
      <c r="D280" s="24"/>
      <c r="E280" s="615" t="s">
        <v>1431</v>
      </c>
      <c r="F280" s="716" t="str">
        <f>Unformatted!E315</f>
        <v>N/A</v>
      </c>
      <c r="G280" s="615" t="s">
        <v>1434</v>
      </c>
      <c r="H280" s="716" t="str">
        <f>Unformatted!E319</f>
        <v>N/A</v>
      </c>
      <c r="I280" s="8"/>
    </row>
    <row r="281" spans="1:9" s="396" customFormat="1" ht="15" customHeight="1" x14ac:dyDescent="0.25">
      <c r="A281" s="611"/>
      <c r="B281" s="256"/>
      <c r="C281" s="24"/>
      <c r="D281" s="24"/>
      <c r="E281" s="615" t="s">
        <v>1433</v>
      </c>
      <c r="F281" s="716" t="str">
        <f>Unformatted!E316</f>
        <v>N/A</v>
      </c>
      <c r="G281" s="615" t="s">
        <v>1435</v>
      </c>
      <c r="H281" s="716" t="str">
        <f>Unformatted!E320</f>
        <v>N/A</v>
      </c>
      <c r="I281" s="8"/>
    </row>
    <row r="282" spans="1:9" s="396" customFormat="1" x14ac:dyDescent="0.25">
      <c r="A282" s="611"/>
      <c r="B282" s="611"/>
      <c r="C282" s="24"/>
      <c r="D282" s="24"/>
      <c r="E282" s="615" t="s">
        <v>1432</v>
      </c>
      <c r="F282" s="716" t="str">
        <f>Unformatted!E317</f>
        <v>N/A</v>
      </c>
      <c r="G282" s="615" t="s">
        <v>1436</v>
      </c>
      <c r="H282" s="716" t="str">
        <f>Unformatted!E321</f>
        <v>N/A</v>
      </c>
      <c r="I282" s="8"/>
    </row>
    <row r="283" spans="1:9" s="396" customFormat="1" x14ac:dyDescent="0.25">
      <c r="A283" s="611"/>
      <c r="B283" s="611"/>
      <c r="C283" s="24"/>
      <c r="D283" s="24"/>
      <c r="E283" s="615" t="s">
        <v>1215</v>
      </c>
      <c r="F283" s="947" t="str">
        <f>Unformatted!E318</f>
        <v>N/A</v>
      </c>
      <c r="G283" s="615" t="s">
        <v>1215</v>
      </c>
      <c r="H283" s="948" t="str">
        <f>Unformatted!E322</f>
        <v>N/A</v>
      </c>
      <c r="I283" s="8"/>
    </row>
    <row r="284" spans="1:9" s="396" customFormat="1" x14ac:dyDescent="0.25">
      <c r="A284" s="443"/>
      <c r="B284" s="585"/>
      <c r="C284" s="585"/>
      <c r="D284" s="585"/>
      <c r="I284" s="585"/>
    </row>
    <row r="285" spans="1:9" s="396" customFormat="1" x14ac:dyDescent="0.25">
      <c r="A285" s="443"/>
      <c r="B285" s="585"/>
      <c r="C285" s="585"/>
      <c r="D285" s="585"/>
      <c r="E285" s="585"/>
      <c r="F285" s="585"/>
      <c r="G285" s="585"/>
      <c r="H285" s="585"/>
      <c r="I285" s="585"/>
    </row>
    <row r="286" spans="1:9" s="396" customFormat="1" ht="15" customHeight="1" x14ac:dyDescent="0.25">
      <c r="A286" s="1137" t="s">
        <v>1449</v>
      </c>
      <c r="B286" s="1138"/>
      <c r="C286" s="1138"/>
      <c r="D286" s="1138"/>
      <c r="E286" s="1138"/>
      <c r="F286" s="1138"/>
      <c r="G286" s="1138"/>
      <c r="H286" s="1138"/>
      <c r="I286" s="1139"/>
    </row>
    <row r="287" spans="1:9" s="396" customFormat="1" x14ac:dyDescent="0.25">
      <c r="A287" s="1113"/>
      <c r="B287" s="1114"/>
      <c r="C287" s="1114"/>
      <c r="D287" s="1114"/>
      <c r="E287" s="1114"/>
      <c r="F287" s="1114"/>
      <c r="G287" s="1114"/>
      <c r="H287" s="1114"/>
      <c r="I287" s="1115"/>
    </row>
    <row r="288" spans="1:9" s="396" customFormat="1" x14ac:dyDescent="0.25">
      <c r="A288" s="1116"/>
      <c r="B288" s="1117"/>
      <c r="C288" s="1117"/>
      <c r="D288" s="1117"/>
      <c r="E288" s="1117"/>
      <c r="F288" s="1117"/>
      <c r="G288" s="1117"/>
      <c r="H288" s="1117"/>
      <c r="I288" s="1118"/>
    </row>
    <row r="289" spans="1:9" s="396" customFormat="1" x14ac:dyDescent="0.25">
      <c r="A289" s="1116"/>
      <c r="B289" s="1117"/>
      <c r="C289" s="1117"/>
      <c r="D289" s="1117"/>
      <c r="E289" s="1117"/>
      <c r="F289" s="1117"/>
      <c r="G289" s="1117"/>
      <c r="H289" s="1117"/>
      <c r="I289" s="1118"/>
    </row>
    <row r="290" spans="1:9" s="396" customFormat="1" ht="15" customHeight="1" x14ac:dyDescent="0.25">
      <c r="A290" s="1116"/>
      <c r="B290" s="1117"/>
      <c r="C290" s="1117"/>
      <c r="D290" s="1117"/>
      <c r="E290" s="1117"/>
      <c r="F290" s="1117"/>
      <c r="G290" s="1117"/>
      <c r="H290" s="1117"/>
      <c r="I290" s="1118"/>
    </row>
    <row r="291" spans="1:9" s="396" customFormat="1" x14ac:dyDescent="0.25">
      <c r="A291" s="1116"/>
      <c r="B291" s="1117"/>
      <c r="C291" s="1117"/>
      <c r="D291" s="1117"/>
      <c r="E291" s="1117"/>
      <c r="F291" s="1117"/>
      <c r="G291" s="1117"/>
      <c r="H291" s="1117"/>
      <c r="I291" s="1118"/>
    </row>
    <row r="292" spans="1:9" s="396" customFormat="1" x14ac:dyDescent="0.25">
      <c r="A292" s="1116"/>
      <c r="B292" s="1117"/>
      <c r="C292" s="1117"/>
      <c r="D292" s="1117"/>
      <c r="E292" s="1117"/>
      <c r="F292" s="1117"/>
      <c r="G292" s="1117"/>
      <c r="H292" s="1117"/>
      <c r="I292" s="1118"/>
    </row>
    <row r="293" spans="1:9" s="396" customFormat="1" x14ac:dyDescent="0.25">
      <c r="A293" s="1116"/>
      <c r="B293" s="1117"/>
      <c r="C293" s="1117"/>
      <c r="D293" s="1117"/>
      <c r="E293" s="1117"/>
      <c r="F293" s="1117"/>
      <c r="G293" s="1117"/>
      <c r="H293" s="1117"/>
      <c r="I293" s="1118"/>
    </row>
    <row r="294" spans="1:9" s="396" customFormat="1" ht="15" customHeight="1" x14ac:dyDescent="0.25">
      <c r="A294" s="1119"/>
      <c r="B294" s="1120"/>
      <c r="C294" s="1120"/>
      <c r="D294" s="1120"/>
      <c r="E294" s="1120"/>
      <c r="F294" s="1120"/>
      <c r="G294" s="1120"/>
      <c r="H294" s="1120"/>
      <c r="I294" s="1121"/>
    </row>
    <row r="295" spans="1:9" s="396" customFormat="1" ht="15" customHeight="1" x14ac:dyDescent="0.25">
      <c r="A295" s="1109" t="s">
        <v>495</v>
      </c>
      <c r="B295" s="1109"/>
      <c r="C295" s="1109"/>
      <c r="D295" s="1109"/>
      <c r="E295" s="1109"/>
      <c r="F295" s="1109"/>
      <c r="G295" s="1109"/>
      <c r="H295" s="1109"/>
      <c r="I295" s="1109"/>
    </row>
    <row r="296" spans="1:9" s="396" customFormat="1" ht="15" customHeight="1" x14ac:dyDescent="0.25">
      <c r="A296" s="243" t="s">
        <v>496</v>
      </c>
      <c r="B296" s="2"/>
      <c r="C296" s="2"/>
      <c r="D296" s="2"/>
      <c r="E296" s="683" t="s">
        <v>501</v>
      </c>
      <c r="F296" s="683"/>
      <c r="G296" s="683"/>
      <c r="H296" s="683"/>
      <c r="I296" s="611"/>
    </row>
    <row r="297" spans="1:9" s="396" customFormat="1" ht="15" customHeight="1" x14ac:dyDescent="0.25">
      <c r="A297" s="243"/>
      <c r="B297" s="2"/>
      <c r="C297" s="2"/>
      <c r="D297" s="2"/>
      <c r="E297" s="683"/>
      <c r="F297" s="683"/>
      <c r="G297" s="683"/>
      <c r="H297" s="683"/>
      <c r="I297" s="611"/>
    </row>
    <row r="298" spans="1:9" s="396" customFormat="1" ht="15" customHeight="1" x14ac:dyDescent="0.25">
      <c r="A298" s="611"/>
      <c r="B298" s="611"/>
      <c r="C298" s="611"/>
      <c r="D298" s="611"/>
      <c r="E298" s="611"/>
      <c r="F298" s="611"/>
      <c r="G298" s="611"/>
      <c r="H298" s="611"/>
      <c r="I298" s="611"/>
    </row>
    <row r="299" spans="1:9" s="396" customFormat="1" ht="15.75" customHeight="1" x14ac:dyDescent="0.25">
      <c r="A299" s="611"/>
      <c r="B299" s="611"/>
      <c r="C299" s="611"/>
      <c r="D299" s="611"/>
      <c r="E299" s="611"/>
      <c r="F299" s="611"/>
      <c r="G299" s="611"/>
      <c r="H299" s="611"/>
      <c r="I299" s="611"/>
    </row>
    <row r="300" spans="1:9" s="396" customFormat="1" ht="15" customHeight="1" x14ac:dyDescent="0.25">
      <c r="A300" s="611"/>
      <c r="B300" s="611"/>
      <c r="C300" s="611"/>
      <c r="D300" s="611"/>
      <c r="E300" s="611"/>
      <c r="F300" s="611"/>
      <c r="G300" s="611"/>
      <c r="H300" s="611"/>
      <c r="I300" s="611"/>
    </row>
    <row r="301" spans="1:9" s="396" customFormat="1" x14ac:dyDescent="0.25">
      <c r="A301" s="611"/>
      <c r="B301" s="611"/>
      <c r="C301" s="611"/>
      <c r="D301" s="611"/>
      <c r="E301" s="611"/>
      <c r="F301" s="611"/>
      <c r="G301" s="611"/>
      <c r="H301" s="611"/>
      <c r="I301" s="611"/>
    </row>
    <row r="302" spans="1:9" s="396" customFormat="1" x14ac:dyDescent="0.25">
      <c r="A302" s="611"/>
      <c r="B302" s="611"/>
      <c r="C302" s="611"/>
      <c r="D302" s="611"/>
      <c r="E302" s="611"/>
      <c r="F302" s="611"/>
      <c r="G302" s="611"/>
      <c r="H302" s="611"/>
      <c r="I302" s="611"/>
    </row>
    <row r="303" spans="1:9" s="396" customFormat="1" x14ac:dyDescent="0.25">
      <c r="A303" s="611"/>
      <c r="B303" s="611"/>
      <c r="C303" s="611"/>
      <c r="D303" s="611"/>
      <c r="E303" s="611"/>
      <c r="F303" s="611"/>
      <c r="G303" s="611"/>
      <c r="H303" s="611"/>
      <c r="I303" s="611"/>
    </row>
    <row r="304" spans="1:9" s="396" customFormat="1" x14ac:dyDescent="0.25">
      <c r="A304" s="611"/>
      <c r="B304" s="611"/>
      <c r="C304" s="611"/>
      <c r="D304" s="611"/>
      <c r="E304" s="611"/>
      <c r="F304" s="611"/>
      <c r="G304" s="611"/>
      <c r="H304" s="611"/>
      <c r="I304" s="611"/>
    </row>
    <row r="305" spans="1:9" s="396" customFormat="1" ht="15" customHeight="1" x14ac:dyDescent="0.25"/>
    <row r="306" spans="1:9" s="396" customFormat="1" x14ac:dyDescent="0.25">
      <c r="A306" s="244" t="s">
        <v>1450</v>
      </c>
      <c r="B306" s="611"/>
      <c r="C306" s="611"/>
      <c r="D306" s="611"/>
      <c r="E306" s="244" t="s">
        <v>1451</v>
      </c>
      <c r="F306" s="611"/>
      <c r="G306" s="611"/>
      <c r="H306" s="611"/>
      <c r="I306" s="611"/>
    </row>
    <row r="307" spans="1:9" s="396" customFormat="1" x14ac:dyDescent="0.25">
      <c r="A307" s="617"/>
      <c r="B307" s="617"/>
      <c r="C307" s="617"/>
      <c r="D307" s="617"/>
      <c r="E307" s="617"/>
      <c r="F307" s="617"/>
      <c r="G307" s="617"/>
      <c r="H307" s="617"/>
      <c r="I307" s="617"/>
    </row>
    <row r="308" spans="1:9" s="396" customFormat="1" x14ac:dyDescent="0.25">
      <c r="A308" s="617"/>
      <c r="B308" s="617"/>
      <c r="C308" s="617"/>
      <c r="D308" s="617"/>
      <c r="E308" s="617"/>
      <c r="F308" s="617"/>
      <c r="G308" s="617"/>
      <c r="H308" s="617"/>
      <c r="I308" s="617"/>
    </row>
    <row r="309" spans="1:9" s="396" customFormat="1" x14ac:dyDescent="0.25">
      <c r="A309" s="617"/>
      <c r="B309" s="617"/>
      <c r="C309" s="617"/>
      <c r="D309" s="617"/>
      <c r="E309" s="617"/>
      <c r="F309" s="617"/>
      <c r="G309" s="617"/>
      <c r="H309" s="617"/>
      <c r="I309" s="617"/>
    </row>
    <row r="310" spans="1:9" s="396" customFormat="1" ht="15" customHeight="1" x14ac:dyDescent="0.25">
      <c r="A310" s="617"/>
      <c r="B310" s="617"/>
      <c r="C310" s="617"/>
      <c r="D310" s="617"/>
      <c r="E310" s="617"/>
      <c r="F310" s="617"/>
      <c r="G310" s="617"/>
      <c r="H310" s="617"/>
      <c r="I310" s="617"/>
    </row>
    <row r="311" spans="1:9" s="396" customFormat="1" ht="15.75" customHeight="1" x14ac:dyDescent="0.25">
      <c r="A311" s="617"/>
      <c r="B311" s="617"/>
      <c r="C311" s="617"/>
      <c r="D311" s="617"/>
      <c r="E311" s="617"/>
      <c r="F311" s="617"/>
      <c r="G311" s="617"/>
      <c r="H311" s="617"/>
      <c r="I311" s="617"/>
    </row>
    <row r="312" spans="1:9" ht="15" customHeight="1" x14ac:dyDescent="0.25">
      <c r="A312" s="617"/>
      <c r="B312" s="617"/>
      <c r="C312" s="617"/>
      <c r="D312" s="617"/>
      <c r="E312" s="617"/>
      <c r="F312" s="617"/>
      <c r="G312" s="617"/>
      <c r="H312" s="617"/>
      <c r="I312" s="617"/>
    </row>
    <row r="313" spans="1:9" ht="15" customHeight="1" x14ac:dyDescent="0.25">
      <c r="A313" s="617"/>
      <c r="B313" s="617"/>
      <c r="C313" s="617"/>
      <c r="D313" s="617"/>
      <c r="E313" s="617"/>
      <c r="F313" s="617"/>
      <c r="G313" s="617"/>
      <c r="H313" s="617"/>
      <c r="I313" s="617"/>
    </row>
    <row r="314" spans="1:9" x14ac:dyDescent="0.25">
      <c r="A314" s="617"/>
      <c r="B314" s="617"/>
      <c r="C314" s="617"/>
      <c r="D314" s="617"/>
      <c r="E314" s="617"/>
      <c r="F314" s="617"/>
      <c r="G314" s="617"/>
      <c r="H314" s="617"/>
      <c r="I314" s="617"/>
    </row>
    <row r="315" spans="1:9" x14ac:dyDescent="0.25">
      <c r="A315" s="617"/>
      <c r="B315" s="617"/>
      <c r="C315" s="617"/>
      <c r="D315" s="617"/>
      <c r="E315" s="617"/>
      <c r="F315" s="617"/>
      <c r="G315" s="617"/>
      <c r="H315" s="617"/>
      <c r="I315" s="617"/>
    </row>
    <row r="316" spans="1:9" x14ac:dyDescent="0.25">
      <c r="A316" s="1122" t="s">
        <v>497</v>
      </c>
      <c r="B316" s="1122"/>
    </row>
    <row r="317" spans="1:9" x14ac:dyDescent="0.25">
      <c r="A317" s="1123"/>
      <c r="B317" s="1123"/>
    </row>
    <row r="318" spans="1:9" x14ac:dyDescent="0.25">
      <c r="B318" s="1113" t="str">
        <f>Unformatted!E358</f>
        <v/>
      </c>
      <c r="C318" s="1114"/>
      <c r="D318" s="1114"/>
      <c r="E318" s="1114"/>
      <c r="F318" s="1114"/>
      <c r="G318" s="1114"/>
      <c r="H318" s="1114"/>
      <c r="I318" s="1115"/>
    </row>
    <row r="319" spans="1:9" x14ac:dyDescent="0.25">
      <c r="B319" s="1116"/>
      <c r="C319" s="1117"/>
      <c r="D319" s="1117"/>
      <c r="E319" s="1117"/>
      <c r="F319" s="1117"/>
      <c r="G319" s="1117"/>
      <c r="H319" s="1117"/>
      <c r="I319" s="1118"/>
    </row>
    <row r="320" spans="1:9" ht="15" customHeight="1" x14ac:dyDescent="0.25">
      <c r="B320" s="1116"/>
      <c r="C320" s="1117"/>
      <c r="D320" s="1117"/>
      <c r="E320" s="1117"/>
      <c r="F320" s="1117"/>
      <c r="G320" s="1117"/>
      <c r="H320" s="1117"/>
      <c r="I320" s="1118"/>
    </row>
    <row r="321" spans="1:9" ht="15" customHeight="1" x14ac:dyDescent="0.25">
      <c r="B321" s="1116"/>
      <c r="C321" s="1117"/>
      <c r="D321" s="1117"/>
      <c r="E321" s="1117"/>
      <c r="F321" s="1117"/>
      <c r="G321" s="1117"/>
      <c r="H321" s="1117"/>
      <c r="I321" s="1118"/>
    </row>
    <row r="322" spans="1:9" ht="15" customHeight="1" x14ac:dyDescent="0.25">
      <c r="B322" s="1116"/>
      <c r="C322" s="1117"/>
      <c r="D322" s="1117"/>
      <c r="E322" s="1117"/>
      <c r="F322" s="1117"/>
      <c r="G322" s="1117"/>
      <c r="H322" s="1117"/>
      <c r="I322" s="1118"/>
    </row>
    <row r="323" spans="1:9" ht="15" customHeight="1" x14ac:dyDescent="0.25">
      <c r="B323" s="1116"/>
      <c r="C323" s="1117"/>
      <c r="D323" s="1117"/>
      <c r="E323" s="1117"/>
      <c r="F323" s="1117"/>
      <c r="G323" s="1117"/>
      <c r="H323" s="1117"/>
      <c r="I323" s="1118"/>
    </row>
    <row r="324" spans="1:9" ht="15" customHeight="1" x14ac:dyDescent="0.25">
      <c r="B324" s="1119"/>
      <c r="C324" s="1120"/>
      <c r="D324" s="1120"/>
      <c r="E324" s="1120"/>
      <c r="F324" s="1120"/>
      <c r="G324" s="1120"/>
      <c r="H324" s="1120"/>
      <c r="I324" s="1121"/>
    </row>
    <row r="325" spans="1:9" ht="15.75" x14ac:dyDescent="0.25">
      <c r="A325" s="1110" t="s">
        <v>498</v>
      </c>
      <c r="B325" s="1110"/>
      <c r="C325" s="1110"/>
      <c r="D325" s="1110"/>
      <c r="E325" s="1110"/>
      <c r="F325" s="1110"/>
      <c r="G325" s="1110"/>
      <c r="H325" s="1110"/>
      <c r="I325" s="1110"/>
    </row>
    <row r="326" spans="1:9" ht="24" customHeight="1" thickBot="1" x14ac:dyDescent="0.3">
      <c r="A326" s="244" t="s">
        <v>499</v>
      </c>
    </row>
    <row r="327" spans="1:9" ht="15.75" thickBot="1" x14ac:dyDescent="0.3">
      <c r="A327" s="258" t="s">
        <v>456</v>
      </c>
      <c r="B327" s="1198" t="s">
        <v>459</v>
      </c>
      <c r="C327" s="1199"/>
      <c r="D327" s="1200" t="s">
        <v>538</v>
      </c>
      <c r="E327" s="1202"/>
      <c r="F327" s="1200" t="s">
        <v>539</v>
      </c>
      <c r="G327" s="1201"/>
      <c r="H327" s="1201"/>
      <c r="I327" s="1202"/>
    </row>
    <row r="328" spans="1:9" x14ac:dyDescent="0.25">
      <c r="A328" s="259" t="str">
        <f>IF(Unformatted!C361=0,"",Unformatted!C361)</f>
        <v/>
      </c>
      <c r="B328" s="1153" t="str">
        <f>IF(Unformatted!D361=0,"",Unformatted!D361)</f>
        <v/>
      </c>
      <c r="C328" s="1153"/>
      <c r="D328" s="1154" t="str">
        <f>Unformatted!E361</f>
        <v>Bearing</v>
      </c>
      <c r="E328" s="1155"/>
      <c r="F328" s="1106" t="str">
        <f>Unformatted!F361</f>
        <v/>
      </c>
      <c r="G328" s="1107"/>
      <c r="H328" s="1107"/>
      <c r="I328" s="1108"/>
    </row>
    <row r="329" spans="1:9" x14ac:dyDescent="0.25">
      <c r="A329" s="259" t="str">
        <f>IF(Unformatted!C362=0,"",Unformatted!C362)</f>
        <v/>
      </c>
      <c r="B329" s="1124" t="str">
        <f>IF(Unformatted!D362=0,"",Unformatted!D362)</f>
        <v/>
      </c>
      <c r="C329" s="1124"/>
      <c r="D329" s="1140" t="str">
        <f>Unformatted!E362</f>
        <v>Bearing</v>
      </c>
      <c r="E329" s="1141"/>
      <c r="F329" s="1101" t="str">
        <f>Unformatted!F362</f>
        <v/>
      </c>
      <c r="G329" s="1103"/>
      <c r="H329" s="1103"/>
      <c r="I329" s="1102"/>
    </row>
    <row r="330" spans="1:9" x14ac:dyDescent="0.25">
      <c r="A330" s="259" t="str">
        <f>IF(Unformatted!C363=0,"",Unformatted!C363)</f>
        <v/>
      </c>
      <c r="B330" s="1124" t="str">
        <f>IF(Required!H8=0,"",Required!H8)</f>
        <v/>
      </c>
      <c r="C330" s="1124"/>
      <c r="D330" s="1140" t="str">
        <f>Unformatted!E363</f>
        <v>Bearing</v>
      </c>
      <c r="E330" s="1141"/>
      <c r="F330" s="1101" t="str">
        <f>Unformatted!F363</f>
        <v/>
      </c>
      <c r="G330" s="1103"/>
      <c r="H330" s="1103"/>
      <c r="I330" s="1102"/>
    </row>
    <row r="331" spans="1:9" x14ac:dyDescent="0.25">
      <c r="A331" s="259" t="str">
        <f>IF(Unformatted!C364=0,"",Unformatted!C364)</f>
        <v/>
      </c>
      <c r="B331" s="1124" t="str">
        <f>IF(Required!H9=0,"",Required!H9)</f>
        <v/>
      </c>
      <c r="C331" s="1124"/>
      <c r="D331" s="1140" t="str">
        <f>Unformatted!E364</f>
        <v>Bearing</v>
      </c>
      <c r="E331" s="1141"/>
      <c r="F331" s="1101" t="str">
        <f>Unformatted!F364</f>
        <v/>
      </c>
      <c r="G331" s="1103"/>
      <c r="H331" s="1103"/>
      <c r="I331" s="1102"/>
    </row>
    <row r="332" spans="1:9" x14ac:dyDescent="0.25">
      <c r="A332" s="259" t="str">
        <f>IF(Unformatted!C365=0,"",Unformatted!C365)</f>
        <v/>
      </c>
      <c r="B332" s="1124" t="str">
        <f>IF(Required!H10=0,"",Required!H10)</f>
        <v/>
      </c>
      <c r="C332" s="1124"/>
      <c r="D332" s="1140" t="str">
        <f>Unformatted!E365</f>
        <v>Coupling</v>
      </c>
      <c r="E332" s="1141"/>
      <c r="F332" s="1101" t="str">
        <f>Unformatted!F365</f>
        <v/>
      </c>
      <c r="G332" s="1103"/>
      <c r="H332" s="1103"/>
      <c r="I332" s="1102"/>
    </row>
    <row r="333" spans="1:9" x14ac:dyDescent="0.25">
      <c r="A333" s="259" t="str">
        <f>IF(Unformatted!C366=0,"",Unformatted!C366)</f>
        <v/>
      </c>
      <c r="B333" s="1124" t="str">
        <f>IF(Required!H11=0,"",Required!H11)</f>
        <v/>
      </c>
      <c r="C333" s="1124"/>
      <c r="D333" s="1140" t="str">
        <f>Unformatted!E366</f>
        <v>Lip Seal</v>
      </c>
      <c r="E333" s="1141"/>
      <c r="F333" s="1101" t="str">
        <f>Unformatted!F366</f>
        <v/>
      </c>
      <c r="G333" s="1103"/>
      <c r="H333" s="1103"/>
      <c r="I333" s="1102"/>
    </row>
    <row r="334" spans="1:9" x14ac:dyDescent="0.25">
      <c r="A334" s="259" t="str">
        <f>IF(Unformatted!C367=0,"",Unformatted!C367)</f>
        <v/>
      </c>
      <c r="B334" s="1124" t="str">
        <f>IF(Required!H12=0,"",Required!H12)</f>
        <v/>
      </c>
      <c r="C334" s="1124"/>
      <c r="D334" s="1140" t="str">
        <f>Unformatted!E367</f>
        <v>Lip Seal</v>
      </c>
      <c r="E334" s="1141"/>
      <c r="F334" s="1101" t="str">
        <f>Unformatted!F367</f>
        <v/>
      </c>
      <c r="G334" s="1103"/>
      <c r="H334" s="1103"/>
      <c r="I334" s="1102"/>
    </row>
    <row r="335" spans="1:9" x14ac:dyDescent="0.25">
      <c r="A335" s="259" t="str">
        <f>IF(Unformatted!C368=0,"",Unformatted!C368)</f>
        <v/>
      </c>
      <c r="B335" s="1124" t="str">
        <f>IF(Required!H13=0,"",Required!H13)</f>
        <v/>
      </c>
      <c r="C335" s="1124"/>
      <c r="D335" s="1140" t="str">
        <f>Unformatted!E368</f>
        <v>V-Ring</v>
      </c>
      <c r="E335" s="1141"/>
      <c r="F335" s="1101" t="str">
        <f>Unformatted!F368</f>
        <v/>
      </c>
      <c r="G335" s="1103"/>
      <c r="H335" s="1103"/>
      <c r="I335" s="1102"/>
    </row>
    <row r="336" spans="1:9" x14ac:dyDescent="0.25">
      <c r="A336" s="259" t="str">
        <f>IF(Unformatted!C369=0,"",Unformatted!C369)</f>
        <v/>
      </c>
      <c r="B336" s="1124" t="str">
        <f>IF(Required!H14=0,"",Required!H14)</f>
        <v/>
      </c>
      <c r="C336" s="1124"/>
      <c r="D336" s="1140" t="str">
        <f>Unformatted!E369</f>
        <v>Spanner Nut</v>
      </c>
      <c r="E336" s="1141"/>
      <c r="F336" s="1101" t="str">
        <f>Unformatted!F369</f>
        <v/>
      </c>
      <c r="G336" s="1103"/>
      <c r="H336" s="1103"/>
      <c r="I336" s="1102"/>
    </row>
    <row r="337" spans="1:9" x14ac:dyDescent="0.25">
      <c r="A337" s="259" t="str">
        <f>IF(Unformatted!C370=0,"",Unformatted!C370)</f>
        <v/>
      </c>
      <c r="B337" s="1124" t="str">
        <f>IF(Required!H15=0,"",Required!H15)</f>
        <v/>
      </c>
      <c r="C337" s="1124"/>
      <c r="D337" s="1140" t="str">
        <f>Unformatted!E370</f>
        <v>Spanner Washer</v>
      </c>
      <c r="E337" s="1141"/>
      <c r="F337" s="1101" t="str">
        <f>Unformatted!F370</f>
        <v/>
      </c>
      <c r="G337" s="1103"/>
      <c r="H337" s="1103"/>
      <c r="I337" s="1102"/>
    </row>
    <row r="338" spans="1:9" x14ac:dyDescent="0.25">
      <c r="A338" s="259" t="str">
        <f>IF(Unformatted!C371=0,"",Unformatted!C371)</f>
        <v/>
      </c>
      <c r="B338" s="1124" t="str">
        <f>IF(Required!H16=0,"",Required!H16)</f>
        <v/>
      </c>
      <c r="C338" s="1124"/>
      <c r="D338" s="685" t="str">
        <f>IF(Unformatted!E371="OTHER","",Unformatted!E371)</f>
        <v>Replacement Fan</v>
      </c>
      <c r="E338" s="609"/>
      <c r="F338" s="1101" t="str">
        <f>Unformatted!F371</f>
        <v/>
      </c>
      <c r="G338" s="1103"/>
      <c r="H338" s="1103"/>
      <c r="I338" s="1102"/>
    </row>
    <row r="339" spans="1:9" x14ac:dyDescent="0.25">
      <c r="A339" s="259" t="str">
        <f>IF(Unformatted!C372=0,"",Unformatted!C372)</f>
        <v/>
      </c>
      <c r="B339" s="1124" t="str">
        <f>IF(Required!H17=0,"",Required!H17)</f>
        <v/>
      </c>
      <c r="C339" s="1124"/>
      <c r="D339" s="1101" t="str">
        <f>IF(Unformatted!E372="OTHER","",Unformatted!E372)</f>
        <v/>
      </c>
      <c r="E339" s="1102"/>
      <c r="F339" s="1101" t="str">
        <f>Unformatted!F372</f>
        <v/>
      </c>
      <c r="G339" s="1103"/>
      <c r="H339" s="1103"/>
      <c r="I339" s="1102"/>
    </row>
    <row r="340" spans="1:9" x14ac:dyDescent="0.25">
      <c r="A340" s="259" t="str">
        <f>IF(Unformatted!C373=0,"",Unformatted!C373)</f>
        <v/>
      </c>
      <c r="B340" s="1124" t="str">
        <f>IF(Required!H18=0,"",Required!H18)</f>
        <v/>
      </c>
      <c r="C340" s="1124"/>
      <c r="D340" s="1101" t="str">
        <f>IF(Unformatted!E373="OTHER","",Unformatted!E373)</f>
        <v/>
      </c>
      <c r="E340" s="1102"/>
      <c r="F340" s="1101" t="str">
        <f>Unformatted!F373</f>
        <v/>
      </c>
      <c r="G340" s="1103"/>
      <c r="H340" s="1103"/>
      <c r="I340" s="1102"/>
    </row>
    <row r="341" spans="1:9" x14ac:dyDescent="0.25">
      <c r="A341" s="259" t="str">
        <f>IF(Unformatted!C374=0,"",Unformatted!C374)</f>
        <v/>
      </c>
      <c r="B341" s="1124" t="str">
        <f>IF(Required!H19=0,"",Required!H19)</f>
        <v/>
      </c>
      <c r="C341" s="1124"/>
      <c r="D341" s="1101" t="str">
        <f>IF(Unformatted!E374="OTHER","",Unformatted!E374)</f>
        <v/>
      </c>
      <c r="E341" s="1102"/>
      <c r="F341" s="1101" t="str">
        <f>Unformatted!F374</f>
        <v/>
      </c>
      <c r="G341" s="1103"/>
      <c r="H341" s="1103"/>
      <c r="I341" s="1102"/>
    </row>
    <row r="342" spans="1:9" ht="23.25" customHeight="1" thickBot="1" x14ac:dyDescent="0.3">
      <c r="A342" s="244" t="s">
        <v>500</v>
      </c>
    </row>
    <row r="343" spans="1:9" ht="15.75" thickBot="1" x14ac:dyDescent="0.3">
      <c r="A343" s="258" t="s">
        <v>456</v>
      </c>
      <c r="B343" s="1198" t="s">
        <v>161</v>
      </c>
      <c r="C343" s="1199"/>
      <c r="D343" s="1200" t="s">
        <v>539</v>
      </c>
      <c r="E343" s="1201"/>
      <c r="F343" s="1201"/>
      <c r="G343" s="1201"/>
      <c r="H343" s="1201"/>
      <c r="I343" s="1202"/>
    </row>
    <row r="344" spans="1:9" x14ac:dyDescent="0.25">
      <c r="A344" s="259" t="str">
        <f>IF(Unformatted!C378=0,"",Unformatted!C378)</f>
        <v/>
      </c>
      <c r="B344" s="1154" t="str">
        <f>IF(Unformatted!D378=0,"",Unformatted!D378)</f>
        <v>Lead Insulation</v>
      </c>
      <c r="C344" s="1155"/>
      <c r="D344" s="1106" t="str">
        <f>Unformatted!E378</f>
        <v/>
      </c>
      <c r="E344" s="1107"/>
      <c r="F344" s="1107"/>
      <c r="G344" s="1107"/>
      <c r="H344" s="1107"/>
      <c r="I344" s="1108"/>
    </row>
    <row r="345" spans="1:9" x14ac:dyDescent="0.25">
      <c r="A345" s="695" t="str">
        <f>IF(Unformatted!C379=0,"",Unformatted!C379)</f>
        <v/>
      </c>
      <c r="B345" s="1101" t="str">
        <f>IF(Unformatted!D379=0,"",Unformatted!D379)</f>
        <v>Gasket Material</v>
      </c>
      <c r="C345" s="1102"/>
      <c r="D345" s="1106" t="str">
        <f>Unformatted!E379</f>
        <v/>
      </c>
      <c r="E345" s="1107"/>
      <c r="F345" s="1107"/>
      <c r="G345" s="1107"/>
      <c r="H345" s="1107"/>
      <c r="I345" s="1108"/>
    </row>
    <row r="346" spans="1:9" x14ac:dyDescent="0.25">
      <c r="A346" s="695" t="str">
        <f>IF(Unformatted!C380=0,"",Unformatted!C380)</f>
        <v/>
      </c>
      <c r="B346" s="1101" t="str">
        <f>IF(Unformatted!D380=0,"",Unformatted!D380)</f>
        <v>Lube Pipe Kit</v>
      </c>
      <c r="C346" s="1102"/>
      <c r="D346" s="1106" t="str">
        <f>Unformatted!E380</f>
        <v/>
      </c>
      <c r="E346" s="1107"/>
      <c r="F346" s="1107"/>
      <c r="G346" s="1107"/>
      <c r="H346" s="1107"/>
      <c r="I346" s="1108"/>
    </row>
    <row r="347" spans="1:9" x14ac:dyDescent="0.25">
      <c r="A347" s="695" t="str">
        <f>IF(Unformatted!C381=0,"",Unformatted!C381)</f>
        <v/>
      </c>
      <c r="B347" s="1101" t="str">
        <f>IF(Unformatted!D381=0,"",Unformatted!D381)</f>
        <v>Paint</v>
      </c>
      <c r="C347" s="1102"/>
      <c r="D347" s="1106" t="str">
        <f>Unformatted!E381</f>
        <v/>
      </c>
      <c r="E347" s="1107"/>
      <c r="F347" s="1107"/>
      <c r="G347" s="1107"/>
      <c r="H347" s="1107"/>
      <c r="I347" s="1108"/>
    </row>
    <row r="348" spans="1:9" x14ac:dyDescent="0.25">
      <c r="A348" s="695" t="str">
        <f>IF(Unformatted!C382=0,"",Unformatted!C382)</f>
        <v/>
      </c>
      <c r="B348" s="1101" t="str">
        <f>IF(Unformatted!D382=0,"",Unformatted!D382)</f>
        <v>Key Stock</v>
      </c>
      <c r="C348" s="1102"/>
      <c r="D348" s="1106" t="str">
        <f>Unformatted!E382</f>
        <v/>
      </c>
      <c r="E348" s="1107"/>
      <c r="F348" s="1107"/>
      <c r="G348" s="1107"/>
      <c r="H348" s="1107"/>
      <c r="I348" s="1108"/>
    </row>
    <row r="349" spans="1:9" x14ac:dyDescent="0.25">
      <c r="A349" s="695" t="str">
        <f>IF(Unformatted!C383=0,"",Unformatted!C383)</f>
        <v/>
      </c>
      <c r="B349" s="1101" t="str">
        <f>IF(Unformatted!D383=0,"",Unformatted!D383)</f>
        <v>Stub Material</v>
      </c>
      <c r="C349" s="1102"/>
      <c r="D349" s="1106" t="str">
        <f>Unformatted!E383</f>
        <v/>
      </c>
      <c r="E349" s="1107"/>
      <c r="F349" s="1107"/>
      <c r="G349" s="1107"/>
      <c r="H349" s="1107"/>
      <c r="I349" s="1108"/>
    </row>
    <row r="350" spans="1:9" x14ac:dyDescent="0.25">
      <c r="A350" s="695" t="str">
        <f>IF(Unformatted!C384=0,"",Unformatted!C384)</f>
        <v/>
      </c>
      <c r="B350" s="1101" t="str">
        <f>IF(Unformatted!D384=0,"",Unformatted!D384)</f>
        <v>Oil</v>
      </c>
      <c r="C350" s="1102"/>
      <c r="D350" s="1106" t="str">
        <f>Unformatted!E384</f>
        <v/>
      </c>
      <c r="E350" s="1107"/>
      <c r="F350" s="1107"/>
      <c r="G350" s="1107"/>
      <c r="H350" s="1107"/>
      <c r="I350" s="1108"/>
    </row>
    <row r="351" spans="1:9" x14ac:dyDescent="0.25">
      <c r="A351" s="695" t="str">
        <f>IF(Unformatted!C385=0,"",Unformatted!C385)</f>
        <v/>
      </c>
      <c r="B351" s="1101" t="str">
        <f>IF(Unformatted!D385=0,"",Unformatted!D385)</f>
        <v>Grease</v>
      </c>
      <c r="C351" s="1102"/>
      <c r="D351" s="1106" t="str">
        <f>Unformatted!E385</f>
        <v/>
      </c>
      <c r="E351" s="1107"/>
      <c r="F351" s="1107"/>
      <c r="G351" s="1107"/>
      <c r="H351" s="1107"/>
      <c r="I351" s="1108"/>
    </row>
    <row r="352" spans="1:9" x14ac:dyDescent="0.25">
      <c r="A352" s="695" t="str">
        <f>IF(Unformatted!C386=0,"",Unformatted!C386)</f>
        <v/>
      </c>
      <c r="B352" s="1101" t="str">
        <f>IF(Unformatted!D386="OTHER","",Unformatted!D386)</f>
        <v>Sightglass</v>
      </c>
      <c r="C352" s="1102"/>
      <c r="D352" s="1106" t="str">
        <f>Unformatted!E386</f>
        <v/>
      </c>
      <c r="E352" s="1107"/>
      <c r="F352" s="1107"/>
      <c r="G352" s="1107"/>
      <c r="H352" s="1107"/>
      <c r="I352" s="1108"/>
    </row>
    <row r="353" spans="1:9" x14ac:dyDescent="0.25">
      <c r="A353" s="695" t="str">
        <f>IF(Unformatted!C387=0,"",Unformatted!C387)</f>
        <v/>
      </c>
      <c r="B353" s="1101" t="str">
        <f>IF(Unformatted!D387="OTHER","",Unformatted!D387)</f>
        <v/>
      </c>
      <c r="C353" s="1102"/>
      <c r="D353" s="1106" t="str">
        <f>Unformatted!E387</f>
        <v/>
      </c>
      <c r="E353" s="1107"/>
      <c r="F353" s="1107"/>
      <c r="G353" s="1107"/>
      <c r="H353" s="1107"/>
      <c r="I353" s="1108"/>
    </row>
    <row r="354" spans="1:9" x14ac:dyDescent="0.25">
      <c r="A354" s="695" t="str">
        <f>IF(Unformatted!C388=0,"",Unformatted!C388)</f>
        <v/>
      </c>
      <c r="B354" s="1104" t="str">
        <f>IF(Unformatted!D388="OTHER","",Unformatted!D388)</f>
        <v/>
      </c>
      <c r="C354" s="1105"/>
      <c r="D354" s="1106" t="str">
        <f>Unformatted!E388</f>
        <v/>
      </c>
      <c r="E354" s="1107"/>
      <c r="F354" s="1107"/>
      <c r="G354" s="1107"/>
      <c r="H354" s="1107"/>
      <c r="I354" s="1108"/>
    </row>
    <row r="355" spans="1:9" x14ac:dyDescent="0.25">
      <c r="A355" s="695" t="str">
        <f>IF(Unformatted!C389=0,"",Unformatted!C389)</f>
        <v/>
      </c>
      <c r="B355" s="1104" t="str">
        <f>IF(Unformatted!D389="OTHER","",Unformatted!D389)</f>
        <v/>
      </c>
      <c r="C355" s="1105"/>
      <c r="D355" s="1106" t="str">
        <f>Unformatted!E389</f>
        <v/>
      </c>
      <c r="E355" s="1107"/>
      <c r="F355" s="1107"/>
      <c r="G355" s="1107"/>
      <c r="H355" s="1107"/>
      <c r="I355" s="1108"/>
    </row>
    <row r="376" spans="1:9" ht="15" customHeight="1" x14ac:dyDescent="0.25">
      <c r="A376" s="1387" t="s">
        <v>1456</v>
      </c>
      <c r="B376" s="1387"/>
      <c r="C376" s="1387"/>
      <c r="D376" s="1387"/>
      <c r="E376" s="1387"/>
      <c r="F376" s="1387"/>
      <c r="G376" s="1387"/>
      <c r="H376" s="1387"/>
      <c r="I376" s="1387"/>
    </row>
    <row r="377" spans="1:9" ht="18.75" customHeight="1" x14ac:dyDescent="0.25">
      <c r="A377" s="1388"/>
      <c r="B377" s="1388"/>
      <c r="C377" s="1388"/>
      <c r="D377" s="1388"/>
      <c r="E377" s="1388"/>
      <c r="F377" s="1388"/>
      <c r="G377" s="1388"/>
      <c r="H377" s="1388"/>
      <c r="I377" s="1388"/>
    </row>
    <row r="378" spans="1:9" ht="18.75" customHeight="1" x14ac:dyDescent="0.25">
      <c r="A378" s="1404" t="s">
        <v>1550</v>
      </c>
      <c r="B378" s="1404"/>
      <c r="C378" s="1404"/>
      <c r="D378" s="1404"/>
      <c r="E378" s="1404"/>
      <c r="F378" s="1404"/>
      <c r="G378" s="1404"/>
      <c r="H378" s="1404"/>
      <c r="I378" s="1404"/>
    </row>
    <row r="379" spans="1:9" ht="7.5" customHeight="1" x14ac:dyDescent="0.25">
      <c r="A379" s="366"/>
      <c r="B379" s="366"/>
      <c r="C379" s="366"/>
      <c r="D379" s="366"/>
      <c r="E379" s="366"/>
      <c r="F379" s="366"/>
      <c r="G379" s="366"/>
      <c r="H379" s="366"/>
      <c r="I379" s="366"/>
    </row>
    <row r="380" spans="1:9" ht="18.75" customHeight="1" x14ac:dyDescent="0.25">
      <c r="A380" s="1405" t="s">
        <v>975</v>
      </c>
      <c r="B380" s="1405"/>
      <c r="C380" s="860"/>
      <c r="D380" s="1405" t="s">
        <v>1075</v>
      </c>
      <c r="E380" s="1405"/>
      <c r="F380"/>
      <c r="G380" s="248" t="s">
        <v>361</v>
      </c>
      <c r="H380" s="248" t="s">
        <v>362</v>
      </c>
      <c r="I380"/>
    </row>
    <row r="381" spans="1:9" ht="18.75" customHeight="1" x14ac:dyDescent="0.25">
      <c r="A381" s="1055" t="s">
        <v>973</v>
      </c>
      <c r="B381" s="1055"/>
      <c r="C381" s="760"/>
      <c r="D381" s="36" t="str">
        <f>"A-B:"</f>
        <v>A-B:</v>
      </c>
      <c r="E381" s="10" t="str">
        <f>IF(Unformatted!E489="N/A","N/A", Unformatted!E489 &amp; " " &amp; Unformatted!F489)</f>
        <v>N/A</v>
      </c>
      <c r="F381" s="334" t="s">
        <v>360</v>
      </c>
      <c r="G381" s="377" t="str">
        <f>Unformatted!F495</f>
        <v>N/A</v>
      </c>
      <c r="H381" s="245" t="str">
        <f>Unformatted!E495</f>
        <v>Pass</v>
      </c>
      <c r="I381"/>
    </row>
    <row r="382" spans="1:9" ht="18.75" customHeight="1" x14ac:dyDescent="0.25">
      <c r="A382" s="1354" t="str">
        <f>IF(Unformatted!E486="N/A","N/A",Unformatted!E486&amp;" "&amp;Unformatted!F486&amp;" @ "&amp;Unformatted!E487&amp;"v")</f>
        <v>N/A</v>
      </c>
      <c r="B382" s="1354"/>
      <c r="C382" s="572"/>
      <c r="D382" s="36" t="str">
        <f>"A-C:"</f>
        <v>A-C:</v>
      </c>
      <c r="E382" s="10" t="str">
        <f>IF(Unformatted!E490="N/A","N/A", Unformatted!E490 &amp; " " &amp; Unformatted!F490)</f>
        <v>N/A</v>
      </c>
      <c r="F382" s="334" t="s">
        <v>1076</v>
      </c>
      <c r="G382" s="377" t="str">
        <f>Unformatted!F496</f>
        <v>N/A</v>
      </c>
      <c r="H382" s="245" t="str">
        <f>Unformatted!E496</f>
        <v>Pass</v>
      </c>
      <c r="I382"/>
    </row>
    <row r="383" spans="1:9" ht="18.75" customHeight="1" x14ac:dyDescent="0.25">
      <c r="A383" s="1055" t="s">
        <v>974</v>
      </c>
      <c r="B383" s="1055"/>
      <c r="C383" s="760"/>
      <c r="D383" s="36" t="str">
        <f>"B-C:"</f>
        <v>B-C:</v>
      </c>
      <c r="E383" s="611" t="str">
        <f>IF(Unformatted!E491="N/A","N/A", Unformatted!E491 &amp; " " &amp; Unformatted!F491)</f>
        <v>N/A</v>
      </c>
      <c r="F383"/>
      <c r="G383"/>
      <c r="H383"/>
      <c r="I383"/>
    </row>
    <row r="384" spans="1:9" ht="18.75" customHeight="1" x14ac:dyDescent="0.25">
      <c r="A384" s="1354" t="str">
        <f>IF(Unformatted!E492="N/A","N/A",Unformatted!E492&amp;" "&amp;Unformatted!F492&amp;" @ "&amp;Unformatted!E493&amp;"v")</f>
        <v>N/A</v>
      </c>
      <c r="B384" s="1354"/>
      <c r="C384" s="976" t="s">
        <v>1095</v>
      </c>
      <c r="D384" s="976"/>
      <c r="E384" s="1406" t="str">
        <f>Unformatted!K499</f>
        <v>N/A</v>
      </c>
      <c r="F384" s="1406"/>
      <c r="G384" s="1406"/>
      <c r="H384" s="1406"/>
      <c r="I384" s="1406"/>
    </row>
    <row r="385" spans="1:9" ht="18.75" customHeight="1" x14ac:dyDescent="0.25">
      <c r="A385" s="737"/>
      <c r="B385" s="737"/>
      <c r="C385" s="1407"/>
      <c r="D385" s="1407"/>
      <c r="E385" s="1406"/>
      <c r="F385" s="1406"/>
      <c r="G385" s="1406"/>
      <c r="H385" s="1406"/>
      <c r="I385" s="1406"/>
    </row>
    <row r="386" spans="1:9" ht="18.75" customHeight="1" x14ac:dyDescent="0.25">
      <c r="A386" s="1411" t="s">
        <v>978</v>
      </c>
      <c r="B386" s="1411"/>
      <c r="C386" s="1411"/>
      <c r="D386" s="1411"/>
      <c r="E386" s="1411"/>
      <c r="F386" s="1411"/>
      <c r="G386" s="1411"/>
      <c r="H386" s="1411"/>
      <c r="I386" s="1411"/>
    </row>
    <row r="387" spans="1:9" ht="18.75" customHeight="1" x14ac:dyDescent="0.25">
      <c r="A387"/>
      <c r="B387"/>
      <c r="C387"/>
      <c r="D387"/>
      <c r="E387"/>
      <c r="F387"/>
      <c r="G387"/>
      <c r="H387"/>
      <c r="I387"/>
    </row>
    <row r="388" spans="1:9" ht="18.75" customHeight="1" x14ac:dyDescent="0.25">
      <c r="A388"/>
      <c r="B388"/>
      <c r="C388"/>
      <c r="D388"/>
      <c r="E388"/>
      <c r="F388"/>
      <c r="G388"/>
      <c r="H388"/>
      <c r="I388"/>
    </row>
    <row r="389" spans="1:9" ht="18.75" customHeight="1" x14ac:dyDescent="0.25">
      <c r="A389"/>
      <c r="B389"/>
      <c r="C389"/>
      <c r="D389"/>
      <c r="E389"/>
      <c r="F389"/>
      <c r="G389"/>
      <c r="H389"/>
      <c r="I389"/>
    </row>
    <row r="390" spans="1:9" ht="18.75" customHeight="1" x14ac:dyDescent="0.25">
      <c r="A390" s="859" t="s">
        <v>1009</v>
      </c>
      <c r="B390" s="854"/>
      <c r="C390" s="854"/>
      <c r="D390" s="854"/>
      <c r="E390" s="855" t="s">
        <v>176</v>
      </c>
      <c r="F390" s="1408" t="s">
        <v>1038</v>
      </c>
      <c r="G390" s="1408"/>
      <c r="H390" s="1408"/>
      <c r="I390" s="1408"/>
    </row>
    <row r="391" spans="1:9" ht="18.75" customHeight="1" x14ac:dyDescent="0.25">
      <c r="A391" s="311" t="s">
        <v>844</v>
      </c>
      <c r="B391" s="223"/>
      <c r="C391" s="223"/>
      <c r="D391" s="223"/>
      <c r="E391" s="314" t="str">
        <f>Unformatted!G515</f>
        <v>N/A</v>
      </c>
      <c r="F391" s="1392" t="str">
        <f>Unformatted!I515</f>
        <v/>
      </c>
      <c r="G391" s="1392"/>
      <c r="H391" s="1392"/>
      <c r="I391" s="1392"/>
    </row>
    <row r="392" spans="1:9" ht="18.75" customHeight="1" x14ac:dyDescent="0.25">
      <c r="A392" s="311" t="s">
        <v>721</v>
      </c>
      <c r="B392" s="223"/>
      <c r="C392" s="223"/>
      <c r="D392" s="223"/>
      <c r="E392" s="314" t="str">
        <f>Unformatted!G516</f>
        <v>N/A</v>
      </c>
      <c r="F392" s="1392" t="str">
        <f>Unformatted!I516</f>
        <v/>
      </c>
      <c r="G392" s="1392"/>
      <c r="H392" s="1392"/>
      <c r="I392" s="1392"/>
    </row>
    <row r="393" spans="1:9" ht="18.75" customHeight="1" x14ac:dyDescent="0.25">
      <c r="A393" s="311" t="s">
        <v>722</v>
      </c>
      <c r="B393" s="223"/>
      <c r="C393" s="223"/>
      <c r="D393" s="223"/>
      <c r="E393" s="755" t="str">
        <f>Unformatted!G517</f>
        <v>N/A</v>
      </c>
      <c r="F393" s="1392" t="str">
        <f>Unformatted!I517</f>
        <v/>
      </c>
      <c r="G393" s="1392"/>
      <c r="H393" s="1392"/>
      <c r="I393" s="1392"/>
    </row>
    <row r="394" spans="1:9" ht="18.75" customHeight="1" x14ac:dyDescent="0.25">
      <c r="A394" s="311" t="s">
        <v>750</v>
      </c>
      <c r="B394" s="223"/>
      <c r="C394" s="223"/>
      <c r="D394" s="223"/>
      <c r="E394" s="755" t="str">
        <f>Unformatted!G518</f>
        <v>N/A</v>
      </c>
      <c r="F394" s="1392" t="str">
        <f>Unformatted!I518</f>
        <v/>
      </c>
      <c r="G394" s="1392"/>
      <c r="H394" s="1392"/>
      <c r="I394" s="1392"/>
    </row>
    <row r="395" spans="1:9" ht="18.75" customHeight="1" x14ac:dyDescent="0.25">
      <c r="A395" s="311" t="s">
        <v>843</v>
      </c>
      <c r="B395" s="223"/>
      <c r="C395" s="223"/>
      <c r="D395" s="223"/>
      <c r="E395" s="755" t="str">
        <f>Unformatted!G519</f>
        <v>N/A</v>
      </c>
      <c r="F395" s="1392" t="str">
        <f>Unformatted!I519</f>
        <v/>
      </c>
      <c r="G395" s="1392"/>
      <c r="H395" s="1392"/>
      <c r="I395" s="1392"/>
    </row>
    <row r="396" spans="1:9" ht="18.75" customHeight="1" x14ac:dyDescent="0.25">
      <c r="A396" s="311" t="s">
        <v>724</v>
      </c>
      <c r="B396" s="223"/>
      <c r="C396" s="223"/>
      <c r="D396" s="223"/>
      <c r="E396" s="755" t="str">
        <f>Unformatted!G520</f>
        <v>N/A</v>
      </c>
      <c r="F396" s="1392" t="str">
        <f>Unformatted!I520</f>
        <v/>
      </c>
      <c r="G396" s="1392"/>
      <c r="H396" s="1392"/>
      <c r="I396" s="1392"/>
    </row>
    <row r="397" spans="1:9" ht="18.75" customHeight="1" x14ac:dyDescent="0.25">
      <c r="A397" s="311" t="s">
        <v>845</v>
      </c>
      <c r="B397" s="223"/>
      <c r="C397" s="223"/>
      <c r="D397" s="223"/>
      <c r="E397" s="755" t="str">
        <f>Unformatted!G521</f>
        <v>N/A</v>
      </c>
      <c r="F397" s="1392" t="str">
        <f>Unformatted!I521</f>
        <v/>
      </c>
      <c r="G397" s="1392"/>
      <c r="H397" s="1392"/>
      <c r="I397" s="1392"/>
    </row>
    <row r="398" spans="1:9" ht="18.75" customHeight="1" x14ac:dyDescent="0.25">
      <c r="A398" s="859" t="s">
        <v>1043</v>
      </c>
      <c r="B398" s="856"/>
      <c r="C398" s="856"/>
      <c r="D398" s="856"/>
      <c r="E398" s="857" t="s">
        <v>176</v>
      </c>
      <c r="F398" s="1409" t="s">
        <v>792</v>
      </c>
      <c r="G398" s="1409"/>
      <c r="H398" s="1409"/>
      <c r="I398" s="1409"/>
    </row>
    <row r="399" spans="1:9" ht="18.75" customHeight="1" x14ac:dyDescent="0.25">
      <c r="A399" s="1410" t="s">
        <v>790</v>
      </c>
      <c r="B399" s="1410"/>
      <c r="C399" s="1410"/>
      <c r="D399" s="1410"/>
      <c r="E399" s="314" t="str">
        <f>Unformatted!G511</f>
        <v>N/A</v>
      </c>
      <c r="F399" s="1392" t="str">
        <f>Unformatted!I511</f>
        <v/>
      </c>
      <c r="G399" s="1392"/>
      <c r="H399" s="1392"/>
      <c r="I399" s="1392"/>
    </row>
    <row r="400" spans="1:9" ht="18.75" customHeight="1" x14ac:dyDescent="0.25">
      <c r="A400" s="1410" t="s">
        <v>773</v>
      </c>
      <c r="B400" s="1410"/>
      <c r="C400" s="1410"/>
      <c r="D400" s="1410"/>
      <c r="E400" s="755" t="str">
        <f>Unformatted!G512</f>
        <v>N/A</v>
      </c>
      <c r="F400" s="1392" t="str">
        <f>Unformatted!I512</f>
        <v/>
      </c>
      <c r="G400" s="1392"/>
      <c r="H400" s="1392"/>
      <c r="I400" s="1392"/>
    </row>
    <row r="401" spans="1:15" ht="18.75" customHeight="1" x14ac:dyDescent="0.25">
      <c r="A401" s="1410" t="s">
        <v>789</v>
      </c>
      <c r="B401" s="1410"/>
      <c r="C401" s="1410"/>
      <c r="D401" s="1410"/>
      <c r="E401" s="755" t="str">
        <f>Unformatted!G513</f>
        <v>N/A</v>
      </c>
      <c r="F401" s="1392" t="str">
        <f>Unformatted!I513</f>
        <v/>
      </c>
      <c r="G401" s="1392"/>
      <c r="H401" s="1392"/>
      <c r="I401" s="1392"/>
    </row>
    <row r="402" spans="1:15" ht="18.75" customHeight="1" x14ac:dyDescent="0.25">
      <c r="A402" s="1442" t="s">
        <v>791</v>
      </c>
      <c r="B402" s="1442"/>
      <c r="C402" s="1442"/>
      <c r="D402" s="1442"/>
      <c r="E402" s="858" t="str">
        <f>Unformatted!G514</f>
        <v>N/A</v>
      </c>
      <c r="F402" s="1421" t="str">
        <f>Unformatted!I514</f>
        <v/>
      </c>
      <c r="G402" s="1421"/>
      <c r="H402" s="1421"/>
      <c r="I402" s="1421"/>
      <c r="O402" s="721"/>
    </row>
    <row r="403" spans="1:15" ht="19.5" customHeight="1" x14ac:dyDescent="0.25">
      <c r="A403" s="1397" t="s">
        <v>1563</v>
      </c>
      <c r="B403" s="1397"/>
      <c r="C403" s="1397"/>
      <c r="D403" s="1397"/>
      <c r="E403" s="1397"/>
      <c r="F403" s="1397"/>
      <c r="G403" s="1397"/>
      <c r="H403" s="1397"/>
      <c r="I403" s="1397"/>
    </row>
    <row r="404" spans="1:15" x14ac:dyDescent="0.25">
      <c r="A404" s="1398"/>
      <c r="B404" s="1203"/>
      <c r="C404" s="1203"/>
      <c r="D404" s="1203"/>
      <c r="E404" s="1203"/>
      <c r="F404" s="1203"/>
      <c r="G404" s="1203"/>
      <c r="H404" s="1203"/>
      <c r="I404" s="1399"/>
    </row>
    <row r="405" spans="1:15" x14ac:dyDescent="0.25">
      <c r="A405" s="1400"/>
      <c r="B405" s="1217"/>
      <c r="C405" s="1217"/>
      <c r="D405" s="1217"/>
      <c r="E405" s="1217"/>
      <c r="F405" s="1217"/>
      <c r="G405" s="1217"/>
      <c r="H405" s="1217"/>
      <c r="I405" s="1401"/>
    </row>
    <row r="406" spans="1:15" x14ac:dyDescent="0.25">
      <c r="A406" s="1400"/>
      <c r="B406" s="1217"/>
      <c r="C406" s="1217"/>
      <c r="D406" s="1217"/>
      <c r="E406" s="1217"/>
      <c r="F406" s="1217"/>
      <c r="G406" s="1217"/>
      <c r="H406" s="1217"/>
      <c r="I406" s="1401"/>
    </row>
    <row r="407" spans="1:15" x14ac:dyDescent="0.25">
      <c r="A407" s="1400"/>
      <c r="B407" s="1217"/>
      <c r="C407" s="1217"/>
      <c r="D407" s="1217"/>
      <c r="E407" s="1217"/>
      <c r="F407" s="1217"/>
      <c r="G407" s="1217"/>
      <c r="H407" s="1217"/>
      <c r="I407" s="1401"/>
    </row>
    <row r="408" spans="1:15" x14ac:dyDescent="0.25">
      <c r="A408" s="1400"/>
      <c r="B408" s="1217"/>
      <c r="C408" s="1217"/>
      <c r="D408" s="1217"/>
      <c r="E408" s="1217"/>
      <c r="F408" s="1217"/>
      <c r="G408" s="1217"/>
      <c r="H408" s="1217"/>
      <c r="I408" s="1401"/>
    </row>
    <row r="409" spans="1:15" x14ac:dyDescent="0.25">
      <c r="A409" s="1400"/>
      <c r="B409" s="1217"/>
      <c r="C409" s="1217"/>
      <c r="D409" s="1217"/>
      <c r="E409" s="1217"/>
      <c r="F409" s="1217"/>
      <c r="G409" s="1217"/>
      <c r="H409" s="1217"/>
      <c r="I409" s="1401"/>
    </row>
    <row r="410" spans="1:15" x14ac:dyDescent="0.25">
      <c r="A410" s="1400"/>
      <c r="B410" s="1217"/>
      <c r="C410" s="1217"/>
      <c r="D410" s="1217"/>
      <c r="E410" s="1217"/>
      <c r="F410" s="1217"/>
      <c r="G410" s="1217"/>
      <c r="H410" s="1217"/>
      <c r="I410" s="1401"/>
    </row>
    <row r="411" spans="1:15" x14ac:dyDescent="0.25">
      <c r="A411" s="1400"/>
      <c r="B411" s="1217"/>
      <c r="C411" s="1217"/>
      <c r="D411" s="1217"/>
      <c r="E411" s="1217"/>
      <c r="F411" s="1217"/>
      <c r="G411" s="1217"/>
      <c r="H411" s="1217"/>
      <c r="I411" s="1401"/>
    </row>
    <row r="412" spans="1:15" x14ac:dyDescent="0.25">
      <c r="A412" s="1400"/>
      <c r="B412" s="1217"/>
      <c r="C412" s="1217"/>
      <c r="D412" s="1217"/>
      <c r="E412" s="1217"/>
      <c r="F412" s="1217"/>
      <c r="G412" s="1217"/>
      <c r="H412" s="1217"/>
      <c r="I412" s="1401"/>
    </row>
    <row r="413" spans="1:15" x14ac:dyDescent="0.25">
      <c r="A413" s="1400"/>
      <c r="B413" s="1217"/>
      <c r="C413" s="1217"/>
      <c r="D413" s="1217"/>
      <c r="E413" s="1217"/>
      <c r="F413" s="1217"/>
      <c r="G413" s="1217"/>
      <c r="H413" s="1217"/>
      <c r="I413" s="1401"/>
    </row>
    <row r="414" spans="1:15" x14ac:dyDescent="0.25">
      <c r="A414" s="1400"/>
      <c r="B414" s="1217"/>
      <c r="C414" s="1217"/>
      <c r="D414" s="1217"/>
      <c r="E414" s="1217"/>
      <c r="F414" s="1217"/>
      <c r="G414" s="1217"/>
      <c r="H414" s="1217"/>
      <c r="I414" s="1401"/>
    </row>
    <row r="415" spans="1:15" x14ac:dyDescent="0.25">
      <c r="A415" s="1400"/>
      <c r="B415" s="1217"/>
      <c r="C415" s="1217"/>
      <c r="D415" s="1217"/>
      <c r="E415" s="1217"/>
      <c r="F415" s="1217"/>
      <c r="G415" s="1217"/>
      <c r="H415" s="1217"/>
      <c r="I415" s="1401"/>
    </row>
    <row r="416" spans="1:15" x14ac:dyDescent="0.25">
      <c r="A416" s="1400"/>
      <c r="B416" s="1217"/>
      <c r="C416" s="1217"/>
      <c r="D416" s="1217"/>
      <c r="E416" s="1217"/>
      <c r="F416" s="1217"/>
      <c r="G416" s="1217"/>
      <c r="H416" s="1217"/>
      <c r="I416" s="1401"/>
    </row>
    <row r="417" spans="1:15" x14ac:dyDescent="0.25">
      <c r="A417" s="1400"/>
      <c r="B417" s="1217"/>
      <c r="C417" s="1217"/>
      <c r="D417" s="1217"/>
      <c r="E417" s="1217"/>
      <c r="F417" s="1217"/>
      <c r="G417" s="1217"/>
      <c r="H417" s="1217"/>
      <c r="I417" s="1401"/>
    </row>
    <row r="418" spans="1:15" x14ac:dyDescent="0.25">
      <c r="A418" s="1400"/>
      <c r="B418" s="1217"/>
      <c r="C418" s="1217"/>
      <c r="D418" s="1217"/>
      <c r="E418" s="1217"/>
      <c r="F418" s="1217"/>
      <c r="G418" s="1217"/>
      <c r="H418" s="1217"/>
      <c r="I418" s="1401"/>
    </row>
    <row r="419" spans="1:15" x14ac:dyDescent="0.25">
      <c r="A419" s="1400"/>
      <c r="B419" s="1217"/>
      <c r="C419" s="1217"/>
      <c r="D419" s="1217"/>
      <c r="E419" s="1217"/>
      <c r="F419" s="1217"/>
      <c r="G419" s="1217"/>
      <c r="H419" s="1217"/>
      <c r="I419" s="1401"/>
    </row>
    <row r="420" spans="1:15" ht="15" customHeight="1" x14ac:dyDescent="0.25">
      <c r="A420" s="1400"/>
      <c r="B420" s="1217"/>
      <c r="C420" s="1217"/>
      <c r="D420" s="1217"/>
      <c r="E420" s="1217"/>
      <c r="F420" s="1217"/>
      <c r="G420" s="1217"/>
      <c r="H420" s="1217"/>
      <c r="I420" s="1401"/>
    </row>
    <row r="421" spans="1:15" ht="15" customHeight="1" x14ac:dyDescent="0.25">
      <c r="A421" s="1400"/>
      <c r="B421" s="1217"/>
      <c r="C421" s="1217"/>
      <c r="D421" s="1217"/>
      <c r="E421" s="1217"/>
      <c r="F421" s="1217"/>
      <c r="G421" s="1217"/>
      <c r="H421" s="1217"/>
      <c r="I421" s="1401"/>
    </row>
    <row r="422" spans="1:15" x14ac:dyDescent="0.25">
      <c r="A422" s="1402"/>
      <c r="B422" s="1218"/>
      <c r="C422" s="1218"/>
      <c r="D422" s="1218"/>
      <c r="E422" s="1218"/>
      <c r="F422" s="1218"/>
      <c r="G422" s="1218"/>
      <c r="H422" s="1218"/>
      <c r="I422" s="1403"/>
    </row>
    <row r="423" spans="1:15" ht="18.75" customHeight="1" x14ac:dyDescent="0.25">
      <c r="A423" s="1443" t="s">
        <v>1348</v>
      </c>
      <c r="B423" s="1443"/>
      <c r="C423" s="1443"/>
      <c r="D423" s="1443"/>
      <c r="E423" s="1443"/>
      <c r="F423" s="1443"/>
      <c r="G423" s="1443"/>
      <c r="H423" s="1443"/>
      <c r="I423" s="1443"/>
      <c r="N423" s="37"/>
      <c r="O423" s="37"/>
    </row>
    <row r="424" spans="1:15" ht="15.75" x14ac:dyDescent="0.25">
      <c r="A424" s="1386" t="s">
        <v>728</v>
      </c>
      <c r="B424" s="1386"/>
      <c r="C424" s="609"/>
      <c r="D424" s="1386" t="s">
        <v>1349</v>
      </c>
      <c r="E424" s="1386"/>
      <c r="F424" s="1386"/>
      <c r="G424" s="1386"/>
      <c r="H424" s="1386"/>
      <c r="I424" s="1386"/>
    </row>
    <row r="425" spans="1:15" x14ac:dyDescent="0.25">
      <c r="A425" s="720" t="s">
        <v>1190</v>
      </c>
      <c r="B425" s="718" t="str">
        <f>Unformatted!E443</f>
        <v>N/A</v>
      </c>
      <c r="D425" s="1209" t="s">
        <v>1350</v>
      </c>
      <c r="E425" s="1209"/>
      <c r="F425" s="396"/>
      <c r="G425" s="1209" t="s">
        <v>1351</v>
      </c>
      <c r="H425" s="1209"/>
      <c r="I425" s="1209"/>
    </row>
    <row r="426" spans="1:15" x14ac:dyDescent="0.25">
      <c r="A426" s="720" t="s">
        <v>1191</v>
      </c>
      <c r="B426" s="718" t="str">
        <f>Unformatted!E445</f>
        <v>N/A</v>
      </c>
      <c r="D426" s="719" t="s">
        <v>1195</v>
      </c>
      <c r="E426" s="717" t="str">
        <f>Unformatted!E457</f>
        <v>N/A</v>
      </c>
      <c r="F426" s="396"/>
      <c r="G426" s="719" t="s">
        <v>1195</v>
      </c>
      <c r="H426" s="1208" t="str">
        <f>Unformatted!E464</f>
        <v>N/A</v>
      </c>
      <c r="I426" s="1208"/>
    </row>
    <row r="427" spans="1:15" x14ac:dyDescent="0.25">
      <c r="A427" s="720" t="s">
        <v>1369</v>
      </c>
      <c r="B427" s="718" t="str">
        <f>Unformatted!E447</f>
        <v>N/A</v>
      </c>
      <c r="D427" s="720" t="s">
        <v>1200</v>
      </c>
      <c r="E427" s="718" t="str">
        <f>Unformatted!E459</f>
        <v>N/A</v>
      </c>
      <c r="G427" s="720" t="s">
        <v>1200</v>
      </c>
      <c r="H427" s="1208" t="str">
        <f>Unformatted!E466</f>
        <v>N/A</v>
      </c>
      <c r="I427" s="1208"/>
    </row>
    <row r="428" spans="1:15" x14ac:dyDescent="0.25">
      <c r="A428" s="720" t="s">
        <v>1200</v>
      </c>
      <c r="B428" s="718" t="str">
        <f>Unformatted!E449</f>
        <v>N/A</v>
      </c>
      <c r="D428" s="720" t="s">
        <v>1153</v>
      </c>
      <c r="E428" s="718" t="str">
        <f>Unformatted!E458</f>
        <v>N/A</v>
      </c>
      <c r="G428" s="720" t="s">
        <v>1153</v>
      </c>
      <c r="H428" s="1208" t="str">
        <f>Unformatted!E465</f>
        <v>N/A</v>
      </c>
      <c r="I428" s="1208"/>
    </row>
    <row r="429" spans="1:15" x14ac:dyDescent="0.25">
      <c r="A429" s="720" t="s">
        <v>1195</v>
      </c>
      <c r="B429" s="718" t="str">
        <f>Unformatted!E451</f>
        <v>N/A</v>
      </c>
      <c r="D429" s="720" t="s">
        <v>1194</v>
      </c>
      <c r="E429" s="718" t="str">
        <f>Unformatted!E460</f>
        <v>N/A</v>
      </c>
      <c r="G429" s="720" t="s">
        <v>1194</v>
      </c>
      <c r="H429" s="1208" t="str">
        <f>Unformatted!E467</f>
        <v>N/A</v>
      </c>
      <c r="I429" s="1208"/>
    </row>
    <row r="430" spans="1:15" x14ac:dyDescent="0.25">
      <c r="A430" s="720" t="s">
        <v>1153</v>
      </c>
      <c r="B430" s="718" t="str">
        <f>Unformatted!E444</f>
        <v>N/A</v>
      </c>
      <c r="D430" s="1209" t="s">
        <v>136</v>
      </c>
      <c r="E430" s="1209"/>
      <c r="G430" s="1209" t="s">
        <v>1204</v>
      </c>
      <c r="H430" s="1209"/>
      <c r="I430" s="1209"/>
    </row>
    <row r="431" spans="1:15" x14ac:dyDescent="0.25">
      <c r="A431" s="720" t="s">
        <v>1194</v>
      </c>
      <c r="B431" s="718" t="str">
        <f>Unformatted!E446</f>
        <v>N/A</v>
      </c>
      <c r="D431" s="1064" t="str">
        <f>Unformatted!E456</f>
        <v>N/A</v>
      </c>
      <c r="E431" s="1064"/>
      <c r="F431" s="396"/>
      <c r="G431" s="1064" t="str">
        <f>Unformatted!E463</f>
        <v>N/A</v>
      </c>
      <c r="H431" s="1064"/>
      <c r="I431" s="1064"/>
      <c r="N431" s="37"/>
      <c r="O431" s="37"/>
    </row>
    <row r="432" spans="1:15" ht="18" customHeight="1" x14ac:dyDescent="0.25">
      <c r="A432" s="720" t="s">
        <v>1216</v>
      </c>
      <c r="B432" s="718" t="str">
        <f>Unformatted!E448</f>
        <v>N/A</v>
      </c>
      <c r="D432" s="720" t="s">
        <v>134</v>
      </c>
      <c r="E432" s="718" t="str">
        <f>Unformatted!E461</f>
        <v>N/A</v>
      </c>
      <c r="G432" s="720" t="s">
        <v>134</v>
      </c>
      <c r="H432" s="1208" t="str">
        <f>Unformatted!E468</f>
        <v>N/A</v>
      </c>
      <c r="I432" s="1208"/>
    </row>
    <row r="433" spans="1:9" ht="15.75" x14ac:dyDescent="0.25">
      <c r="A433" s="720" t="s">
        <v>1193</v>
      </c>
      <c r="B433" s="718" t="str">
        <f>Unformatted!E450</f>
        <v>N/A</v>
      </c>
      <c r="D433" s="1386" t="s">
        <v>1197</v>
      </c>
      <c r="E433" s="1386"/>
      <c r="F433" s="1386"/>
      <c r="G433" s="1386"/>
      <c r="H433" s="1386"/>
      <c r="I433" s="1386"/>
    </row>
    <row r="434" spans="1:9" x14ac:dyDescent="0.25">
      <c r="A434" s="720" t="s">
        <v>136</v>
      </c>
      <c r="B434" s="718" t="str">
        <f>Unformatted!F442</f>
        <v/>
      </c>
      <c r="D434" s="754" t="s">
        <v>136</v>
      </c>
      <c r="E434" s="611" t="str">
        <f>Unformatted!E472</f>
        <v>N/A</v>
      </c>
      <c r="G434" s="720" t="s">
        <v>1153</v>
      </c>
      <c r="H434" s="1210" t="str">
        <f>Unformatted!E474</f>
        <v>N/A</v>
      </c>
      <c r="I434" s="1210"/>
    </row>
    <row r="435" spans="1:9" x14ac:dyDescent="0.25">
      <c r="A435" s="720" t="s">
        <v>1196</v>
      </c>
      <c r="B435" s="718" t="str">
        <f>Unformatted!E452</f>
        <v>N/A</v>
      </c>
      <c r="D435" s="720" t="s">
        <v>1201</v>
      </c>
      <c r="E435" s="718" t="str">
        <f>Unformatted!E477</f>
        <v>N/A</v>
      </c>
      <c r="G435" s="720" t="s">
        <v>1194</v>
      </c>
      <c r="H435" s="1210" t="str">
        <f>Unformatted!E476</f>
        <v>N/A</v>
      </c>
      <c r="I435" s="1210"/>
    </row>
    <row r="436" spans="1:9" ht="18" customHeight="1" x14ac:dyDescent="0.25">
      <c r="A436" s="726"/>
      <c r="D436" s="720" t="s">
        <v>1195</v>
      </c>
      <c r="E436" s="718" t="str">
        <f>Unformatted!E473</f>
        <v>N/A</v>
      </c>
      <c r="G436" s="720" t="s">
        <v>1196</v>
      </c>
      <c r="H436" s="1210" t="str">
        <f>Unformatted!E478</f>
        <v>N/A</v>
      </c>
      <c r="I436" s="1210"/>
    </row>
    <row r="437" spans="1:9" ht="15" customHeight="1" x14ac:dyDescent="0.25">
      <c r="A437" s="754"/>
      <c r="D437" s="720" t="s">
        <v>1200</v>
      </c>
      <c r="E437" s="718" t="str">
        <f>Unformatted!E475</f>
        <v>N/A</v>
      </c>
      <c r="G437" s="754"/>
      <c r="H437" s="753"/>
      <c r="I437" s="753"/>
    </row>
    <row r="438" spans="1:9" ht="7.5" customHeight="1" x14ac:dyDescent="0.25">
      <c r="A438" s="754"/>
      <c r="D438" s="754"/>
      <c r="E438" s="753"/>
      <c r="G438" s="754"/>
      <c r="H438" s="753"/>
      <c r="I438" s="753"/>
    </row>
    <row r="439" spans="1:9" ht="15" customHeight="1" x14ac:dyDescent="0.25">
      <c r="A439" s="859" t="s">
        <v>1565</v>
      </c>
      <c r="B439" s="856"/>
      <c r="C439" s="856"/>
      <c r="D439" s="856"/>
      <c r="E439" s="857" t="s">
        <v>176</v>
      </c>
      <c r="F439" s="1409" t="s">
        <v>792</v>
      </c>
      <c r="G439" s="1409"/>
      <c r="H439" s="1409"/>
      <c r="I439" s="1409"/>
    </row>
    <row r="440" spans="1:9" ht="18.75" customHeight="1" x14ac:dyDescent="0.25">
      <c r="A440" s="1410" t="s">
        <v>1538</v>
      </c>
      <c r="B440" s="1410"/>
      <c r="C440" s="1410"/>
      <c r="D440" s="1410"/>
      <c r="E440" s="755" t="str">
        <f>Unformatted!F481</f>
        <v>N/A</v>
      </c>
      <c r="F440" s="1392" t="str">
        <f>Unformatted!H481</f>
        <v/>
      </c>
      <c r="G440" s="1392"/>
      <c r="H440" s="1392"/>
      <c r="I440" s="1392"/>
    </row>
    <row r="441" spans="1:9" ht="18.75" customHeight="1" x14ac:dyDescent="0.25">
      <c r="A441" s="1410" t="s">
        <v>1539</v>
      </c>
      <c r="B441" s="1410"/>
      <c r="C441" s="1410"/>
      <c r="D441" s="1410"/>
      <c r="E441" s="755" t="str">
        <f>Unformatted!F482</f>
        <v>N/A</v>
      </c>
      <c r="F441" s="1392" t="str">
        <f>Unformatted!H482</f>
        <v/>
      </c>
      <c r="G441" s="1392"/>
      <c r="H441" s="1392"/>
      <c r="I441" s="1392"/>
    </row>
    <row r="442" spans="1:9" ht="18.75" customHeight="1" x14ac:dyDescent="0.25">
      <c r="A442" s="1410" t="s">
        <v>1540</v>
      </c>
      <c r="B442" s="1410"/>
      <c r="C442" s="1410"/>
      <c r="D442" s="1410"/>
      <c r="E442" s="755" t="str">
        <f>Unformatted!F483</f>
        <v>N/A</v>
      </c>
      <c r="F442" s="1392" t="str">
        <f>Unformatted!H483</f>
        <v/>
      </c>
      <c r="G442" s="1392"/>
      <c r="H442" s="1392"/>
      <c r="I442" s="1392"/>
    </row>
    <row r="443" spans="1:9" ht="7.5" customHeight="1" x14ac:dyDescent="0.25"/>
    <row r="444" spans="1:9" ht="18.75" x14ac:dyDescent="0.25">
      <c r="A444" s="1397" t="s">
        <v>741</v>
      </c>
      <c r="B444" s="1397"/>
      <c r="C444" s="1397"/>
      <c r="D444" s="1397"/>
      <c r="E444" s="1397"/>
      <c r="F444" s="1397"/>
      <c r="G444" s="1397"/>
      <c r="H444" s="1397"/>
      <c r="I444" s="1397"/>
    </row>
    <row r="445" spans="1:9" x14ac:dyDescent="0.25">
      <c r="A445" s="1113" t="str">
        <f>Unformatted!E453</f>
        <v/>
      </c>
      <c r="B445" s="1114"/>
      <c r="C445" s="1114"/>
      <c r="D445" s="1114"/>
      <c r="E445" s="1114"/>
      <c r="F445" s="1114"/>
      <c r="G445" s="1114"/>
      <c r="H445" s="1114"/>
      <c r="I445" s="1115"/>
    </row>
    <row r="446" spans="1:9" x14ac:dyDescent="0.25">
      <c r="A446" s="1116"/>
      <c r="B446" s="1117"/>
      <c r="C446" s="1117"/>
      <c r="D446" s="1117"/>
      <c r="E446" s="1117"/>
      <c r="F446" s="1117"/>
      <c r="G446" s="1117"/>
      <c r="H446" s="1117"/>
      <c r="I446" s="1118"/>
    </row>
    <row r="447" spans="1:9" x14ac:dyDescent="0.25">
      <c r="A447" s="1116"/>
      <c r="B447" s="1117"/>
      <c r="C447" s="1117"/>
      <c r="D447" s="1117"/>
      <c r="E447" s="1117"/>
      <c r="F447" s="1117"/>
      <c r="G447" s="1117"/>
      <c r="H447" s="1117"/>
      <c r="I447" s="1118"/>
    </row>
    <row r="448" spans="1:9" x14ac:dyDescent="0.25">
      <c r="A448" s="1116"/>
      <c r="B448" s="1117"/>
      <c r="C448" s="1117"/>
      <c r="D448" s="1117"/>
      <c r="E448" s="1117"/>
      <c r="F448" s="1117"/>
      <c r="G448" s="1117"/>
      <c r="H448" s="1117"/>
      <c r="I448" s="1118"/>
    </row>
    <row r="449" spans="1:9" x14ac:dyDescent="0.25">
      <c r="A449" s="1116"/>
      <c r="B449" s="1117"/>
      <c r="C449" s="1117"/>
      <c r="D449" s="1117"/>
      <c r="E449" s="1117"/>
      <c r="F449" s="1117"/>
      <c r="G449" s="1117"/>
      <c r="H449" s="1117"/>
      <c r="I449" s="1118"/>
    </row>
    <row r="450" spans="1:9" x14ac:dyDescent="0.25">
      <c r="A450" s="1116"/>
      <c r="B450" s="1117"/>
      <c r="C450" s="1117"/>
      <c r="D450" s="1117"/>
      <c r="E450" s="1117"/>
      <c r="F450" s="1117"/>
      <c r="G450" s="1117"/>
      <c r="H450" s="1117"/>
      <c r="I450" s="1118"/>
    </row>
    <row r="451" spans="1:9" x14ac:dyDescent="0.25">
      <c r="A451" s="1116"/>
      <c r="B451" s="1117"/>
      <c r="C451" s="1117"/>
      <c r="D451" s="1117"/>
      <c r="E451" s="1117"/>
      <c r="F451" s="1117"/>
      <c r="G451" s="1117"/>
      <c r="H451" s="1117"/>
      <c r="I451" s="1118"/>
    </row>
    <row r="452" spans="1:9" x14ac:dyDescent="0.25">
      <c r="A452" s="1119"/>
      <c r="B452" s="1120"/>
      <c r="C452" s="1120"/>
      <c r="D452" s="1120"/>
      <c r="E452" s="1120"/>
      <c r="F452" s="1120"/>
      <c r="G452" s="1120"/>
      <c r="H452" s="1120"/>
      <c r="I452" s="1121"/>
    </row>
    <row r="453" spans="1:9" ht="18.75" x14ac:dyDescent="0.3">
      <c r="A453" s="1415" t="s">
        <v>742</v>
      </c>
      <c r="B453" s="1415"/>
      <c r="C453" s="1415"/>
      <c r="D453" s="1415"/>
      <c r="E453" s="1415"/>
      <c r="F453" s="1415"/>
      <c r="G453" s="1415"/>
      <c r="H453" s="1415"/>
      <c r="I453" s="1415"/>
    </row>
    <row r="454" spans="1:9" x14ac:dyDescent="0.25">
      <c r="A454" s="1113" t="str">
        <f>Unformatted!E469</f>
        <v/>
      </c>
      <c r="B454" s="1114"/>
      <c r="C454" s="1114"/>
      <c r="D454" s="1114"/>
      <c r="E454" s="1114"/>
      <c r="F454" s="1114"/>
      <c r="G454" s="1114"/>
      <c r="H454" s="1114"/>
      <c r="I454" s="1115"/>
    </row>
    <row r="455" spans="1:9" x14ac:dyDescent="0.25">
      <c r="A455" s="1116"/>
      <c r="B455" s="1117"/>
      <c r="C455" s="1117"/>
      <c r="D455" s="1117"/>
      <c r="E455" s="1117"/>
      <c r="F455" s="1117"/>
      <c r="G455" s="1117"/>
      <c r="H455" s="1117"/>
      <c r="I455" s="1118"/>
    </row>
    <row r="456" spans="1:9" x14ac:dyDescent="0.25">
      <c r="A456" s="1116"/>
      <c r="B456" s="1117"/>
      <c r="C456" s="1117"/>
      <c r="D456" s="1117"/>
      <c r="E456" s="1117"/>
      <c r="F456" s="1117"/>
      <c r="G456" s="1117"/>
      <c r="H456" s="1117"/>
      <c r="I456" s="1118"/>
    </row>
    <row r="457" spans="1:9" x14ac:dyDescent="0.25">
      <c r="A457" s="1116"/>
      <c r="B457" s="1117"/>
      <c r="C457" s="1117"/>
      <c r="D457" s="1117"/>
      <c r="E457" s="1117"/>
      <c r="F457" s="1117"/>
      <c r="G457" s="1117"/>
      <c r="H457" s="1117"/>
      <c r="I457" s="1118"/>
    </row>
    <row r="458" spans="1:9" x14ac:dyDescent="0.25">
      <c r="A458" s="1116"/>
      <c r="B458" s="1117"/>
      <c r="C458" s="1117"/>
      <c r="D458" s="1117"/>
      <c r="E458" s="1117"/>
      <c r="F458" s="1117"/>
      <c r="G458" s="1117"/>
      <c r="H458" s="1117"/>
      <c r="I458" s="1118"/>
    </row>
    <row r="459" spans="1:9" x14ac:dyDescent="0.25">
      <c r="A459" s="1116"/>
      <c r="B459" s="1117"/>
      <c r="C459" s="1117"/>
      <c r="D459" s="1117"/>
      <c r="E459" s="1117"/>
      <c r="F459" s="1117"/>
      <c r="G459" s="1117"/>
      <c r="H459" s="1117"/>
      <c r="I459" s="1118"/>
    </row>
    <row r="460" spans="1:9" x14ac:dyDescent="0.25">
      <c r="A460" s="1116"/>
      <c r="B460" s="1117"/>
      <c r="C460" s="1117"/>
      <c r="D460" s="1117"/>
      <c r="E460" s="1117"/>
      <c r="F460" s="1117"/>
      <c r="G460" s="1117"/>
      <c r="H460" s="1117"/>
      <c r="I460" s="1118"/>
    </row>
    <row r="461" spans="1:9" x14ac:dyDescent="0.25">
      <c r="A461" s="1116"/>
      <c r="B461" s="1117"/>
      <c r="C461" s="1117"/>
      <c r="D461" s="1117"/>
      <c r="E461" s="1117"/>
      <c r="F461" s="1117"/>
      <c r="G461" s="1117"/>
      <c r="H461" s="1117"/>
      <c r="I461" s="1118"/>
    </row>
    <row r="462" spans="1:9" x14ac:dyDescent="0.25">
      <c r="A462" s="1116"/>
      <c r="B462" s="1117"/>
      <c r="C462" s="1117"/>
      <c r="D462" s="1117"/>
      <c r="E462" s="1117"/>
      <c r="F462" s="1117"/>
      <c r="G462" s="1117"/>
      <c r="H462" s="1117"/>
      <c r="I462" s="1118"/>
    </row>
    <row r="463" spans="1:9" x14ac:dyDescent="0.25">
      <c r="A463" s="1116"/>
      <c r="B463" s="1117"/>
      <c r="C463" s="1117"/>
      <c r="D463" s="1117"/>
      <c r="E463" s="1117"/>
      <c r="F463" s="1117"/>
      <c r="G463" s="1117"/>
      <c r="H463" s="1117"/>
      <c r="I463" s="1118"/>
    </row>
    <row r="464" spans="1:9" x14ac:dyDescent="0.25">
      <c r="A464" s="1116"/>
      <c r="B464" s="1117"/>
      <c r="C464" s="1117"/>
      <c r="D464" s="1117"/>
      <c r="E464" s="1117"/>
      <c r="F464" s="1117"/>
      <c r="G464" s="1117"/>
      <c r="H464" s="1117"/>
      <c r="I464" s="1118"/>
    </row>
    <row r="465" spans="1:9" ht="18.75" x14ac:dyDescent="0.3">
      <c r="A465" s="1415" t="s">
        <v>1564</v>
      </c>
      <c r="B465" s="1415"/>
      <c r="C465" s="1415"/>
      <c r="D465" s="1415"/>
      <c r="E465" s="1415"/>
      <c r="F465" s="1415"/>
      <c r="G465" s="1415"/>
      <c r="H465" s="1415"/>
      <c r="I465" s="1415"/>
    </row>
    <row r="466" spans="1:9" x14ac:dyDescent="0.25">
      <c r="A466" s="1113" t="str">
        <f>Unformatted!E479</f>
        <v/>
      </c>
      <c r="B466" s="1114"/>
      <c r="C466" s="1114"/>
      <c r="D466" s="1114"/>
      <c r="E466" s="1114"/>
      <c r="F466" s="1114"/>
      <c r="G466" s="1114"/>
      <c r="H466" s="1114"/>
      <c r="I466" s="1115"/>
    </row>
    <row r="467" spans="1:9" x14ac:dyDescent="0.25">
      <c r="A467" s="1116"/>
      <c r="B467" s="1117"/>
      <c r="C467" s="1117"/>
      <c r="D467" s="1117"/>
      <c r="E467" s="1117"/>
      <c r="F467" s="1117"/>
      <c r="G467" s="1117"/>
      <c r="H467" s="1117"/>
      <c r="I467" s="1118"/>
    </row>
    <row r="468" spans="1:9" x14ac:dyDescent="0.25">
      <c r="A468" s="1116"/>
      <c r="B468" s="1117"/>
      <c r="C468" s="1117"/>
      <c r="D468" s="1117"/>
      <c r="E468" s="1117"/>
      <c r="F468" s="1117"/>
      <c r="G468" s="1117"/>
      <c r="H468" s="1117"/>
      <c r="I468" s="1118"/>
    </row>
    <row r="469" spans="1:9" x14ac:dyDescent="0.25">
      <c r="A469" s="1116"/>
      <c r="B469" s="1117"/>
      <c r="C469" s="1117"/>
      <c r="D469" s="1117"/>
      <c r="E469" s="1117"/>
      <c r="F469" s="1117"/>
      <c r="G469" s="1117"/>
      <c r="H469" s="1117"/>
      <c r="I469" s="1118"/>
    </row>
    <row r="470" spans="1:9" x14ac:dyDescent="0.25">
      <c r="A470" s="1116"/>
      <c r="B470" s="1117"/>
      <c r="C470" s="1117"/>
      <c r="D470" s="1117"/>
      <c r="E470" s="1117"/>
      <c r="F470" s="1117"/>
      <c r="G470" s="1117"/>
      <c r="H470" s="1117"/>
      <c r="I470" s="1118"/>
    </row>
    <row r="471" spans="1:9" ht="15" customHeight="1" x14ac:dyDescent="0.25">
      <c r="A471" s="1116"/>
      <c r="B471" s="1117"/>
      <c r="C471" s="1117"/>
      <c r="D471" s="1117"/>
      <c r="E471" s="1117"/>
      <c r="F471" s="1117"/>
      <c r="G471" s="1117"/>
      <c r="H471" s="1117"/>
      <c r="I471" s="1118"/>
    </row>
    <row r="472" spans="1:9" x14ac:dyDescent="0.25">
      <c r="A472" s="1116"/>
      <c r="B472" s="1117"/>
      <c r="C472" s="1117"/>
      <c r="D472" s="1117"/>
      <c r="E472" s="1117"/>
      <c r="F472" s="1117"/>
      <c r="G472" s="1117"/>
      <c r="H472" s="1117"/>
      <c r="I472" s="1118"/>
    </row>
    <row r="473" spans="1:9" x14ac:dyDescent="0.25">
      <c r="A473" s="1119"/>
      <c r="B473" s="1120"/>
      <c r="C473" s="1120"/>
      <c r="D473" s="1120"/>
      <c r="E473" s="1120"/>
      <c r="F473" s="1120"/>
      <c r="G473" s="1120"/>
      <c r="H473" s="1120"/>
      <c r="I473" s="1121"/>
    </row>
    <row r="474" spans="1:9" ht="21" x14ac:dyDescent="0.35">
      <c r="A474" s="1412" t="s">
        <v>979</v>
      </c>
      <c r="B474" s="1412"/>
      <c r="C474" s="1412"/>
      <c r="D474" s="1412"/>
      <c r="E474" s="1412"/>
      <c r="F474" s="1412"/>
      <c r="G474" s="1412"/>
      <c r="H474" s="1412"/>
      <c r="I474" s="1412"/>
    </row>
    <row r="475" spans="1:9" ht="15.75" x14ac:dyDescent="0.25">
      <c r="A475" s="307" t="s">
        <v>1000</v>
      </c>
      <c r="B475" s="297"/>
      <c r="C475" s="297"/>
      <c r="D475" s="297"/>
      <c r="E475" s="297"/>
      <c r="F475" s="297"/>
      <c r="G475" s="297"/>
      <c r="H475" s="297"/>
      <c r="I475" s="297"/>
    </row>
    <row r="476" spans="1:9" x14ac:dyDescent="0.25">
      <c r="A476"/>
      <c r="B476" s="1413" t="s">
        <v>983</v>
      </c>
      <c r="C476" s="1413"/>
      <c r="D476" s="1413" t="s">
        <v>982</v>
      </c>
      <c r="E476" s="1413"/>
      <c r="F476"/>
      <c r="G476"/>
      <c r="H476"/>
      <c r="I476"/>
    </row>
    <row r="477" spans="1:9" x14ac:dyDescent="0.25">
      <c r="A477" s="252" t="s">
        <v>980</v>
      </c>
      <c r="B477" s="1167" t="s">
        <v>639</v>
      </c>
      <c r="C477" s="1168"/>
      <c r="D477" s="1167" t="s">
        <v>639</v>
      </c>
      <c r="E477" s="1168"/>
      <c r="F477" s="1414" t="s">
        <v>657</v>
      </c>
      <c r="G477" s="1055"/>
      <c r="H477" s="1055"/>
      <c r="I477" s="1055"/>
    </row>
    <row r="478" spans="1:9" x14ac:dyDescent="0.25">
      <c r="A478" s="21" t="str">
        <f>IF(Unformatted!E202=0,"",Unformatted!E202)</f>
        <v/>
      </c>
      <c r="B478" s="293" t="s">
        <v>221</v>
      </c>
      <c r="C478" s="293" t="s">
        <v>222</v>
      </c>
      <c r="D478" s="293" t="s">
        <v>221</v>
      </c>
      <c r="E478" s="293" t="s">
        <v>222</v>
      </c>
      <c r="F478" s="1416" t="str">
        <f>Unformatted!E769</f>
        <v>N/A</v>
      </c>
      <c r="G478" s="1354"/>
      <c r="H478" s="1354"/>
      <c r="I478" s="1354"/>
    </row>
    <row r="479" spans="1:9" x14ac:dyDescent="0.25">
      <c r="A479" s="36" t="s">
        <v>341</v>
      </c>
      <c r="B479" s="249" t="str">
        <f>Unformatted!G206</f>
        <v>N/A</v>
      </c>
      <c r="C479" s="249" t="str">
        <f>Unformatted!H206</f>
        <v>N/A</v>
      </c>
      <c r="D479" s="249" t="str">
        <f>Unformatted!F524</f>
        <v>N/A</v>
      </c>
      <c r="E479" s="249" t="str">
        <f>Unformatted!G524</f>
        <v>N/A</v>
      </c>
      <c r="F479" s="36" t="str">
        <f>IF(Unformatted!E524=1,"Material:","")</f>
        <v/>
      </c>
      <c r="G479" t="str">
        <f>Unformatted!P524</f>
        <v/>
      </c>
      <c r="H479"/>
      <c r="I479"/>
    </row>
    <row r="480" spans="1:9" x14ac:dyDescent="0.25">
      <c r="A480" s="36" t="s">
        <v>1077</v>
      </c>
      <c r="B480" s="249" t="str">
        <f>Unformatted!G207</f>
        <v/>
      </c>
      <c r="C480" s="249" t="str">
        <f>Unformatted!H207</f>
        <v/>
      </c>
      <c r="D480" s="306"/>
      <c r="E480" s="295"/>
      <c r="F480"/>
      <c r="G480"/>
      <c r="H480"/>
      <c r="I480"/>
    </row>
    <row r="481" spans="1:9" ht="7.35" customHeight="1" x14ac:dyDescent="0.25">
      <c r="A481"/>
      <c r="B481"/>
      <c r="C481"/>
      <c r="D481"/>
      <c r="E481"/>
      <c r="F481"/>
      <c r="G481"/>
      <c r="H481"/>
      <c r="I481"/>
    </row>
    <row r="482" spans="1:9" x14ac:dyDescent="0.25">
      <c r="A482"/>
      <c r="B482" s="1413" t="s">
        <v>983</v>
      </c>
      <c r="C482" s="1413"/>
      <c r="D482" s="1413" t="s">
        <v>982</v>
      </c>
      <c r="E482" s="1413"/>
      <c r="F482"/>
      <c r="G482"/>
      <c r="H482"/>
      <c r="I482"/>
    </row>
    <row r="483" spans="1:9" x14ac:dyDescent="0.25">
      <c r="A483"/>
      <c r="B483" s="1167" t="s">
        <v>338</v>
      </c>
      <c r="C483" s="1168"/>
      <c r="D483" s="1167" t="s">
        <v>338</v>
      </c>
      <c r="E483" s="1168"/>
      <c r="F483" s="1414" t="s">
        <v>659</v>
      </c>
      <c r="G483" s="1055"/>
      <c r="H483" s="1055"/>
      <c r="I483" s="1055"/>
    </row>
    <row r="484" spans="1:9" x14ac:dyDescent="0.25">
      <c r="A484"/>
      <c r="B484" s="293" t="s">
        <v>221</v>
      </c>
      <c r="C484" s="293" t="s">
        <v>222</v>
      </c>
      <c r="D484" s="293" t="s">
        <v>221</v>
      </c>
      <c r="E484" s="293" t="s">
        <v>222</v>
      </c>
      <c r="F484" s="1416" t="str">
        <f>Unformatted!E771</f>
        <v>N/A</v>
      </c>
      <c r="G484" s="1354"/>
      <c r="H484" s="1354"/>
      <c r="I484" s="1354"/>
    </row>
    <row r="485" spans="1:9" x14ac:dyDescent="0.25">
      <c r="A485" s="36" t="s">
        <v>341</v>
      </c>
      <c r="B485" s="249" t="str">
        <f>Unformatted!I206</f>
        <v>N/A</v>
      </c>
      <c r="C485" s="249" t="str">
        <f>Unformatted!J206</f>
        <v>N/A</v>
      </c>
      <c r="D485" s="249" t="str">
        <f>Unformatted!F526</f>
        <v>N/A</v>
      </c>
      <c r="E485" s="249" t="str">
        <f>Unformatted!G526</f>
        <v>N/A</v>
      </c>
      <c r="F485" s="36" t="str">
        <f>IF(Unformatted!E525=1,"Material:","")</f>
        <v/>
      </c>
      <c r="G485" t="str">
        <f>Unformatted!P525</f>
        <v/>
      </c>
      <c r="H485"/>
      <c r="I485"/>
    </row>
    <row r="486" spans="1:9" x14ac:dyDescent="0.25">
      <c r="A486" s="36" t="s">
        <v>1077</v>
      </c>
      <c r="B486" s="249" t="str">
        <f>Unformatted!I207</f>
        <v/>
      </c>
      <c r="C486" s="249" t="str">
        <f>Unformatted!J207</f>
        <v/>
      </c>
      <c r="D486" s="306"/>
      <c r="E486" s="295"/>
      <c r="F486"/>
      <c r="G486"/>
      <c r="H486"/>
      <c r="I486"/>
    </row>
    <row r="487" spans="1:9" ht="7.35" customHeight="1" x14ac:dyDescent="0.25">
      <c r="A487"/>
      <c r="B487"/>
      <c r="C487"/>
      <c r="D487"/>
      <c r="E487"/>
      <c r="F487"/>
      <c r="G487"/>
      <c r="H487"/>
      <c r="I487"/>
    </row>
    <row r="488" spans="1:9" x14ac:dyDescent="0.25">
      <c r="A488"/>
      <c r="B488" s="1413" t="s">
        <v>983</v>
      </c>
      <c r="C488" s="1413"/>
      <c r="D488" s="1413" t="s">
        <v>982</v>
      </c>
      <c r="E488" s="1413"/>
      <c r="F488"/>
      <c r="G488"/>
      <c r="H488" s="167"/>
      <c r="I488" s="167"/>
    </row>
    <row r="489" spans="1:9" x14ac:dyDescent="0.25">
      <c r="A489" s="252" t="s">
        <v>981</v>
      </c>
      <c r="B489" s="1167" t="s">
        <v>638</v>
      </c>
      <c r="C489" s="1168"/>
      <c r="D489" s="1167" t="s">
        <v>638</v>
      </c>
      <c r="E489" s="1168"/>
      <c r="F489" s="1414" t="s">
        <v>658</v>
      </c>
      <c r="G489" s="1055"/>
      <c r="H489" s="1055"/>
      <c r="I489" s="1055"/>
    </row>
    <row r="490" spans="1:9" x14ac:dyDescent="0.25">
      <c r="A490" s="21" t="str">
        <f>IF(Unformatted!G202=0,"",Unformatted!G202)</f>
        <v/>
      </c>
      <c r="B490" s="293" t="s">
        <v>221</v>
      </c>
      <c r="C490" s="293" t="s">
        <v>222</v>
      </c>
      <c r="D490" s="293" t="s">
        <v>221</v>
      </c>
      <c r="E490" s="293" t="s">
        <v>222</v>
      </c>
      <c r="F490" s="1416" t="str">
        <f>Unformatted!E770</f>
        <v>N/A</v>
      </c>
      <c r="G490" s="1354"/>
      <c r="H490" s="1354"/>
      <c r="I490" s="1354"/>
    </row>
    <row r="491" spans="1:9" x14ac:dyDescent="0.25">
      <c r="A491" s="36" t="s">
        <v>341</v>
      </c>
      <c r="B491" s="249" t="str">
        <f>Unformatted!G209</f>
        <v>N/A</v>
      </c>
      <c r="C491" s="249" t="str">
        <f>Unformatted!H209</f>
        <v>N/A</v>
      </c>
      <c r="D491" s="249" t="str">
        <f>Unformatted!F525</f>
        <v>N/A</v>
      </c>
      <c r="E491" s="249" t="str">
        <f>Unformatted!G525</f>
        <v>N/A</v>
      </c>
      <c r="F491" s="36" t="str">
        <f>IF(Unformatted!E526=1,"Material:","")</f>
        <v/>
      </c>
      <c r="G491" t="str">
        <f>Unformatted!P526</f>
        <v/>
      </c>
      <c r="H491"/>
      <c r="I491"/>
    </row>
    <row r="492" spans="1:9" x14ac:dyDescent="0.25">
      <c r="A492" s="36" t="s">
        <v>1077</v>
      </c>
      <c r="B492" s="249" t="str">
        <f>Unformatted!G210</f>
        <v/>
      </c>
      <c r="C492" s="249" t="str">
        <f>Unformatted!H210</f>
        <v/>
      </c>
      <c r="D492" s="306"/>
      <c r="E492" s="295"/>
      <c r="F492"/>
      <c r="G492"/>
      <c r="H492"/>
      <c r="I492"/>
    </row>
    <row r="493" spans="1:9" ht="7.35" customHeight="1" x14ac:dyDescent="0.25">
      <c r="A493"/>
      <c r="B493"/>
      <c r="C493"/>
      <c r="D493"/>
      <c r="E493"/>
      <c r="F493"/>
      <c r="G493"/>
      <c r="H493" s="167"/>
      <c r="I493" s="167"/>
    </row>
    <row r="494" spans="1:9" x14ac:dyDescent="0.25">
      <c r="A494"/>
      <c r="B494" s="1413" t="s">
        <v>983</v>
      </c>
      <c r="C494" s="1413"/>
      <c r="D494" s="1413" t="s">
        <v>982</v>
      </c>
      <c r="E494" s="1413"/>
      <c r="F494"/>
      <c r="G494" s="167"/>
      <c r="H494" s="167"/>
      <c r="I494" s="167"/>
    </row>
    <row r="495" spans="1:9" x14ac:dyDescent="0.25">
      <c r="A495"/>
      <c r="B495" s="1167" t="s">
        <v>393</v>
      </c>
      <c r="C495" s="1168"/>
      <c r="D495" s="1167" t="s">
        <v>393</v>
      </c>
      <c r="E495" s="1168"/>
      <c r="F495" s="1414" t="s">
        <v>660</v>
      </c>
      <c r="G495" s="1055"/>
      <c r="H495" s="1055"/>
      <c r="I495" s="1055"/>
    </row>
    <row r="496" spans="1:9" x14ac:dyDescent="0.25">
      <c r="A496"/>
      <c r="B496" s="293" t="s">
        <v>221</v>
      </c>
      <c r="C496" s="293" t="s">
        <v>222</v>
      </c>
      <c r="D496" s="293" t="s">
        <v>221</v>
      </c>
      <c r="E496" s="293" t="s">
        <v>222</v>
      </c>
      <c r="F496" s="1416" t="str">
        <f>Unformatted!E772</f>
        <v>N/A</v>
      </c>
      <c r="G496" s="1354"/>
      <c r="H496" s="1354"/>
      <c r="I496" s="1354"/>
    </row>
    <row r="497" spans="1:9" x14ac:dyDescent="0.25">
      <c r="A497" s="36" t="s">
        <v>341</v>
      </c>
      <c r="B497" s="249" t="str">
        <f>Unformatted!I209</f>
        <v>N/A</v>
      </c>
      <c r="C497" s="249" t="str">
        <f>Unformatted!J209</f>
        <v>N/A</v>
      </c>
      <c r="D497" s="249" t="str">
        <f>Unformatted!F527</f>
        <v>N/A</v>
      </c>
      <c r="E497" s="249" t="str">
        <f>Unformatted!G527</f>
        <v>N/A</v>
      </c>
      <c r="F497" s="36" t="str">
        <f>IF(Unformatted!E527=1,"Material:","")</f>
        <v/>
      </c>
      <c r="G497" t="str">
        <f>Unformatted!P527</f>
        <v/>
      </c>
      <c r="H497"/>
      <c r="I497"/>
    </row>
    <row r="498" spans="1:9" x14ac:dyDescent="0.25">
      <c r="A498" s="36" t="s">
        <v>1077</v>
      </c>
      <c r="B498" s="249" t="str">
        <f>Unformatted!I210</f>
        <v/>
      </c>
      <c r="C498" s="249" t="str">
        <f>Unformatted!J210</f>
        <v/>
      </c>
      <c r="D498" s="306"/>
      <c r="E498" s="295"/>
      <c r="F498"/>
      <c r="G498"/>
      <c r="H498"/>
      <c r="I498"/>
    </row>
    <row r="499" spans="1:9" ht="7.35" customHeight="1" x14ac:dyDescent="0.25">
      <c r="A499"/>
      <c r="B499" s="295"/>
      <c r="C499" s="295"/>
      <c r="D499" s="101"/>
      <c r="E499" s="101"/>
      <c r="F499"/>
      <c r="G499"/>
      <c r="H499"/>
      <c r="I499"/>
    </row>
    <row r="500" spans="1:9" x14ac:dyDescent="0.25">
      <c r="A500" s="1417" t="s">
        <v>998</v>
      </c>
      <c r="B500" s="1417"/>
      <c r="C500" s="1417"/>
      <c r="D500" s="1417"/>
      <c r="E500" s="1417"/>
      <c r="F500" s="1417"/>
      <c r="G500" s="1417"/>
      <c r="H500" s="1417"/>
      <c r="I500" s="1417"/>
    </row>
    <row r="501" spans="1:9" ht="7.5" customHeight="1" x14ac:dyDescent="0.25">
      <c r="A501" s="67"/>
      <c r="B501" s="365"/>
      <c r="C501" s="365"/>
      <c r="D501" s="67"/>
      <c r="E501" s="67"/>
      <c r="F501" s="67"/>
      <c r="G501" s="67"/>
      <c r="H501" s="67"/>
      <c r="I501" s="67"/>
    </row>
    <row r="502" spans="1:9" x14ac:dyDescent="0.25">
      <c r="A502"/>
      <c r="B502" s="1413" t="s">
        <v>983</v>
      </c>
      <c r="C502" s="1413"/>
      <c r="D502" s="1055" t="s">
        <v>982</v>
      </c>
      <c r="E502" s="1055"/>
      <c r="F502"/>
      <c r="G502"/>
      <c r="H502"/>
      <c r="I502"/>
    </row>
    <row r="503" spans="1:9" x14ac:dyDescent="0.25">
      <c r="A503" s="299" t="s">
        <v>1001</v>
      </c>
      <c r="B503" s="1167" t="s">
        <v>637</v>
      </c>
      <c r="C503" s="1168"/>
      <c r="D503" s="1167" t="s">
        <v>680</v>
      </c>
      <c r="E503" s="1168"/>
      <c r="F503" s="1414" t="s">
        <v>994</v>
      </c>
      <c r="G503" s="1055"/>
      <c r="H503" s="1055"/>
      <c r="I503" s="1055"/>
    </row>
    <row r="504" spans="1:9" x14ac:dyDescent="0.25">
      <c r="A504" s="36" t="s">
        <v>341</v>
      </c>
      <c r="B504" s="370" t="s">
        <v>984</v>
      </c>
      <c r="C504" s="298" t="str">
        <f>Unformatted!K228</f>
        <v>N/A</v>
      </c>
      <c r="D504" s="371" t="s">
        <v>984</v>
      </c>
      <c r="E504" s="298" t="str">
        <f>Unformatted!F528</f>
        <v>N/A</v>
      </c>
      <c r="F504" s="1416" t="str">
        <f>Unformatted!E773</f>
        <v>N/A</v>
      </c>
      <c r="G504" s="1354"/>
      <c r="H504" s="1354"/>
      <c r="I504" s="1354"/>
    </row>
    <row r="505" spans="1:9" x14ac:dyDescent="0.25">
      <c r="A505" s="36"/>
      <c r="B505" s="370" t="s">
        <v>985</v>
      </c>
      <c r="C505" s="298" t="str">
        <f>Unformatted!J228</f>
        <v>N/A</v>
      </c>
      <c r="D505" s="371" t="s">
        <v>985</v>
      </c>
      <c r="E505" s="298" t="str">
        <f>Unformatted!G528</f>
        <v>N/A</v>
      </c>
      <c r="F505" s="36" t="str">
        <f>IF(Unformatted!E528=1,"Material:","")</f>
        <v/>
      </c>
      <c r="G505" t="str">
        <f>Unformatted!P528</f>
        <v/>
      </c>
      <c r="H505"/>
      <c r="I505"/>
    </row>
    <row r="506" spans="1:9" x14ac:dyDescent="0.25">
      <c r="A506"/>
      <c r="B506" s="370" t="s">
        <v>681</v>
      </c>
      <c r="C506" s="298" t="str">
        <f>Unformatted!H228</f>
        <v>N/A</v>
      </c>
      <c r="D506" s="371" t="s">
        <v>681</v>
      </c>
      <c r="E506" s="298" t="str">
        <f>Unformatted!H528</f>
        <v>N/A</v>
      </c>
      <c r="F506"/>
      <c r="G506"/>
      <c r="H506"/>
      <c r="I506"/>
    </row>
    <row r="507" spans="1:9" x14ac:dyDescent="0.25">
      <c r="B507" s="861"/>
      <c r="C507" s="862"/>
      <c r="D507" s="861"/>
      <c r="E507" s="862"/>
    </row>
    <row r="508" spans="1:9" x14ac:dyDescent="0.25">
      <c r="A508"/>
      <c r="B508" s="1413" t="s">
        <v>983</v>
      </c>
      <c r="C508" s="1413"/>
      <c r="D508" s="1055" t="s">
        <v>982</v>
      </c>
      <c r="E508" s="1055"/>
      <c r="F508"/>
      <c r="G508"/>
      <c r="H508"/>
      <c r="I508"/>
    </row>
    <row r="509" spans="1:9" x14ac:dyDescent="0.25">
      <c r="A509" s="36"/>
      <c r="B509" s="1167" t="s">
        <v>997</v>
      </c>
      <c r="C509" s="1168"/>
      <c r="D509" s="1167" t="s">
        <v>997</v>
      </c>
      <c r="E509" s="1168"/>
      <c r="F509" s="1414" t="s">
        <v>999</v>
      </c>
      <c r="G509" s="1055"/>
      <c r="H509" s="1055"/>
      <c r="I509" s="1055"/>
    </row>
    <row r="510" spans="1:9" x14ac:dyDescent="0.25">
      <c r="A510"/>
      <c r="B510" s="370" t="s">
        <v>984</v>
      </c>
      <c r="C510" s="298" t="str">
        <f>Unformatted!K229</f>
        <v>N/A</v>
      </c>
      <c r="D510" s="371" t="s">
        <v>984</v>
      </c>
      <c r="E510" s="298" t="str">
        <f>Unformatted!F529</f>
        <v>N/A</v>
      </c>
      <c r="F510" s="1416" t="str">
        <f>Unformatted!E774</f>
        <v>N/A</v>
      </c>
      <c r="G510" s="1354"/>
      <c r="H510" s="1354"/>
      <c r="I510" s="1354"/>
    </row>
    <row r="511" spans="1:9" x14ac:dyDescent="0.25">
      <c r="A511"/>
      <c r="B511" s="370" t="s">
        <v>985</v>
      </c>
      <c r="C511" s="298" t="str">
        <f>Unformatted!J229</f>
        <v>N/A</v>
      </c>
      <c r="D511" s="371" t="s">
        <v>985</v>
      </c>
      <c r="E511" s="298" t="str">
        <f>Unformatted!G529</f>
        <v>N/A</v>
      </c>
      <c r="F511" s="36" t="str">
        <f>IF(Unformatted!E2585=1,"Material:","")</f>
        <v/>
      </c>
      <c r="G511" t="str">
        <f>Unformatted!P529</f>
        <v/>
      </c>
      <c r="H511"/>
      <c r="I511"/>
    </row>
    <row r="512" spans="1:9" x14ac:dyDescent="0.25">
      <c r="A512"/>
      <c r="B512" s="370" t="s">
        <v>681</v>
      </c>
      <c r="C512" s="298" t="str">
        <f>Unformatted!H229</f>
        <v>N/A</v>
      </c>
      <c r="D512" s="371" t="s">
        <v>681</v>
      </c>
      <c r="E512" s="298" t="str">
        <f>Unformatted!H529</f>
        <v>N/A</v>
      </c>
      <c r="F512"/>
      <c r="G512"/>
      <c r="H512"/>
      <c r="I512"/>
    </row>
    <row r="513" spans="1:9" ht="7.5" customHeight="1" x14ac:dyDescent="0.25">
      <c r="A513"/>
      <c r="B513"/>
      <c r="C513"/>
      <c r="D513"/>
      <c r="E513"/>
      <c r="F513"/>
      <c r="G513"/>
      <c r="H513"/>
      <c r="I513"/>
    </row>
    <row r="514" spans="1:9" x14ac:dyDescent="0.25">
      <c r="A514" s="1417" t="s">
        <v>1002</v>
      </c>
      <c r="B514" s="1417"/>
      <c r="C514" s="1417"/>
      <c r="D514" s="1417"/>
      <c r="E514" s="1417"/>
      <c r="F514" s="1417"/>
      <c r="G514" s="1417"/>
      <c r="H514" s="1417"/>
      <c r="I514" s="1417"/>
    </row>
    <row r="515" spans="1:9" ht="7.5" customHeight="1" x14ac:dyDescent="0.25">
      <c r="A515" s="181"/>
      <c r="B515" s="181"/>
      <c r="C515" s="181"/>
      <c r="D515" s="181"/>
      <c r="E515" s="181"/>
      <c r="F515" s="181"/>
      <c r="G515" s="181"/>
      <c r="H515" s="181"/>
      <c r="I515" s="181"/>
    </row>
    <row r="516" spans="1:9" x14ac:dyDescent="0.25">
      <c r="A516"/>
      <c r="B516" s="36" t="s">
        <v>1003</v>
      </c>
      <c r="C516" t="str">
        <f>Unformatted!E531</f>
        <v>N/A</v>
      </c>
      <c r="D516"/>
      <c r="E516" s="36" t="s">
        <v>1574</v>
      </c>
      <c r="F516" t="str">
        <f>Unformatted!E532</f>
        <v>N/A</v>
      </c>
      <c r="G516"/>
      <c r="H516"/>
      <c r="I516"/>
    </row>
    <row r="517" spans="1:9" ht="7.5" customHeight="1" x14ac:dyDescent="0.25">
      <c r="A517"/>
      <c r="B517" s="36"/>
      <c r="C517"/>
      <c r="D517"/>
      <c r="E517" s="36"/>
      <c r="F517"/>
      <c r="G517"/>
      <c r="H517"/>
      <c r="I517"/>
    </row>
    <row r="518" spans="1:9" x14ac:dyDescent="0.25">
      <c r="A518"/>
      <c r="B518" s="36" t="s">
        <v>1004</v>
      </c>
      <c r="C518" t="str">
        <f>Unformatted!E533</f>
        <v>N/A</v>
      </c>
      <c r="D518"/>
      <c r="E518" s="36" t="s">
        <v>1575</v>
      </c>
      <c r="F518" t="str">
        <f>Unformatted!E534</f>
        <v>N/A</v>
      </c>
      <c r="G518"/>
      <c r="H518"/>
      <c r="I518"/>
    </row>
    <row r="519" spans="1:9" ht="7.5" customHeight="1" x14ac:dyDescent="0.25">
      <c r="A519"/>
      <c r="B519"/>
      <c r="C519"/>
      <c r="D519"/>
      <c r="E519"/>
      <c r="F519"/>
      <c r="G519"/>
      <c r="H519"/>
      <c r="I519"/>
    </row>
    <row r="520" spans="1:9" ht="15.75" x14ac:dyDescent="0.25">
      <c r="A520" s="1126" t="s">
        <v>1572</v>
      </c>
      <c r="B520" s="1126"/>
      <c r="C520" s="1126"/>
      <c r="D520" s="1126"/>
      <c r="E520" s="1126"/>
      <c r="F520" s="1126"/>
      <c r="G520" s="1126"/>
      <c r="H520" s="1126"/>
      <c r="I520" s="1126"/>
    </row>
    <row r="521" spans="1:9" ht="18.75" customHeight="1" x14ac:dyDescent="0.25">
      <c r="A521" s="1113" t="str">
        <f>Unformatted!E535</f>
        <v/>
      </c>
      <c r="B521" s="1114"/>
      <c r="C521" s="1114"/>
      <c r="D521" s="1114"/>
      <c r="E521" s="1114"/>
      <c r="F521" s="1114"/>
      <c r="G521" s="1114"/>
      <c r="H521" s="1114"/>
      <c r="I521" s="1115"/>
    </row>
    <row r="522" spans="1:9" ht="18.75" customHeight="1" x14ac:dyDescent="0.25">
      <c r="A522" s="1116"/>
      <c r="B522" s="1117"/>
      <c r="C522" s="1117"/>
      <c r="D522" s="1117"/>
      <c r="E522" s="1117"/>
      <c r="F522" s="1117"/>
      <c r="G522" s="1117"/>
      <c r="H522" s="1117"/>
      <c r="I522" s="1118"/>
    </row>
    <row r="523" spans="1:9" ht="18.75" customHeight="1" x14ac:dyDescent="0.25">
      <c r="A523" s="1119"/>
      <c r="B523" s="1120"/>
      <c r="C523" s="1120"/>
      <c r="D523" s="1120"/>
      <c r="E523" s="1120"/>
      <c r="F523" s="1120"/>
      <c r="G523" s="1120"/>
      <c r="H523" s="1120"/>
      <c r="I523" s="1121"/>
    </row>
    <row r="524" spans="1:9" ht="18.75" customHeight="1" x14ac:dyDescent="0.25">
      <c r="A524" s="1126" t="s">
        <v>1573</v>
      </c>
      <c r="B524" s="1126"/>
      <c r="C524" s="1126"/>
      <c r="D524" s="1126"/>
      <c r="E524" s="1126"/>
      <c r="F524" s="1126"/>
      <c r="G524" s="1126"/>
      <c r="H524" s="1126"/>
      <c r="I524" s="1126"/>
    </row>
    <row r="525" spans="1:9" ht="18.75" customHeight="1" x14ac:dyDescent="0.25">
      <c r="A525" s="1113" t="str">
        <f>Unformatted!E536</f>
        <v/>
      </c>
      <c r="B525" s="1114"/>
      <c r="C525" s="1114"/>
      <c r="D525" s="1114"/>
      <c r="E525" s="1114"/>
      <c r="F525" s="1114"/>
      <c r="G525" s="1114"/>
      <c r="H525" s="1114"/>
      <c r="I525" s="1115"/>
    </row>
    <row r="526" spans="1:9" ht="18.75" customHeight="1" x14ac:dyDescent="0.25">
      <c r="A526" s="1116"/>
      <c r="B526" s="1117"/>
      <c r="C526" s="1117"/>
      <c r="D526" s="1117"/>
      <c r="E526" s="1117"/>
      <c r="F526" s="1117"/>
      <c r="G526" s="1117"/>
      <c r="H526" s="1117"/>
      <c r="I526" s="1118"/>
    </row>
    <row r="527" spans="1:9" ht="18.75" customHeight="1" x14ac:dyDescent="0.25">
      <c r="A527" s="1116"/>
      <c r="B527" s="1117"/>
      <c r="C527" s="1117"/>
      <c r="D527" s="1117"/>
      <c r="E527" s="1117"/>
      <c r="F527" s="1117"/>
      <c r="G527" s="1117"/>
      <c r="H527" s="1117"/>
      <c r="I527" s="1118"/>
    </row>
    <row r="528" spans="1:9" ht="18.75" customHeight="1" x14ac:dyDescent="0.25">
      <c r="A528" s="1119"/>
      <c r="B528" s="1120"/>
      <c r="C528" s="1120"/>
      <c r="D528" s="1120"/>
      <c r="E528" s="1120"/>
      <c r="F528" s="1120"/>
      <c r="G528" s="1120"/>
      <c r="H528" s="1120"/>
      <c r="I528" s="1121"/>
    </row>
    <row r="529" spans="1:15" ht="18.75" customHeight="1" x14ac:dyDescent="0.25">
      <c r="A529" s="1169" t="s">
        <v>1417</v>
      </c>
      <c r="B529" s="1169"/>
      <c r="C529" s="1169"/>
      <c r="D529" s="1169"/>
      <c r="E529" s="1169"/>
      <c r="F529" s="1169"/>
      <c r="G529" s="1169"/>
      <c r="H529" s="1169"/>
      <c r="I529" s="1169"/>
    </row>
    <row r="530" spans="1:15" ht="7.5" customHeight="1" x14ac:dyDescent="0.25"/>
    <row r="531" spans="1:15" x14ac:dyDescent="0.25">
      <c r="A531" s="790" t="s">
        <v>1214</v>
      </c>
      <c r="B531" s="787" t="str">
        <f>Unformatted!E240</f>
        <v>N/A</v>
      </c>
      <c r="C531" s="789"/>
      <c r="D531" s="788"/>
      <c r="E531" s="790" t="s">
        <v>1214</v>
      </c>
      <c r="F531" s="787" t="str">
        <f>Unformatted!E244</f>
        <v>N/A</v>
      </c>
      <c r="G531" s="789"/>
      <c r="H531" s="788"/>
    </row>
    <row r="532" spans="1:15" x14ac:dyDescent="0.25">
      <c r="A532" s="790" t="s">
        <v>1357</v>
      </c>
      <c r="B532" s="298" t="str">
        <f>Unformatted!E543</f>
        <v>N/A</v>
      </c>
      <c r="C532" s="790" t="s">
        <v>1501</v>
      </c>
      <c r="D532" s="786" t="str">
        <f>Unformatted!E545</f>
        <v>N/A</v>
      </c>
      <c r="E532" s="790" t="s">
        <v>1357</v>
      </c>
      <c r="F532" s="298" t="str">
        <f>Unformatted!E547</f>
        <v>N/A</v>
      </c>
      <c r="G532" s="790" t="s">
        <v>1501</v>
      </c>
      <c r="H532" s="786" t="str">
        <f>Unformatted!E549</f>
        <v>N/A</v>
      </c>
      <c r="J532" s="396"/>
      <c r="K532" s="396"/>
      <c r="L532" s="396"/>
    </row>
    <row r="533" spans="1:15" x14ac:dyDescent="0.25">
      <c r="A533" s="790" t="s">
        <v>1358</v>
      </c>
      <c r="B533" s="298" t="str">
        <f>Unformatted!E544</f>
        <v>N/A</v>
      </c>
      <c r="D533" s="788"/>
      <c r="E533" s="790" t="s">
        <v>1358</v>
      </c>
      <c r="F533" s="298" t="str">
        <f>Unformatted!E548</f>
        <v>N/A</v>
      </c>
      <c r="H533" s="788"/>
      <c r="J533" s="396"/>
      <c r="K533" s="396"/>
      <c r="L533" s="396"/>
    </row>
    <row r="534" spans="1:15" ht="7.35" customHeight="1" x14ac:dyDescent="0.25">
      <c r="J534" s="396"/>
      <c r="K534" s="396"/>
      <c r="L534" s="396"/>
    </row>
    <row r="535" spans="1:15" x14ac:dyDescent="0.25">
      <c r="A535" s="790" t="s">
        <v>1214</v>
      </c>
      <c r="B535" s="787" t="str">
        <f>Unformatted!E248</f>
        <v>N/A</v>
      </c>
      <c r="C535" s="789"/>
      <c r="D535" s="788"/>
      <c r="E535" s="790" t="s">
        <v>1214</v>
      </c>
      <c r="F535" s="787" t="str">
        <f>Unformatted!E252</f>
        <v>N/A</v>
      </c>
      <c r="G535" s="789"/>
      <c r="H535" s="788"/>
      <c r="J535" s="396"/>
      <c r="K535" s="396"/>
      <c r="L535" s="396"/>
      <c r="M535" s="396"/>
      <c r="N535" s="396"/>
      <c r="O535" s="396"/>
    </row>
    <row r="536" spans="1:15" x14ac:dyDescent="0.25">
      <c r="A536" s="790" t="s">
        <v>1357</v>
      </c>
      <c r="B536" s="298" t="str">
        <f>Unformatted!E551</f>
        <v>N/A</v>
      </c>
      <c r="C536" s="790" t="s">
        <v>1501</v>
      </c>
      <c r="D536" s="786" t="str">
        <f>Unformatted!E553</f>
        <v>N/A</v>
      </c>
      <c r="E536" s="790" t="s">
        <v>1357</v>
      </c>
      <c r="F536" s="298" t="str">
        <f>Unformatted!E555</f>
        <v>N/A</v>
      </c>
      <c r="G536" s="790" t="s">
        <v>1501</v>
      </c>
      <c r="H536" s="786" t="str">
        <f>Unformatted!E557</f>
        <v>N/A</v>
      </c>
      <c r="J536" s="396"/>
      <c r="K536" s="396"/>
      <c r="L536" s="396"/>
      <c r="O536" s="396"/>
    </row>
    <row r="537" spans="1:15" x14ac:dyDescent="0.25">
      <c r="A537" s="790" t="s">
        <v>1358</v>
      </c>
      <c r="B537" s="298" t="str">
        <f>Unformatted!E552</f>
        <v>N/A</v>
      </c>
      <c r="D537" s="788"/>
      <c r="E537" s="790" t="s">
        <v>1358</v>
      </c>
      <c r="F537" s="298" t="str">
        <f>Unformatted!E556</f>
        <v>N/A</v>
      </c>
      <c r="H537" s="788"/>
      <c r="J537" s="396"/>
      <c r="K537" s="396"/>
      <c r="L537" s="396"/>
      <c r="O537" s="396"/>
    </row>
    <row r="538" spans="1:15" ht="7.35" customHeight="1" x14ac:dyDescent="0.25">
      <c r="A538" s="788"/>
      <c r="B538" s="396"/>
      <c r="C538" s="788"/>
      <c r="D538" s="396"/>
      <c r="J538" s="396"/>
      <c r="K538" s="396"/>
      <c r="L538" s="396"/>
      <c r="O538" s="396"/>
    </row>
    <row r="539" spans="1:15" x14ac:dyDescent="0.25">
      <c r="A539" s="790" t="s">
        <v>1214</v>
      </c>
      <c r="B539" s="787" t="str">
        <f>Unformatted!E256</f>
        <v>N/A</v>
      </c>
      <c r="C539" s="789"/>
      <c r="D539" s="788"/>
      <c r="E539" s="790" t="s">
        <v>1214</v>
      </c>
      <c r="F539" s="787" t="str">
        <f>Unformatted!E260</f>
        <v>N/A</v>
      </c>
      <c r="G539" s="789"/>
      <c r="H539" s="788"/>
      <c r="J539" s="396"/>
      <c r="K539" s="396"/>
      <c r="L539" s="396"/>
      <c r="O539" s="396"/>
    </row>
    <row r="540" spans="1:15" x14ac:dyDescent="0.25">
      <c r="A540" s="790" t="s">
        <v>1357</v>
      </c>
      <c r="B540" s="298" t="str">
        <f>Unformatted!E559</f>
        <v>N/A</v>
      </c>
      <c r="C540" s="790" t="s">
        <v>1501</v>
      </c>
      <c r="D540" s="786" t="str">
        <f>Unformatted!E561</f>
        <v>N/A</v>
      </c>
      <c r="E540" s="790" t="s">
        <v>1357</v>
      </c>
      <c r="F540" s="298" t="str">
        <f>Unformatted!E563</f>
        <v>N/A</v>
      </c>
      <c r="G540" s="790" t="s">
        <v>1501</v>
      </c>
      <c r="H540" s="786" t="str">
        <f>Unformatted!E565</f>
        <v>N/A</v>
      </c>
      <c r="J540" s="396"/>
      <c r="K540" s="396"/>
      <c r="L540" s="396"/>
      <c r="M540" s="396"/>
      <c r="N540" s="396"/>
      <c r="O540" s="396"/>
    </row>
    <row r="541" spans="1:15" x14ac:dyDescent="0.25">
      <c r="A541" s="790" t="s">
        <v>1358</v>
      </c>
      <c r="B541" s="298" t="str">
        <f>Unformatted!E560</f>
        <v>N/A</v>
      </c>
      <c r="D541" s="788"/>
      <c r="E541" s="790" t="s">
        <v>1358</v>
      </c>
      <c r="F541" s="298" t="str">
        <f>Unformatted!E564</f>
        <v>N/A</v>
      </c>
      <c r="H541" s="788"/>
      <c r="J541" s="396"/>
      <c r="K541" s="396"/>
      <c r="L541" s="396"/>
      <c r="O541" s="396"/>
    </row>
    <row r="542" spans="1:15" ht="6.75" customHeight="1" x14ac:dyDescent="0.25">
      <c r="A542" s="788"/>
      <c r="B542" s="782"/>
      <c r="C542" s="782"/>
      <c r="D542" s="788"/>
      <c r="J542" s="396"/>
      <c r="K542" s="396"/>
      <c r="L542" s="396"/>
      <c r="O542" s="396"/>
    </row>
    <row r="543" spans="1:15" x14ac:dyDescent="0.25">
      <c r="A543" s="790" t="s">
        <v>1214</v>
      </c>
      <c r="B543" s="787" t="str">
        <f>Unformatted!E264</f>
        <v>N/A</v>
      </c>
      <c r="C543" s="789"/>
      <c r="D543" s="788"/>
      <c r="E543" s="790" t="s">
        <v>1214</v>
      </c>
      <c r="F543" s="787" t="str">
        <f>Unformatted!E268</f>
        <v>N/A</v>
      </c>
      <c r="G543" s="789"/>
      <c r="H543" s="788"/>
      <c r="J543" s="396"/>
      <c r="K543" s="396"/>
      <c r="L543" s="396"/>
      <c r="O543" s="396"/>
    </row>
    <row r="544" spans="1:15" x14ac:dyDescent="0.25">
      <c r="A544" s="790" t="s">
        <v>1357</v>
      </c>
      <c r="B544" s="298" t="str">
        <f>Unformatted!E567</f>
        <v>N/A</v>
      </c>
      <c r="C544" s="790" t="s">
        <v>1501</v>
      </c>
      <c r="D544" s="786" t="str">
        <f>Unformatted!E569</f>
        <v>N/A</v>
      </c>
      <c r="E544" s="790" t="s">
        <v>1357</v>
      </c>
      <c r="F544" s="298" t="str">
        <f>Unformatted!E571</f>
        <v>N/A</v>
      </c>
      <c r="G544" s="790" t="s">
        <v>1501</v>
      </c>
      <c r="H544" s="786" t="str">
        <f>Unformatted!E573</f>
        <v>N/A</v>
      </c>
      <c r="J544" s="396"/>
      <c r="K544" s="396"/>
      <c r="L544" s="396"/>
      <c r="O544" s="396"/>
    </row>
    <row r="545" spans="1:19" x14ac:dyDescent="0.25">
      <c r="A545" s="790" t="s">
        <v>1358</v>
      </c>
      <c r="B545" s="298" t="str">
        <f>Unformatted!E568</f>
        <v>N/A</v>
      </c>
      <c r="C545" s="790"/>
      <c r="E545" s="790" t="s">
        <v>1358</v>
      </c>
      <c r="F545" s="298" t="str">
        <f>Unformatted!E572</f>
        <v>N/A</v>
      </c>
      <c r="H545" s="788"/>
      <c r="J545" s="396"/>
      <c r="K545" s="865"/>
      <c r="L545" s="865"/>
      <c r="M545" s="396"/>
      <c r="N545" s="396"/>
      <c r="O545" s="396"/>
    </row>
    <row r="546" spans="1:19" ht="7.35" customHeight="1" x14ac:dyDescent="0.25">
      <c r="A546" s="1209"/>
      <c r="B546" s="1209"/>
      <c r="C546" s="1209"/>
      <c r="D546" s="1209"/>
      <c r="J546" s="396"/>
      <c r="K546" s="396"/>
      <c r="L546" s="396"/>
      <c r="O546" s="396"/>
    </row>
    <row r="547" spans="1:19" x14ac:dyDescent="0.25">
      <c r="A547" s="790" t="s">
        <v>1214</v>
      </c>
      <c r="B547" s="787" t="str">
        <f>Unformatted!E272</f>
        <v>N/A</v>
      </c>
      <c r="C547" s="789"/>
      <c r="D547" s="788"/>
      <c r="E547" s="790" t="s">
        <v>1214</v>
      </c>
      <c r="F547" s="787" t="str">
        <f>Unformatted!E276</f>
        <v>N/A</v>
      </c>
      <c r="G547" s="789"/>
      <c r="H547" s="788"/>
      <c r="J547" s="396"/>
      <c r="K547" s="396"/>
      <c r="L547" s="396"/>
      <c r="O547" s="396"/>
    </row>
    <row r="548" spans="1:19" x14ac:dyDescent="0.25">
      <c r="A548" s="790" t="s">
        <v>1357</v>
      </c>
      <c r="B548" s="298" t="str">
        <f>Unformatted!E575</f>
        <v>N/A</v>
      </c>
      <c r="C548" s="790" t="s">
        <v>1501</v>
      </c>
      <c r="D548" s="786" t="str">
        <f>Unformatted!E577</f>
        <v>N/A</v>
      </c>
      <c r="E548" s="790" t="s">
        <v>1357</v>
      </c>
      <c r="F548" s="298" t="str">
        <f>Unformatted!E579</f>
        <v>N/A</v>
      </c>
      <c r="G548" s="790" t="s">
        <v>1501</v>
      </c>
      <c r="H548" s="786" t="str">
        <f>Unformatted!E581</f>
        <v>N/A</v>
      </c>
      <c r="J548" s="396"/>
      <c r="K548" s="396"/>
      <c r="L548" s="396"/>
      <c r="O548" s="396"/>
    </row>
    <row r="549" spans="1:19" x14ac:dyDescent="0.25">
      <c r="A549" s="790" t="s">
        <v>1358</v>
      </c>
      <c r="B549" s="298" t="str">
        <f>Unformatted!E576</f>
        <v>N/A</v>
      </c>
      <c r="D549" s="788"/>
      <c r="E549" s="790" t="s">
        <v>1358</v>
      </c>
      <c r="F549" s="298" t="str">
        <f>Unformatted!E580</f>
        <v>N/A</v>
      </c>
      <c r="H549" s="788"/>
      <c r="J549" s="396"/>
      <c r="K549" s="396"/>
      <c r="L549" s="396"/>
      <c r="O549" s="396"/>
    </row>
    <row r="550" spans="1:19" ht="7.35" customHeight="1" x14ac:dyDescent="0.25">
      <c r="A550" s="405"/>
      <c r="B550" s="405"/>
      <c r="C550" s="405"/>
      <c r="D550" s="405"/>
      <c r="J550" s="396"/>
      <c r="K550" s="504"/>
      <c r="L550" s="504"/>
      <c r="M550" s="396"/>
      <c r="N550" s="396"/>
      <c r="O550" s="396"/>
    </row>
    <row r="551" spans="1:19" ht="15.75" x14ac:dyDescent="0.25">
      <c r="A551" s="1169" t="s">
        <v>1418</v>
      </c>
      <c r="B551" s="1169"/>
      <c r="C551" s="1169"/>
      <c r="D551" s="1169"/>
      <c r="E551" s="1169"/>
      <c r="F551" s="1169"/>
      <c r="G551" s="1169"/>
      <c r="H551" s="1169"/>
      <c r="I551" s="1169"/>
      <c r="J551" s="396"/>
      <c r="K551" s="396"/>
      <c r="L551" s="396"/>
    </row>
    <row r="552" spans="1:19" ht="7.35" customHeight="1" x14ac:dyDescent="0.25">
      <c r="J552" s="396"/>
      <c r="K552" s="396"/>
      <c r="L552" s="396"/>
    </row>
    <row r="553" spans="1:19" x14ac:dyDescent="0.25">
      <c r="A553" s="867" t="s">
        <v>1214</v>
      </c>
      <c r="B553" s="677" t="str">
        <f>Unformatted!E284</f>
        <v>N/A</v>
      </c>
      <c r="C553" s="396"/>
      <c r="D553" s="396"/>
      <c r="E553" s="867" t="s">
        <v>1214</v>
      </c>
      <c r="F553" s="677" t="str">
        <f>Unformatted!E289</f>
        <v>N/A</v>
      </c>
      <c r="G553" s="396"/>
      <c r="H553" s="396"/>
    </row>
    <row r="554" spans="1:19" x14ac:dyDescent="0.25">
      <c r="A554" s="867" t="s">
        <v>1213</v>
      </c>
      <c r="B554" s="785" t="str">
        <f>Unformatted!E585</f>
        <v/>
      </c>
      <c r="C554" s="396"/>
      <c r="D554" s="396"/>
      <c r="E554" s="867" t="s">
        <v>1213</v>
      </c>
      <c r="F554" s="785" t="str">
        <f>Unformatted!E589</f>
        <v/>
      </c>
      <c r="G554" s="396"/>
      <c r="H554" s="396"/>
    </row>
    <row r="555" spans="1:19" x14ac:dyDescent="0.25">
      <c r="A555" s="867" t="s">
        <v>1420</v>
      </c>
      <c r="B555" s="784" t="str">
        <f>Unformatted!E586</f>
        <v>N/A</v>
      </c>
      <c r="C555" s="396"/>
      <c r="D555" s="396"/>
      <c r="E555" s="867" t="s">
        <v>1420</v>
      </c>
      <c r="F555" s="784" t="str">
        <f>Unformatted!E590</f>
        <v>N/A</v>
      </c>
      <c r="G555" s="396"/>
      <c r="H555" s="396"/>
    </row>
    <row r="556" spans="1:19" x14ac:dyDescent="0.25">
      <c r="A556" s="867" t="s">
        <v>1419</v>
      </c>
      <c r="B556" s="298" t="str">
        <f>Unformatted!E587</f>
        <v/>
      </c>
      <c r="C556" s="867" t="s">
        <v>134</v>
      </c>
      <c r="D556" s="396" t="str">
        <f>Unformatted!E588</f>
        <v>N/A</v>
      </c>
      <c r="E556" s="867" t="s">
        <v>1419</v>
      </c>
      <c r="F556" s="298" t="str">
        <f>Unformatted!F591</f>
        <v/>
      </c>
      <c r="G556" s="867" t="s">
        <v>134</v>
      </c>
      <c r="H556" s="396" t="str">
        <f>Unformatted!E592</f>
        <v>N/A</v>
      </c>
    </row>
    <row r="557" spans="1:19" ht="7.35" customHeight="1" x14ac:dyDescent="0.25">
      <c r="A557" s="867"/>
      <c r="B557" s="396"/>
      <c r="C557" s="788"/>
      <c r="D557" s="396"/>
      <c r="K557" s="396"/>
      <c r="L557" s="396"/>
      <c r="M557" s="396"/>
      <c r="N557" s="396"/>
      <c r="O557" s="396"/>
      <c r="P557" s="396"/>
      <c r="Q557" s="396"/>
      <c r="R557" s="396"/>
      <c r="S557" s="396"/>
    </row>
    <row r="558" spans="1:19" x14ac:dyDescent="0.25">
      <c r="A558" s="867" t="s">
        <v>1214</v>
      </c>
      <c r="B558" s="677" t="str">
        <f>Unformatted!E294</f>
        <v>N/A</v>
      </c>
      <c r="C558" s="396"/>
      <c r="D558" s="396"/>
      <c r="E558" s="867" t="s">
        <v>1214</v>
      </c>
      <c r="F558" s="677" t="str">
        <f>Unformatted!E299</f>
        <v>N/A</v>
      </c>
      <c r="G558" s="396"/>
      <c r="H558" s="396"/>
      <c r="K558" s="396"/>
      <c r="L558" s="396"/>
      <c r="M558" s="396"/>
      <c r="N558" s="396"/>
      <c r="O558" s="396"/>
      <c r="P558" s="396"/>
      <c r="Q558" s="396"/>
      <c r="R558" s="396"/>
      <c r="S558" s="396"/>
    </row>
    <row r="559" spans="1:19" x14ac:dyDescent="0.25">
      <c r="A559" s="867" t="s">
        <v>1213</v>
      </c>
      <c r="B559" s="785" t="str">
        <f>Unformatted!E593</f>
        <v/>
      </c>
      <c r="C559" s="396"/>
      <c r="D559" s="396"/>
      <c r="E559" s="867" t="s">
        <v>1213</v>
      </c>
      <c r="F559" s="785" t="str">
        <f>Unformatted!E597</f>
        <v/>
      </c>
      <c r="G559" s="396"/>
      <c r="H559" s="396"/>
      <c r="K559" s="396"/>
      <c r="L559" s="396"/>
      <c r="M559" s="396"/>
      <c r="N559" s="396"/>
      <c r="O559" s="396"/>
      <c r="P559" s="396"/>
      <c r="Q559" s="396"/>
      <c r="R559" s="396"/>
      <c r="S559" s="396"/>
    </row>
    <row r="560" spans="1:19" x14ac:dyDescent="0.25">
      <c r="A560" s="867" t="s">
        <v>1420</v>
      </c>
      <c r="B560" s="784" t="str">
        <f>Unformatted!E594</f>
        <v>N/A</v>
      </c>
      <c r="C560" s="396"/>
      <c r="D560" s="396"/>
      <c r="E560" s="867" t="s">
        <v>1420</v>
      </c>
      <c r="F560" s="784" t="str">
        <f>Unformatted!E598</f>
        <v>N/A</v>
      </c>
      <c r="G560" s="396"/>
      <c r="H560" s="396"/>
      <c r="K560" s="396"/>
      <c r="L560" s="396"/>
      <c r="M560" s="888"/>
      <c r="N560" s="888"/>
      <c r="O560" s="888"/>
      <c r="P560" s="888"/>
      <c r="Q560" s="888"/>
      <c r="R560" s="396"/>
      <c r="S560" s="396"/>
    </row>
    <row r="561" spans="1:19" x14ac:dyDescent="0.25">
      <c r="A561" s="867" t="s">
        <v>1419</v>
      </c>
      <c r="B561" s="298" t="str">
        <f>Unformatted!F595</f>
        <v/>
      </c>
      <c r="C561" s="867" t="s">
        <v>134</v>
      </c>
      <c r="D561" s="396" t="str">
        <f>Unformatted!E596</f>
        <v>N/A</v>
      </c>
      <c r="E561" s="867" t="s">
        <v>1419</v>
      </c>
      <c r="F561" s="298" t="str">
        <f>Unformatted!F599</f>
        <v/>
      </c>
      <c r="G561" s="867" t="s">
        <v>134</v>
      </c>
      <c r="H561" s="396" t="str">
        <f>Unformatted!E600</f>
        <v>N/A</v>
      </c>
      <c r="K561" s="396"/>
      <c r="L561" s="396"/>
      <c r="M561" s="888"/>
      <c r="N561" s="888"/>
      <c r="O561" s="888"/>
      <c r="P561" s="888"/>
      <c r="Q561" s="888"/>
      <c r="R561" s="396"/>
      <c r="S561" s="396"/>
    </row>
    <row r="562" spans="1:19" ht="7.35" customHeight="1" x14ac:dyDescent="0.25">
      <c r="K562" s="396"/>
      <c r="L562" s="396"/>
      <c r="M562" s="888"/>
      <c r="N562" s="888"/>
      <c r="O562" s="888"/>
      <c r="P562" s="888"/>
      <c r="Q562" s="888"/>
      <c r="R562" s="396"/>
      <c r="S562" s="396"/>
    </row>
    <row r="563" spans="1:19" ht="15.75" x14ac:dyDescent="0.25">
      <c r="A563" s="1169" t="s">
        <v>1566</v>
      </c>
      <c r="B563" s="1169"/>
      <c r="C563" s="1169"/>
      <c r="D563" s="1169"/>
      <c r="E563" s="1169"/>
      <c r="F563" s="1169"/>
      <c r="G563" s="1169"/>
      <c r="H563" s="1169"/>
      <c r="I563" s="1169"/>
      <c r="K563" s="396"/>
      <c r="L563" s="396"/>
      <c r="M563" s="888"/>
      <c r="N563" s="888"/>
      <c r="O563" s="888"/>
      <c r="P563" s="888"/>
      <c r="Q563" s="888"/>
      <c r="R563" s="396"/>
      <c r="S563" s="396"/>
    </row>
    <row r="564" spans="1:19" x14ac:dyDescent="0.25">
      <c r="A564" s="1131" t="str">
        <f>Unformatted!E601</f>
        <v/>
      </c>
      <c r="B564" s="1132"/>
      <c r="C564" s="1132"/>
      <c r="D564" s="1132"/>
      <c r="E564" s="1132"/>
      <c r="F564" s="1132"/>
      <c r="G564" s="1132"/>
      <c r="H564" s="1132"/>
      <c r="I564" s="1133"/>
      <c r="K564" s="396"/>
      <c r="L564" s="396"/>
      <c r="M564" s="888"/>
      <c r="N564" s="888"/>
      <c r="O564" s="888"/>
      <c r="P564" s="888"/>
      <c r="Q564" s="888"/>
      <c r="R564" s="396"/>
      <c r="S564" s="396"/>
    </row>
    <row r="565" spans="1:19" x14ac:dyDescent="0.25">
      <c r="A565" s="1131"/>
      <c r="B565" s="1132"/>
      <c r="C565" s="1132"/>
      <c r="D565" s="1132"/>
      <c r="E565" s="1132"/>
      <c r="F565" s="1132"/>
      <c r="G565" s="1132"/>
      <c r="H565" s="1132"/>
      <c r="I565" s="1133"/>
      <c r="K565" s="396"/>
      <c r="L565" s="396"/>
      <c r="M565" s="888"/>
      <c r="N565" s="888"/>
      <c r="O565" s="888"/>
      <c r="P565" s="888"/>
      <c r="Q565" s="888"/>
      <c r="R565" s="396"/>
      <c r="S565" s="396"/>
    </row>
    <row r="566" spans="1:19" x14ac:dyDescent="0.25">
      <c r="A566" s="1131"/>
      <c r="B566" s="1132"/>
      <c r="C566" s="1132"/>
      <c r="D566" s="1132"/>
      <c r="E566" s="1132"/>
      <c r="F566" s="1132"/>
      <c r="G566" s="1132"/>
      <c r="H566" s="1132"/>
      <c r="I566" s="1133"/>
      <c r="K566" s="396"/>
      <c r="L566" s="396"/>
      <c r="M566" s="888"/>
      <c r="N566" s="888"/>
      <c r="O566" s="888"/>
      <c r="P566" s="888"/>
      <c r="Q566" s="888"/>
      <c r="R566" s="396"/>
      <c r="S566" s="396"/>
    </row>
    <row r="567" spans="1:19" x14ac:dyDescent="0.25">
      <c r="A567" s="1131"/>
      <c r="B567" s="1132"/>
      <c r="C567" s="1132"/>
      <c r="D567" s="1132"/>
      <c r="E567" s="1132"/>
      <c r="F567" s="1132"/>
      <c r="G567" s="1132"/>
      <c r="H567" s="1132"/>
      <c r="I567" s="1133"/>
      <c r="K567" s="396"/>
      <c r="L567" s="396"/>
      <c r="M567" s="888"/>
      <c r="N567" s="888"/>
      <c r="O567" s="888"/>
      <c r="P567" s="888"/>
      <c r="Q567" s="888"/>
      <c r="R567" s="396"/>
      <c r="S567" s="396"/>
    </row>
    <row r="568" spans="1:19" x14ac:dyDescent="0.25">
      <c r="A568" s="1131"/>
      <c r="B568" s="1132"/>
      <c r="C568" s="1132"/>
      <c r="D568" s="1132"/>
      <c r="E568" s="1132"/>
      <c r="F568" s="1132"/>
      <c r="G568" s="1132"/>
      <c r="H568" s="1132"/>
      <c r="I568" s="1133"/>
      <c r="K568" s="396"/>
      <c r="L568" s="396"/>
      <c r="M568" s="888"/>
      <c r="N568" s="888"/>
      <c r="O568" s="888"/>
      <c r="P568" s="888"/>
      <c r="Q568" s="888"/>
      <c r="R568" s="396"/>
      <c r="S568" s="396"/>
    </row>
    <row r="569" spans="1:19" x14ac:dyDescent="0.25">
      <c r="A569" s="1131"/>
      <c r="B569" s="1132"/>
      <c r="C569" s="1132"/>
      <c r="D569" s="1132"/>
      <c r="E569" s="1132"/>
      <c r="F569" s="1132"/>
      <c r="G569" s="1132"/>
      <c r="H569" s="1132"/>
      <c r="I569" s="1133"/>
      <c r="K569" s="396"/>
      <c r="L569" s="396"/>
      <c r="M569" s="888"/>
      <c r="N569" s="888"/>
      <c r="O569" s="888"/>
      <c r="P569" s="888"/>
      <c r="Q569" s="888"/>
      <c r="R569" s="396"/>
      <c r="S569" s="396"/>
    </row>
    <row r="570" spans="1:19" x14ac:dyDescent="0.25">
      <c r="A570" s="1131"/>
      <c r="B570" s="1132"/>
      <c r="C570" s="1132"/>
      <c r="D570" s="1132"/>
      <c r="E570" s="1132"/>
      <c r="F570" s="1132"/>
      <c r="G570" s="1132"/>
      <c r="H570" s="1132"/>
      <c r="I570" s="1133"/>
      <c r="K570" s="396"/>
      <c r="L570" s="396"/>
      <c r="M570" s="888"/>
      <c r="N570" s="888"/>
      <c r="O570" s="888"/>
      <c r="P570" s="888"/>
      <c r="Q570" s="888"/>
      <c r="R570" s="396"/>
      <c r="S570" s="396"/>
    </row>
    <row r="571" spans="1:19" x14ac:dyDescent="0.25">
      <c r="A571" s="1131"/>
      <c r="B571" s="1132"/>
      <c r="C571" s="1132"/>
      <c r="D571" s="1132"/>
      <c r="E571" s="1132"/>
      <c r="F571" s="1132"/>
      <c r="G571" s="1132"/>
      <c r="H571" s="1132"/>
      <c r="I571" s="1133"/>
      <c r="K571" s="396"/>
      <c r="L571" s="396"/>
      <c r="M571" s="888"/>
      <c r="N571" s="888"/>
      <c r="O571" s="888"/>
      <c r="P571" s="888"/>
      <c r="Q571" s="888"/>
      <c r="R571" s="396"/>
      <c r="S571" s="396"/>
    </row>
    <row r="572" spans="1:19" ht="11.25" customHeight="1" x14ac:dyDescent="0.25">
      <c r="A572" s="1131"/>
      <c r="B572" s="1132"/>
      <c r="C572" s="1132"/>
      <c r="D572" s="1132"/>
      <c r="E572" s="1132"/>
      <c r="F572" s="1132"/>
      <c r="G572" s="1132"/>
      <c r="H572" s="1132"/>
      <c r="I572" s="1133"/>
      <c r="K572" s="396"/>
      <c r="L572" s="396"/>
      <c r="M572" s="888"/>
      <c r="N572" s="888"/>
      <c r="O572" s="888"/>
      <c r="P572" s="888"/>
      <c r="Q572" s="888"/>
      <c r="R572" s="396"/>
      <c r="S572" s="396"/>
    </row>
    <row r="573" spans="1:19" ht="15.75" x14ac:dyDescent="0.25">
      <c r="A573" s="1126" t="s">
        <v>1448</v>
      </c>
      <c r="B573" s="1126"/>
      <c r="C573" s="1126"/>
      <c r="D573" s="1126"/>
      <c r="E573" s="1126"/>
      <c r="F573" s="1126"/>
      <c r="G573" s="1126"/>
      <c r="H573" s="1126"/>
      <c r="I573" s="1126"/>
      <c r="K573" s="396"/>
      <c r="L573" s="396"/>
      <c r="M573" s="888"/>
      <c r="N573" s="888"/>
      <c r="O573" s="888"/>
      <c r="P573" s="888"/>
      <c r="Q573" s="888"/>
      <c r="R573" s="396"/>
      <c r="S573" s="396"/>
    </row>
    <row r="574" spans="1:19" x14ac:dyDescent="0.25">
      <c r="A574" s="1131" t="str">
        <f>Unformatted!E582</f>
        <v/>
      </c>
      <c r="B574" s="1132"/>
      <c r="C574" s="1132"/>
      <c r="D574" s="1132"/>
      <c r="E574" s="1132"/>
      <c r="F574" s="1132"/>
      <c r="G574" s="1132"/>
      <c r="H574" s="1132"/>
      <c r="I574" s="1133"/>
      <c r="K574" s="396"/>
      <c r="L574" s="396"/>
      <c r="M574" s="888"/>
      <c r="N574" s="888"/>
      <c r="O574" s="888"/>
      <c r="P574" s="888"/>
      <c r="Q574" s="888"/>
      <c r="R574" s="396"/>
      <c r="S574" s="396"/>
    </row>
    <row r="575" spans="1:19" x14ac:dyDescent="0.25">
      <c r="A575" s="1131"/>
      <c r="B575" s="1132"/>
      <c r="C575" s="1132"/>
      <c r="D575" s="1132"/>
      <c r="E575" s="1132"/>
      <c r="F575" s="1132"/>
      <c r="G575" s="1132"/>
      <c r="H575" s="1132"/>
      <c r="I575" s="1133"/>
      <c r="K575" s="396"/>
      <c r="L575" s="396"/>
      <c r="M575" s="888"/>
      <c r="N575" s="888"/>
      <c r="O575" s="888"/>
      <c r="P575" s="888"/>
      <c r="Q575" s="888"/>
      <c r="R575" s="396"/>
      <c r="S575" s="396"/>
    </row>
    <row r="576" spans="1:19" x14ac:dyDescent="0.25">
      <c r="A576" s="1131"/>
      <c r="B576" s="1132"/>
      <c r="C576" s="1132"/>
      <c r="D576" s="1132"/>
      <c r="E576" s="1132"/>
      <c r="F576" s="1132"/>
      <c r="G576" s="1132"/>
      <c r="H576" s="1132"/>
      <c r="I576" s="1133"/>
      <c r="K576" s="396"/>
      <c r="L576" s="396"/>
      <c r="M576" s="888"/>
      <c r="N576" s="888"/>
      <c r="O576" s="888"/>
      <c r="P576" s="888"/>
      <c r="Q576" s="888"/>
      <c r="R576" s="396"/>
      <c r="S576" s="396"/>
    </row>
    <row r="577" spans="1:19" x14ac:dyDescent="0.25">
      <c r="A577" s="1131"/>
      <c r="B577" s="1132"/>
      <c r="C577" s="1132"/>
      <c r="D577" s="1132"/>
      <c r="E577" s="1132"/>
      <c r="F577" s="1132"/>
      <c r="G577" s="1132"/>
      <c r="H577" s="1132"/>
      <c r="I577" s="1133"/>
      <c r="K577" s="396"/>
      <c r="L577" s="396"/>
      <c r="M577" s="888"/>
      <c r="N577" s="888"/>
      <c r="O577" s="888"/>
      <c r="P577" s="888"/>
      <c r="Q577" s="888"/>
      <c r="R577" s="396"/>
      <c r="S577" s="396"/>
    </row>
    <row r="578" spans="1:19" x14ac:dyDescent="0.25">
      <c r="A578" s="1131"/>
      <c r="B578" s="1132"/>
      <c r="C578" s="1132"/>
      <c r="D578" s="1132"/>
      <c r="E578" s="1132"/>
      <c r="F578" s="1132"/>
      <c r="G578" s="1132"/>
      <c r="H578" s="1132"/>
      <c r="I578" s="1133"/>
      <c r="K578" s="396"/>
      <c r="L578" s="396"/>
      <c r="M578" s="888"/>
      <c r="N578" s="888"/>
      <c r="O578" s="888"/>
      <c r="P578" s="888"/>
      <c r="Q578" s="888"/>
      <c r="R578" s="396"/>
      <c r="S578" s="396"/>
    </row>
    <row r="579" spans="1:19" x14ac:dyDescent="0.25">
      <c r="A579" s="1131"/>
      <c r="B579" s="1132"/>
      <c r="C579" s="1132"/>
      <c r="D579" s="1132"/>
      <c r="E579" s="1132"/>
      <c r="F579" s="1132"/>
      <c r="G579" s="1132"/>
      <c r="H579" s="1132"/>
      <c r="I579" s="1133"/>
      <c r="K579" s="396"/>
      <c r="L579" s="396"/>
      <c r="M579" s="888"/>
      <c r="N579" s="888"/>
      <c r="O579" s="888"/>
      <c r="P579" s="888"/>
      <c r="Q579" s="888"/>
      <c r="R579" s="396"/>
      <c r="S579" s="396"/>
    </row>
    <row r="580" spans="1:19" x14ac:dyDescent="0.25">
      <c r="A580" s="1131"/>
      <c r="B580" s="1132"/>
      <c r="C580" s="1132"/>
      <c r="D580" s="1132"/>
      <c r="E580" s="1132"/>
      <c r="F580" s="1132"/>
      <c r="G580" s="1132"/>
      <c r="H580" s="1132"/>
      <c r="I580" s="1133"/>
      <c r="K580" s="396"/>
      <c r="L580" s="396"/>
      <c r="M580" s="888"/>
      <c r="N580" s="888"/>
      <c r="O580" s="888"/>
      <c r="P580" s="888"/>
      <c r="Q580" s="888"/>
      <c r="R580" s="396"/>
      <c r="S580" s="396"/>
    </row>
    <row r="581" spans="1:19" x14ac:dyDescent="0.25">
      <c r="A581" s="1131"/>
      <c r="B581" s="1132"/>
      <c r="C581" s="1132"/>
      <c r="D581" s="1132"/>
      <c r="E581" s="1132"/>
      <c r="F581" s="1132"/>
      <c r="G581" s="1132"/>
      <c r="H581" s="1132"/>
      <c r="I581" s="1133"/>
      <c r="K581" s="396"/>
      <c r="L581" s="396"/>
      <c r="M581" s="888"/>
      <c r="N581" s="888"/>
      <c r="O581" s="888"/>
      <c r="P581" s="888"/>
      <c r="Q581" s="888"/>
      <c r="R581" s="396"/>
      <c r="S581" s="396"/>
    </row>
    <row r="582" spans="1:19" x14ac:dyDescent="0.25">
      <c r="A582" s="1131"/>
      <c r="B582" s="1132"/>
      <c r="C582" s="1132"/>
      <c r="D582" s="1132"/>
      <c r="E582" s="1132"/>
      <c r="F582" s="1132"/>
      <c r="G582" s="1132"/>
      <c r="H582" s="1132"/>
      <c r="I582" s="1133"/>
      <c r="K582" s="396"/>
      <c r="L582" s="396"/>
      <c r="M582" s="888"/>
      <c r="N582" s="888"/>
      <c r="O582" s="888"/>
      <c r="P582" s="888"/>
      <c r="Q582" s="888"/>
      <c r="R582" s="396"/>
      <c r="S582" s="396"/>
    </row>
    <row r="583" spans="1:19" x14ac:dyDescent="0.25">
      <c r="A583" s="1131"/>
      <c r="B583" s="1132"/>
      <c r="C583" s="1132"/>
      <c r="D583" s="1132"/>
      <c r="E583" s="1132"/>
      <c r="F583" s="1132"/>
      <c r="G583" s="1132"/>
      <c r="H583" s="1132"/>
      <c r="I583" s="1133"/>
      <c r="K583" s="396"/>
      <c r="L583" s="396"/>
      <c r="M583" s="396"/>
      <c r="N583" s="396"/>
      <c r="O583" s="396"/>
      <c r="P583" s="396"/>
      <c r="Q583" s="396"/>
      <c r="R583" s="396"/>
      <c r="S583" s="396"/>
    </row>
    <row r="584" spans="1:19" x14ac:dyDescent="0.25">
      <c r="A584" s="1131"/>
      <c r="B584" s="1132"/>
      <c r="C584" s="1132"/>
      <c r="D584" s="1132"/>
      <c r="E584" s="1132"/>
      <c r="F584" s="1132"/>
      <c r="G584" s="1132"/>
      <c r="H584" s="1132"/>
      <c r="I584" s="1133"/>
      <c r="K584" s="396"/>
      <c r="L584" s="396"/>
      <c r="M584" s="396"/>
      <c r="N584" s="396"/>
      <c r="O584" s="396"/>
      <c r="P584" s="396"/>
      <c r="Q584" s="396"/>
      <c r="R584" s="396"/>
      <c r="S584" s="396"/>
    </row>
    <row r="585" spans="1:19" ht="15" customHeight="1" x14ac:dyDescent="0.25">
      <c r="A585" s="1134"/>
      <c r="B585" s="1135"/>
      <c r="C585" s="1135"/>
      <c r="D585" s="1135"/>
      <c r="E585" s="1135"/>
      <c r="F585" s="1135"/>
      <c r="G585" s="1135"/>
      <c r="H585" s="1135"/>
      <c r="I585" s="1136"/>
    </row>
    <row r="586" spans="1:19" ht="15.75" x14ac:dyDescent="0.25">
      <c r="A586" s="1169" t="s">
        <v>1008</v>
      </c>
      <c r="B586" s="1169"/>
      <c r="C586" s="1169"/>
      <c r="D586" s="1169"/>
      <c r="E586" s="1169"/>
      <c r="F586" s="1169"/>
      <c r="G586" s="1169"/>
      <c r="H586" s="1169"/>
      <c r="I586" s="1169"/>
    </row>
    <row r="587" spans="1:19" ht="15.75" x14ac:dyDescent="0.25">
      <c r="A587" s="890" t="s">
        <v>748</v>
      </c>
      <c r="B587" s="889"/>
      <c r="C587" s="889"/>
      <c r="D587" s="889"/>
      <c r="E587" s="889"/>
      <c r="F587" s="889"/>
      <c r="G587" s="889"/>
      <c r="H587" s="889"/>
      <c r="I587" s="889"/>
    </row>
    <row r="588" spans="1:19" ht="18.75" customHeight="1" x14ac:dyDescent="0.25">
      <c r="A588" s="311" t="s">
        <v>1090</v>
      </c>
      <c r="B588" s="223"/>
      <c r="C588" s="223"/>
      <c r="D588" s="223"/>
      <c r="E588" s="314" t="str">
        <f>Unformatted!G604</f>
        <v>N/A</v>
      </c>
      <c r="F588" s="1392" t="str">
        <f>Unformatted!I604</f>
        <v/>
      </c>
      <c r="G588" s="1392"/>
      <c r="H588" s="1392"/>
      <c r="I588" s="1392"/>
    </row>
    <row r="589" spans="1:19" ht="18.75" customHeight="1" x14ac:dyDescent="0.25">
      <c r="A589" s="445" t="s">
        <v>1543</v>
      </c>
      <c r="B589" s="609"/>
      <c r="C589" s="609"/>
      <c r="D589" s="609"/>
      <c r="E589" s="877" t="str">
        <f>Unformatted!G605</f>
        <v>N/A</v>
      </c>
      <c r="F589" s="1392" t="str">
        <f>Unformatted!I605</f>
        <v/>
      </c>
      <c r="G589" s="1392"/>
      <c r="H589" s="1392"/>
      <c r="I589" s="1392"/>
    </row>
    <row r="590" spans="1:19" ht="18.75" customHeight="1" x14ac:dyDescent="0.25">
      <c r="A590" s="311" t="s">
        <v>1091</v>
      </c>
      <c r="B590" s="223"/>
      <c r="C590" s="223"/>
      <c r="D590" s="223"/>
      <c r="E590" s="877" t="str">
        <f>Unformatted!G606</f>
        <v>N/A</v>
      </c>
      <c r="F590" s="1392" t="str">
        <f>Unformatted!I606</f>
        <v/>
      </c>
      <c r="G590" s="1392"/>
      <c r="H590" s="1392"/>
      <c r="I590" s="1392"/>
    </row>
    <row r="591" spans="1:19" ht="18.75" customHeight="1" x14ac:dyDescent="0.25">
      <c r="A591" s="445" t="s">
        <v>1542</v>
      </c>
      <c r="B591" s="609"/>
      <c r="C591" s="609"/>
      <c r="D591" s="609"/>
      <c r="E591" s="877" t="str">
        <f>Unformatted!G607</f>
        <v>N/A</v>
      </c>
      <c r="F591" s="1392" t="str">
        <f>Unformatted!I607</f>
        <v/>
      </c>
      <c r="G591" s="1392"/>
      <c r="H591" s="1392"/>
      <c r="I591" s="1392"/>
    </row>
    <row r="592" spans="1:19" ht="18.75" customHeight="1" x14ac:dyDescent="0.25">
      <c r="A592" s="309" t="s">
        <v>891</v>
      </c>
      <c r="B592" s="223"/>
      <c r="C592" s="223"/>
      <c r="D592" s="223"/>
      <c r="E592" s="321" t="s">
        <v>176</v>
      </c>
      <c r="F592" s="1393" t="s">
        <v>1038</v>
      </c>
      <c r="G592" s="1393"/>
      <c r="H592" s="1393"/>
      <c r="I592" s="1393"/>
    </row>
    <row r="593" spans="1:9" ht="18.75" customHeight="1" x14ac:dyDescent="0.25">
      <c r="A593" s="756" t="s">
        <v>1093</v>
      </c>
      <c r="B593" s="609"/>
      <c r="C593" s="609"/>
      <c r="D593" s="609"/>
      <c r="E593" s="877" t="str">
        <f>Unformatted!G608</f>
        <v>N/A</v>
      </c>
      <c r="F593" s="1392" t="str">
        <f>Unformatted!I608</f>
        <v/>
      </c>
      <c r="G593" s="1392"/>
      <c r="H593" s="1392"/>
      <c r="I593" s="1392"/>
    </row>
    <row r="594" spans="1:9" ht="18.75" customHeight="1" x14ac:dyDescent="0.25">
      <c r="A594" s="756" t="s">
        <v>895</v>
      </c>
      <c r="B594" s="609"/>
      <c r="C594" s="609"/>
      <c r="D594" s="609"/>
      <c r="E594" s="877" t="str">
        <f>Unformatted!G609</f>
        <v>N/A</v>
      </c>
      <c r="F594" s="1392" t="str">
        <f>Unformatted!I609</f>
        <v/>
      </c>
      <c r="G594" s="1392"/>
      <c r="H594" s="1392"/>
      <c r="I594" s="1392"/>
    </row>
    <row r="595" spans="1:9" ht="18.75" customHeight="1" x14ac:dyDescent="0.25">
      <c r="A595" s="756" t="s">
        <v>1069</v>
      </c>
      <c r="B595" s="609"/>
      <c r="C595" s="609"/>
      <c r="D595" s="609"/>
      <c r="E595" s="877" t="str">
        <f>Unformatted!G610</f>
        <v>N/A</v>
      </c>
      <c r="F595" s="1392" t="str">
        <f>Unformatted!I610</f>
        <v/>
      </c>
      <c r="G595" s="1392"/>
      <c r="H595" s="1392"/>
      <c r="I595" s="1392"/>
    </row>
    <row r="596" spans="1:9" ht="18.75" customHeight="1" x14ac:dyDescent="0.25">
      <c r="A596" s="756" t="s">
        <v>757</v>
      </c>
      <c r="B596" s="609"/>
      <c r="C596" s="609"/>
      <c r="D596" s="609"/>
      <c r="E596" s="877" t="str">
        <f>Unformatted!G611</f>
        <v>N/A</v>
      </c>
      <c r="F596" s="1392" t="str">
        <f>Unformatted!I611</f>
        <v/>
      </c>
      <c r="G596" s="1392"/>
      <c r="H596" s="1392"/>
      <c r="I596" s="1392"/>
    </row>
    <row r="597" spans="1:9" ht="18.75" customHeight="1" x14ac:dyDescent="0.25">
      <c r="A597" s="756" t="s">
        <v>718</v>
      </c>
      <c r="B597" s="609"/>
      <c r="C597" s="609"/>
      <c r="D597" s="609"/>
      <c r="E597" s="877" t="str">
        <f>Unformatted!G612</f>
        <v>N/A</v>
      </c>
      <c r="F597" s="1392" t="str">
        <f>Unformatted!I612</f>
        <v/>
      </c>
      <c r="G597" s="1392"/>
      <c r="H597" s="1392"/>
      <c r="I597" s="1392"/>
    </row>
    <row r="598" spans="1:9" ht="18.75" customHeight="1" x14ac:dyDescent="0.25">
      <c r="A598" s="756" t="s">
        <v>1068</v>
      </c>
      <c r="B598" s="609"/>
      <c r="C598" s="609"/>
      <c r="D598" s="609"/>
      <c r="E598" s="877" t="str">
        <f>Unformatted!G613</f>
        <v>N/A</v>
      </c>
      <c r="F598" s="1392" t="str">
        <f>Unformatted!I613</f>
        <v/>
      </c>
      <c r="G598" s="1392"/>
      <c r="H598" s="1392"/>
      <c r="I598" s="1392"/>
    </row>
    <row r="599" spans="1:9" ht="18.75" customHeight="1" x14ac:dyDescent="0.25">
      <c r="A599" s="756" t="s">
        <v>1070</v>
      </c>
      <c r="B599" s="609"/>
      <c r="C599" s="609"/>
      <c r="D599" s="609"/>
      <c r="E599" s="877" t="str">
        <f>Unformatted!G614</f>
        <v>N/A</v>
      </c>
      <c r="F599" s="1392" t="str">
        <f>Unformatted!I614</f>
        <v/>
      </c>
      <c r="G599" s="1392"/>
      <c r="H599" s="1392"/>
      <c r="I599" s="1392"/>
    </row>
    <row r="600" spans="1:9" ht="18.75" customHeight="1" x14ac:dyDescent="0.25">
      <c r="A600" s="756" t="s">
        <v>756</v>
      </c>
      <c r="B600" s="609"/>
      <c r="C600" s="609"/>
      <c r="D600" s="609"/>
      <c r="E600" s="877" t="str">
        <f>Unformatted!G615</f>
        <v>N/A</v>
      </c>
      <c r="F600" s="1392" t="str">
        <f>Unformatted!I615</f>
        <v/>
      </c>
      <c r="G600" s="1392"/>
      <c r="H600" s="1392"/>
      <c r="I600" s="1392"/>
    </row>
    <row r="601" spans="1:9" ht="18.75" customHeight="1" x14ac:dyDescent="0.25">
      <c r="A601" s="756" t="s">
        <v>1092</v>
      </c>
      <c r="B601" s="609"/>
      <c r="C601" s="609"/>
      <c r="D601" s="609"/>
      <c r="E601" s="877" t="str">
        <f>Unformatted!G616</f>
        <v>N/A</v>
      </c>
      <c r="F601" s="1392" t="str">
        <f>Unformatted!I616</f>
        <v/>
      </c>
      <c r="G601" s="1392"/>
      <c r="H601" s="1392"/>
      <c r="I601" s="1392"/>
    </row>
    <row r="602" spans="1:9" ht="18.75" customHeight="1" x14ac:dyDescent="0.25">
      <c r="A602" s="756" t="s">
        <v>725</v>
      </c>
      <c r="B602" s="609"/>
      <c r="C602" s="609"/>
      <c r="D602" s="609"/>
      <c r="E602" s="877" t="str">
        <f>Unformatted!G617</f>
        <v>N/A</v>
      </c>
      <c r="F602" s="1392" t="str">
        <f>Unformatted!I617</f>
        <v/>
      </c>
      <c r="G602" s="1392"/>
      <c r="H602" s="1392"/>
      <c r="I602" s="1392"/>
    </row>
    <row r="603" spans="1:9" ht="15.75" customHeight="1" x14ac:dyDescent="0.25">
      <c r="A603" s="1126" t="s">
        <v>1578</v>
      </c>
      <c r="B603" s="1126"/>
      <c r="C603" s="1126"/>
      <c r="D603" s="1126"/>
      <c r="E603" s="1126"/>
      <c r="F603" s="1126"/>
      <c r="G603" s="1126"/>
      <c r="H603" s="1126"/>
      <c r="I603" s="1126"/>
    </row>
    <row r="604" spans="1:9" ht="18.75" customHeight="1" x14ac:dyDescent="0.25">
      <c r="A604" s="1128" t="str">
        <f>Unformatted!E618</f>
        <v/>
      </c>
      <c r="B604" s="1129"/>
      <c r="C604" s="1129"/>
      <c r="D604" s="1129"/>
      <c r="E604" s="1129"/>
      <c r="F604" s="1129"/>
      <c r="G604" s="1129"/>
      <c r="H604" s="1129"/>
      <c r="I604" s="1130"/>
    </row>
    <row r="605" spans="1:9" ht="18.75" customHeight="1" x14ac:dyDescent="0.25">
      <c r="A605" s="1131"/>
      <c r="B605" s="1132"/>
      <c r="C605" s="1132"/>
      <c r="D605" s="1132"/>
      <c r="E605" s="1132"/>
      <c r="F605" s="1132"/>
      <c r="G605" s="1132"/>
      <c r="H605" s="1132"/>
      <c r="I605" s="1133"/>
    </row>
    <row r="606" spans="1:9" ht="18.75" customHeight="1" x14ac:dyDescent="0.25">
      <c r="A606" s="1131"/>
      <c r="B606" s="1132"/>
      <c r="C606" s="1132"/>
      <c r="D606" s="1132"/>
      <c r="E606" s="1132"/>
      <c r="F606" s="1132"/>
      <c r="G606" s="1132"/>
      <c r="H606" s="1132"/>
      <c r="I606" s="1133"/>
    </row>
    <row r="607" spans="1:9" ht="27" customHeight="1" x14ac:dyDescent="0.25">
      <c r="A607" s="1134"/>
      <c r="B607" s="1135"/>
      <c r="C607" s="1135"/>
      <c r="D607" s="1135"/>
      <c r="E607" s="1135"/>
      <c r="F607" s="1135"/>
      <c r="G607" s="1135"/>
      <c r="H607" s="1135"/>
      <c r="I607" s="1136"/>
    </row>
    <row r="608" spans="1:9" ht="15.75" customHeight="1" x14ac:dyDescent="0.25">
      <c r="A608" s="1389" t="s">
        <v>1010</v>
      </c>
      <c r="B608" s="1389"/>
      <c r="C608" s="1389"/>
      <c r="D608" s="1389"/>
      <c r="E608" s="1389"/>
      <c r="F608" s="1389"/>
      <c r="G608" s="1389"/>
      <c r="H608" s="1389"/>
      <c r="I608" s="1389"/>
    </row>
    <row r="609" spans="1:15" ht="6.75" customHeight="1" x14ac:dyDescent="0.25"/>
    <row r="610" spans="1:15" ht="15" customHeight="1" x14ac:dyDescent="0.25">
      <c r="A610" s="1428" t="s">
        <v>588</v>
      </c>
      <c r="B610" s="1431" t="str">
        <f>IF(Unformatted!E627&lt;&gt;0,Unformatted!E624&amp;" x "&amp;Unformatted!E627,Unformatted!E624)</f>
        <v>2W/4W</v>
      </c>
      <c r="C610" s="1431" t="s">
        <v>586</v>
      </c>
      <c r="D610" s="1433" t="str">
        <f>IF(Unformatted!G623="","Ounce Inches",Unformatted!G623&amp;" Oz. In.")</f>
        <v>Ounce Inches</v>
      </c>
      <c r="E610" s="1431" t="s">
        <v>518</v>
      </c>
      <c r="F610" s="1435">
        <v>28.349499999999999</v>
      </c>
      <c r="G610" s="1431" t="s">
        <v>586</v>
      </c>
      <c r="H610" s="1436" t="str">
        <f>Unformatted!F623&amp;" Gm. In."</f>
        <v xml:space="preserve"> Gm. In.</v>
      </c>
      <c r="I610" s="1437"/>
      <c r="J610" s="869"/>
      <c r="L610" s="869"/>
      <c r="N610" s="134"/>
      <c r="O610" s="134"/>
    </row>
    <row r="611" spans="1:15" ht="15" customHeight="1" x14ac:dyDescent="0.25">
      <c r="A611" s="1429"/>
      <c r="B611" s="1313"/>
      <c r="C611" s="1432"/>
      <c r="D611" s="1224"/>
      <c r="E611" s="1432"/>
      <c r="F611" s="1424"/>
      <c r="G611" s="1432"/>
      <c r="H611" s="1438"/>
      <c r="I611" s="1439"/>
      <c r="J611" s="869"/>
      <c r="L611" s="869"/>
      <c r="N611" s="134"/>
      <c r="O611" s="134"/>
    </row>
    <row r="612" spans="1:15" ht="15" customHeight="1" x14ac:dyDescent="0.25">
      <c r="A612" s="1429"/>
      <c r="B612" s="1432" t="str">
        <f>Unformatted!F625</f>
        <v>1800</v>
      </c>
      <c r="C612" s="1432"/>
      <c r="D612" s="1224"/>
      <c r="E612" s="1432"/>
      <c r="F612" s="1423" t="s">
        <v>587</v>
      </c>
      <c r="G612" s="1432"/>
      <c r="H612" s="1438"/>
      <c r="I612" s="1439"/>
      <c r="J612" s="869"/>
      <c r="L612" s="866"/>
      <c r="N612" s="134"/>
      <c r="O612" s="134"/>
    </row>
    <row r="613" spans="1:15" ht="15" customHeight="1" x14ac:dyDescent="0.25">
      <c r="A613" s="1430"/>
      <c r="B613" s="1313"/>
      <c r="C613" s="1313"/>
      <c r="D613" s="1434"/>
      <c r="E613" s="1313"/>
      <c r="F613" s="1424"/>
      <c r="G613" s="1313"/>
      <c r="H613" s="1440"/>
      <c r="I613" s="1441"/>
    </row>
    <row r="614" spans="1:15" ht="7.5" customHeight="1" x14ac:dyDescent="0.25">
      <c r="A614"/>
      <c r="B614"/>
      <c r="C614"/>
      <c r="D614"/>
      <c r="E614" s="13"/>
      <c r="F614"/>
      <c r="G614"/>
      <c r="H614" s="13"/>
      <c r="I614" s="13"/>
      <c r="J614" s="868"/>
      <c r="N614" s="868"/>
    </row>
    <row r="615" spans="1:15" x14ac:dyDescent="0.25">
      <c r="A615" s="48"/>
      <c r="B615" s="1425" t="s">
        <v>1127</v>
      </c>
      <c r="C615" s="1425"/>
      <c r="D615" s="293" t="s">
        <v>887</v>
      </c>
      <c r="E615"/>
      <c r="F615" s="37" t="s">
        <v>1011</v>
      </c>
      <c r="G615"/>
      <c r="H615"/>
      <c r="I615"/>
      <c r="J615" s="868"/>
      <c r="K615" s="868"/>
      <c r="L615" s="868"/>
      <c r="M615" s="868"/>
      <c r="N615" s="868"/>
    </row>
    <row r="616" spans="1:15" x14ac:dyDescent="0.25">
      <c r="A616" s="299" t="s">
        <v>929</v>
      </c>
      <c r="B616" s="1426" t="str">
        <f>Unformatted!E628</f>
        <v>N/A</v>
      </c>
      <c r="C616" s="1420"/>
      <c r="D616" s="245" t="str">
        <f>Unformatted!F628</f>
        <v>N/A</v>
      </c>
      <c r="E616"/>
      <c r="F616"/>
      <c r="G616"/>
      <c r="H616"/>
      <c r="I616"/>
      <c r="J616" s="1"/>
      <c r="N616" s="868"/>
    </row>
    <row r="617" spans="1:15" x14ac:dyDescent="0.25">
      <c r="A617" s="299" t="s">
        <v>643</v>
      </c>
      <c r="B617" s="1426" t="str">
        <f>Unformatted!E630</f>
        <v>N/A</v>
      </c>
      <c r="C617" s="1420"/>
      <c r="D617" s="245" t="str">
        <f>Unformatted!F630</f>
        <v>N/A</v>
      </c>
      <c r="E617"/>
      <c r="F617"/>
      <c r="G617"/>
      <c r="H617"/>
      <c r="I617"/>
      <c r="J617" s="1"/>
      <c r="K617" s="868"/>
      <c r="L617" s="868"/>
      <c r="M617" s="868"/>
      <c r="N617" s="868"/>
    </row>
    <row r="618" spans="1:15" x14ac:dyDescent="0.25">
      <c r="A618"/>
      <c r="B618" s="223"/>
      <c r="C618" s="223"/>
      <c r="D618" s="223"/>
      <c r="E618" s="13"/>
      <c r="F618"/>
      <c r="G618"/>
      <c r="H618"/>
      <c r="I618"/>
      <c r="J618" s="1"/>
      <c r="N618" s="868"/>
    </row>
    <row r="619" spans="1:15" x14ac:dyDescent="0.25">
      <c r="A619" s="48"/>
      <c r="B619" s="1167" t="s">
        <v>1126</v>
      </c>
      <c r="C619" s="1168"/>
      <c r="D619" s="293" t="s">
        <v>887</v>
      </c>
      <c r="E619"/>
      <c r="F619"/>
      <c r="G619" s="36" t="s">
        <v>589</v>
      </c>
      <c r="H619" s="1151">
        <f>IF(Unformatted!E627="",Unformatted!E233,Unformatted!E627)</f>
        <v>0</v>
      </c>
      <c r="I619" s="1427"/>
    </row>
    <row r="620" spans="1:15" x14ac:dyDescent="0.25">
      <c r="A620" s="299" t="s">
        <v>930</v>
      </c>
      <c r="B620" s="1420" t="str">
        <f>Unformatted!E629</f>
        <v>N/A</v>
      </c>
      <c r="C620" s="1420"/>
      <c r="D620" s="245" t="str">
        <f>Unformatted!F629</f>
        <v>N/A</v>
      </c>
      <c r="E620"/>
      <c r="F620"/>
      <c r="G620" s="36" t="s">
        <v>870</v>
      </c>
      <c r="H620" s="1418" t="str">
        <f>Unformatted!E632</f>
        <v>N/A</v>
      </c>
      <c r="I620" s="1419"/>
    </row>
    <row r="621" spans="1:15" x14ac:dyDescent="0.25">
      <c r="A621" s="299" t="s">
        <v>656</v>
      </c>
      <c r="B621" s="1420" t="str">
        <f>Unformatted!E631</f>
        <v>N/A</v>
      </c>
      <c r="C621" s="1420"/>
      <c r="D621" s="245" t="str">
        <f>Unformatted!F631</f>
        <v>N/A</v>
      </c>
      <c r="E621"/>
      <c r="F621"/>
      <c r="G621" s="36" t="s">
        <v>871</v>
      </c>
      <c r="H621" s="1418" t="str">
        <f>Unformatted!E633</f>
        <v>N/A</v>
      </c>
      <c r="I621" s="1419"/>
    </row>
    <row r="622" spans="1:15" ht="7.35" customHeight="1" thickBot="1" x14ac:dyDescent="0.3">
      <c r="A622"/>
      <c r="B622"/>
      <c r="C622"/>
      <c r="D622"/>
      <c r="E622"/>
      <c r="F622"/>
      <c r="G622"/>
      <c r="H622"/>
      <c r="I622"/>
      <c r="L622" s="396"/>
      <c r="M622" s="396"/>
      <c r="N622" s="396"/>
    </row>
    <row r="623" spans="1:15" ht="14.25" customHeight="1" thickBot="1" x14ac:dyDescent="0.3">
      <c r="A623" s="867" t="s">
        <v>1511</v>
      </c>
      <c r="B623" s="1390" t="s">
        <v>1512</v>
      </c>
      <c r="C623" s="1391"/>
      <c r="D623" s="891"/>
      <c r="E623" s="875" t="s">
        <v>1511</v>
      </c>
      <c r="F623" s="1317" t="str">
        <f>Unformatted!E644</f>
        <v/>
      </c>
      <c r="G623" s="1318"/>
      <c r="H623" s="1319"/>
      <c r="I623" s="891"/>
      <c r="J623" s="891"/>
      <c r="K623" s="891"/>
      <c r="L623" s="396"/>
      <c r="M623" s="396"/>
      <c r="N623" s="396"/>
    </row>
    <row r="624" spans="1:15" ht="7.35" customHeight="1" x14ac:dyDescent="0.25">
      <c r="C624" s="396"/>
      <c r="D624" s="396"/>
      <c r="E624" s="396"/>
      <c r="F624" s="396"/>
      <c r="G624" s="396"/>
      <c r="H624" s="396"/>
      <c r="I624" s="396"/>
      <c r="J624" s="396"/>
      <c r="K624" s="396"/>
      <c r="L624" s="396"/>
      <c r="M624" s="396"/>
      <c r="N624" s="396"/>
    </row>
    <row r="625" spans="1:14" ht="14.25" customHeight="1" x14ac:dyDescent="0.25">
      <c r="A625" s="867" t="s">
        <v>72</v>
      </c>
      <c r="B625" s="895" t="str">
        <f>Unformatted!E638</f>
        <v>N/A</v>
      </c>
      <c r="D625" s="396"/>
      <c r="E625" s="875" t="s">
        <v>72</v>
      </c>
      <c r="F625" s="895" t="str">
        <f>Unformatted!E645</f>
        <v>N/A</v>
      </c>
      <c r="J625" s="396"/>
      <c r="L625" s="396"/>
      <c r="M625" s="396"/>
      <c r="N625" s="396"/>
    </row>
    <row r="626" spans="1:14" ht="7.35" customHeight="1" thickBot="1" x14ac:dyDescent="0.3">
      <c r="D626" s="396"/>
      <c r="E626" s="396"/>
      <c r="F626" s="396"/>
      <c r="H626" s="396"/>
      <c r="I626" s="396"/>
      <c r="J626" s="396"/>
      <c r="K626" s="396"/>
      <c r="L626" s="396"/>
      <c r="M626" s="396"/>
      <c r="N626" s="396"/>
    </row>
    <row r="627" spans="1:14" ht="14.25" customHeight="1" thickBot="1" x14ac:dyDescent="0.3">
      <c r="A627" s="867" t="s">
        <v>1515</v>
      </c>
      <c r="B627" s="766" t="str">
        <f>Unformatted!E639</f>
        <v>N/A</v>
      </c>
      <c r="D627" s="396"/>
      <c r="E627" s="875" t="s">
        <v>588</v>
      </c>
      <c r="F627" s="766" t="str">
        <f>Unformatted!E646</f>
        <v>N/A</v>
      </c>
      <c r="G627" s="396"/>
      <c r="H627" s="396"/>
      <c r="J627" s="396"/>
      <c r="L627" s="396"/>
      <c r="M627" s="396"/>
      <c r="N627" s="396"/>
    </row>
    <row r="628" spans="1:14" ht="7.35" customHeight="1" x14ac:dyDescent="0.25">
      <c r="A628" s="875"/>
      <c r="B628" s="892"/>
      <c r="D628" s="396"/>
      <c r="E628" s="396"/>
      <c r="F628" s="396"/>
      <c r="G628" s="396"/>
      <c r="H628" s="396"/>
      <c r="I628" s="396"/>
      <c r="J628" s="396"/>
      <c r="K628" s="396"/>
      <c r="L628" s="396"/>
      <c r="M628" s="396"/>
      <c r="N628" s="396"/>
    </row>
    <row r="629" spans="1:14" ht="14.25" customHeight="1" x14ac:dyDescent="0.25">
      <c r="B629" s="248" t="s">
        <v>644</v>
      </c>
      <c r="C629" s="248" t="s">
        <v>887</v>
      </c>
      <c r="D629" s="893"/>
      <c r="E629" s="396"/>
      <c r="F629" s="1454" t="s">
        <v>644</v>
      </c>
      <c r="G629" s="1454"/>
      <c r="H629" s="248" t="s">
        <v>887</v>
      </c>
      <c r="J629" s="396"/>
      <c r="L629" s="396"/>
      <c r="M629" s="396"/>
      <c r="N629" s="396"/>
    </row>
    <row r="630" spans="1:14" ht="14.25" customHeight="1" x14ac:dyDescent="0.25">
      <c r="A630" s="758" t="s">
        <v>1513</v>
      </c>
      <c r="B630" s="876" t="str">
        <f>Unformatted!E640</f>
        <v>N/A</v>
      </c>
      <c r="C630" s="876" t="str">
        <f>Unformatted!F640</f>
        <v>N/A</v>
      </c>
      <c r="D630" s="396"/>
      <c r="E630" s="758" t="s">
        <v>1513</v>
      </c>
      <c r="F630" s="1444" t="str">
        <f>Unformatted!E647</f>
        <v>N/A</v>
      </c>
      <c r="G630" s="1444"/>
      <c r="H630" s="876" t="str">
        <f>Unformatted!F647</f>
        <v>N/A</v>
      </c>
      <c r="I630" s="396"/>
      <c r="J630" s="396"/>
      <c r="K630" s="396"/>
      <c r="L630" s="396"/>
      <c r="M630" s="396"/>
      <c r="N630" s="396"/>
    </row>
    <row r="631" spans="1:14" ht="14.25" customHeight="1" x14ac:dyDescent="0.25">
      <c r="A631" s="758" t="s">
        <v>1514</v>
      </c>
      <c r="B631" s="876" t="str">
        <f>Unformatted!E641</f>
        <v>N/A</v>
      </c>
      <c r="C631" s="876" t="str">
        <f>Unformatted!F641</f>
        <v>N/A</v>
      </c>
      <c r="D631" s="894"/>
      <c r="E631" s="758" t="s">
        <v>1514</v>
      </c>
      <c r="F631" s="1256" t="str">
        <f>Unformatted!E648</f>
        <v>N/A</v>
      </c>
      <c r="G631" s="1256"/>
      <c r="H631" s="876" t="str">
        <f>Unformatted!F648</f>
        <v>N/A</v>
      </c>
      <c r="J631" s="396"/>
      <c r="L631" s="396"/>
      <c r="M631" s="396"/>
      <c r="N631" s="396"/>
    </row>
    <row r="632" spans="1:14" ht="7.35" customHeight="1" x14ac:dyDescent="0.25">
      <c r="A632" s="396"/>
      <c r="B632" s="396"/>
      <c r="C632" s="396"/>
      <c r="D632" s="396"/>
      <c r="E632" s="396"/>
      <c r="F632" s="396"/>
      <c r="G632" s="396"/>
      <c r="H632" s="396"/>
      <c r="I632" s="396"/>
      <c r="J632" s="396"/>
      <c r="K632" s="396"/>
      <c r="L632" s="396"/>
      <c r="M632" s="396"/>
      <c r="N632" s="396"/>
    </row>
    <row r="633" spans="1:14" ht="14.25" customHeight="1" x14ac:dyDescent="0.25">
      <c r="A633" s="1209" t="s">
        <v>846</v>
      </c>
      <c r="B633" s="1209"/>
      <c r="C633" s="1209"/>
      <c r="D633" s="438"/>
      <c r="E633" s="1209" t="s">
        <v>846</v>
      </c>
      <c r="F633" s="1209"/>
      <c r="G633" s="1209"/>
      <c r="H633" s="1209"/>
      <c r="I633" s="1209"/>
      <c r="J633" s="503"/>
      <c r="K633" s="503"/>
      <c r="L633" s="503"/>
      <c r="M633" s="396"/>
      <c r="N633" s="396"/>
    </row>
    <row r="634" spans="1:14" ht="14.25" customHeight="1" x14ac:dyDescent="0.25">
      <c r="B634" s="396"/>
      <c r="C634" s="396"/>
      <c r="D634" s="396"/>
      <c r="E634" s="396"/>
      <c r="F634" s="396"/>
      <c r="G634" s="396"/>
      <c r="H634" s="396"/>
      <c r="I634" s="396"/>
      <c r="J634" s="396"/>
      <c r="K634" s="396"/>
      <c r="L634" s="396"/>
      <c r="M634" s="396"/>
      <c r="N634" s="396"/>
    </row>
    <row r="635" spans="1:14" ht="14.25" customHeight="1" x14ac:dyDescent="0.25">
      <c r="B635" s="503"/>
      <c r="C635" s="503"/>
      <c r="D635" s="503"/>
      <c r="E635" s="396"/>
      <c r="F635" s="396"/>
      <c r="G635" s="396"/>
      <c r="H635" s="396"/>
      <c r="I635" s="396"/>
      <c r="J635" s="396"/>
      <c r="K635" s="396"/>
      <c r="L635" s="396"/>
      <c r="M635" s="396"/>
      <c r="N635" s="396"/>
    </row>
    <row r="636" spans="1:14" ht="14.25" customHeight="1" x14ac:dyDescent="0.25">
      <c r="A636" s="396"/>
      <c r="B636" s="396"/>
      <c r="C636" s="396"/>
      <c r="D636" s="396"/>
      <c r="E636" s="396"/>
      <c r="F636" s="396"/>
      <c r="G636" s="396"/>
      <c r="H636" s="396"/>
      <c r="I636" s="396"/>
      <c r="J636" s="396"/>
      <c r="K636" s="396"/>
      <c r="L636" s="396"/>
      <c r="M636" s="396"/>
      <c r="N636" s="396"/>
    </row>
    <row r="637" spans="1:14" ht="15.75" customHeight="1" x14ac:dyDescent="0.25">
      <c r="A637" s="1389" t="s">
        <v>1012</v>
      </c>
      <c r="B637" s="1389"/>
      <c r="C637" s="1389"/>
      <c r="D637" s="1389"/>
      <c r="E637" s="1389"/>
      <c r="F637" s="1389"/>
      <c r="G637" s="1389"/>
      <c r="H637" s="1389"/>
      <c r="I637" s="1389"/>
      <c r="L637" s="396"/>
      <c r="M637" s="396"/>
      <c r="N637" s="396"/>
    </row>
    <row r="638" spans="1:14" ht="7.35" customHeight="1" thickBot="1" x14ac:dyDescent="0.3">
      <c r="L638" s="396"/>
      <c r="M638" s="396"/>
      <c r="N638" s="396"/>
    </row>
    <row r="639" spans="1:14" ht="14.25" customHeight="1" thickBot="1" x14ac:dyDescent="0.3">
      <c r="A639" s="392"/>
      <c r="B639" s="248" t="s">
        <v>448</v>
      </c>
      <c r="C639" s="248" t="s">
        <v>575</v>
      </c>
      <c r="E639" s="881" t="s">
        <v>853</v>
      </c>
      <c r="F639" s="1382" t="str">
        <f>Unformatted!E655</f>
        <v>N/A</v>
      </c>
      <c r="G639" s="1383"/>
      <c r="H639" s="1384"/>
      <c r="I639" s="897"/>
      <c r="L639" s="396"/>
      <c r="M639" s="396"/>
      <c r="N639" s="396"/>
    </row>
    <row r="640" spans="1:14" ht="14.25" customHeight="1" thickBot="1" x14ac:dyDescent="0.3">
      <c r="A640" s="880" t="s">
        <v>285</v>
      </c>
      <c r="B640" s="896" t="str">
        <f>Unformatted!F652</f>
        <v>N/A</v>
      </c>
      <c r="C640" s="896" t="str">
        <f>Unformatted!H652</f>
        <v>N/A</v>
      </c>
      <c r="F640" s="392"/>
      <c r="G640" s="392"/>
      <c r="H640" s="763"/>
      <c r="I640" s="763"/>
    </row>
    <row r="641" spans="1:10" ht="14.25" customHeight="1" thickBot="1" x14ac:dyDescent="0.3">
      <c r="A641" s="882" t="s">
        <v>286</v>
      </c>
      <c r="B641" s="896" t="str">
        <f>Unformatted!F653</f>
        <v>N/A</v>
      </c>
      <c r="C641" s="896" t="str">
        <f>Unformatted!H653</f>
        <v>N/A</v>
      </c>
      <c r="E641" s="881" t="s">
        <v>854</v>
      </c>
      <c r="F641" s="1382" t="str">
        <f>Unformatted!E656</f>
        <v>N/A</v>
      </c>
      <c r="G641" s="1383"/>
      <c r="H641" s="1384"/>
      <c r="I641" s="897"/>
    </row>
    <row r="642" spans="1:10" ht="7.35" customHeight="1" x14ac:dyDescent="0.25">
      <c r="A642" s="392"/>
      <c r="B642" s="392"/>
      <c r="C642" s="392"/>
      <c r="D642" s="392"/>
      <c r="E642" s="392"/>
      <c r="F642" s="392"/>
      <c r="G642" s="392"/>
      <c r="H642" s="392"/>
      <c r="I642" s="392"/>
    </row>
    <row r="643" spans="1:10" ht="14.25" customHeight="1" x14ac:dyDescent="0.25">
      <c r="A643" s="881" t="s">
        <v>1579</v>
      </c>
      <c r="B643" s="1451" t="str">
        <f>IF(Unformatted!E658=0,"N/A",Unformatted!E658)</f>
        <v>N/A</v>
      </c>
      <c r="C643" s="1452"/>
      <c r="D643" s="392"/>
      <c r="E643" s="881" t="s">
        <v>46</v>
      </c>
      <c r="F643" s="1453" t="str">
        <f>IF(Unformatted!E654=0,"N/A",Unformatted!E654)</f>
        <v>N/A</v>
      </c>
      <c r="G643" s="1453"/>
      <c r="H643" s="1453"/>
      <c r="I643" s="887"/>
    </row>
    <row r="644" spans="1:10" ht="7.35" customHeight="1" x14ac:dyDescent="0.25">
      <c r="A644" s="392"/>
      <c r="B644" s="881"/>
      <c r="C644" s="392"/>
      <c r="D644" s="392"/>
      <c r="E644" s="763"/>
      <c r="F644" s="898"/>
      <c r="G644" s="898"/>
      <c r="H644" s="898"/>
      <c r="I644" s="409"/>
    </row>
    <row r="645" spans="1:10" ht="14.25" customHeight="1" x14ac:dyDescent="0.25">
      <c r="A645" s="870" t="s">
        <v>1517</v>
      </c>
      <c r="B645" s="1451" t="str">
        <f>IF(Unformatted!E659=0,"N/A",Unformatted!E659)</f>
        <v>N/A</v>
      </c>
      <c r="C645" s="1452"/>
      <c r="D645" s="392"/>
      <c r="E645" s="881"/>
      <c r="F645" s="405"/>
      <c r="G645" s="405"/>
      <c r="H645" s="405"/>
      <c r="I645" s="396"/>
    </row>
    <row r="646" spans="1:10" ht="7.35" customHeight="1" x14ac:dyDescent="0.25">
      <c r="B646" s="714"/>
      <c r="F646" s="714"/>
    </row>
    <row r="647" spans="1:10" ht="14.25" customHeight="1" x14ac:dyDescent="0.25">
      <c r="A647" s="883" t="s">
        <v>1013</v>
      </c>
      <c r="B647" s="883"/>
      <c r="C647" s="883"/>
      <c r="D647" s="883"/>
      <c r="E647" s="883"/>
      <c r="F647" s="883"/>
      <c r="G647" s="883"/>
      <c r="H647" s="883"/>
      <c r="I647" s="883"/>
    </row>
    <row r="648" spans="1:10" ht="7.35" customHeight="1" x14ac:dyDescent="0.25">
      <c r="G648" s="884"/>
    </row>
    <row r="649" spans="1:10" ht="14.25" customHeight="1" x14ac:dyDescent="0.25">
      <c r="C649" s="881" t="s">
        <v>760</v>
      </c>
      <c r="D649" s="932" t="str">
        <f>Unformatted!E662</f>
        <v>No</v>
      </c>
      <c r="F649" s="881" t="s">
        <v>534</v>
      </c>
      <c r="G649" s="879" t="str">
        <f>Unformatted!F663</f>
        <v>N/A</v>
      </c>
      <c r="H649" s="319"/>
    </row>
    <row r="650" spans="1:10" ht="14.25" customHeight="1" x14ac:dyDescent="0.25">
      <c r="B650" s="296"/>
      <c r="C650" s="870" t="s">
        <v>1014</v>
      </c>
      <c r="D650" s="932" t="str">
        <f>Unformatted!E223</f>
        <v>N/A</v>
      </c>
      <c r="F650" s="881" t="s">
        <v>535</v>
      </c>
      <c r="G650" s="879" t="str">
        <f>Unformatted!F664</f>
        <v>N/A</v>
      </c>
      <c r="H650" s="319"/>
    </row>
    <row r="651" spans="1:10" ht="14.25" customHeight="1" x14ac:dyDescent="0.25">
      <c r="B651" s="118"/>
      <c r="C651" s="870" t="s">
        <v>1581</v>
      </c>
      <c r="D651" s="932" t="str">
        <f>Unformatted!F669</f>
        <v>N/A</v>
      </c>
      <c r="F651" s="881" t="s">
        <v>536</v>
      </c>
      <c r="G651" s="879" t="str">
        <f>Unformatted!F665</f>
        <v>N/A</v>
      </c>
      <c r="H651" s="319"/>
    </row>
    <row r="652" spans="1:10" ht="14.25" customHeight="1" x14ac:dyDescent="0.25">
      <c r="A652"/>
      <c r="B652"/>
      <c r="C652" s="36" t="s">
        <v>1015</v>
      </c>
      <c r="D652" s="930" t="str">
        <f>Unformatted!F667</f>
        <v>N/A</v>
      </c>
      <c r="E652"/>
      <c r="F652" s="36" t="s">
        <v>517</v>
      </c>
      <c r="G652" s="320" t="str">
        <f>Unformatted!F666</f>
        <v>N/A</v>
      </c>
      <c r="H652" s="319"/>
      <c r="I652"/>
    </row>
    <row r="653" spans="1:10" ht="14.25" customHeight="1" x14ac:dyDescent="0.25">
      <c r="A653"/>
      <c r="B653" s="1445" t="s">
        <v>800</v>
      </c>
      <c r="C653" s="1445"/>
      <c r="D653" s="941" t="str">
        <f>Unformatted!F668</f>
        <v>N/A</v>
      </c>
      <c r="E653" s="296"/>
      <c r="F653"/>
      <c r="G653"/>
      <c r="H653"/>
      <c r="I653"/>
    </row>
    <row r="654" spans="1:10" ht="7.35" customHeight="1" x14ac:dyDescent="0.25"/>
    <row r="655" spans="1:10" ht="15.75" customHeight="1" x14ac:dyDescent="0.35">
      <c r="A655" s="1397" t="s">
        <v>931</v>
      </c>
      <c r="B655" s="1397"/>
      <c r="C655" s="1397"/>
      <c r="D655" s="1397"/>
      <c r="E655" s="1397"/>
      <c r="F655" s="1397"/>
      <c r="G655" s="1397"/>
      <c r="H655" s="1397"/>
      <c r="I655" s="1397"/>
      <c r="J655" s="204"/>
    </row>
    <row r="656" spans="1:10" ht="14.25" customHeight="1" x14ac:dyDescent="0.25">
      <c r="A656" s="1422" t="str">
        <f>Unformatted!E649</f>
        <v/>
      </c>
      <c r="B656" s="1422"/>
      <c r="C656" s="1422"/>
      <c r="D656" s="1422"/>
      <c r="E656" s="1422"/>
      <c r="F656" s="1422"/>
      <c r="G656" s="1422"/>
      <c r="H656" s="1422"/>
      <c r="I656" s="1422"/>
    </row>
    <row r="657" spans="1:15" ht="14.25" customHeight="1" x14ac:dyDescent="0.25">
      <c r="A657" s="1422"/>
      <c r="B657" s="1422"/>
      <c r="C657" s="1422"/>
      <c r="D657" s="1422"/>
      <c r="E657" s="1422"/>
      <c r="F657" s="1422"/>
      <c r="G657" s="1422"/>
      <c r="H657" s="1422"/>
      <c r="I657" s="1422"/>
    </row>
    <row r="658" spans="1:15" ht="14.25" customHeight="1" x14ac:dyDescent="0.25">
      <c r="A658" s="1422"/>
      <c r="B658" s="1422"/>
      <c r="C658" s="1422"/>
      <c r="D658" s="1422"/>
      <c r="E658" s="1422"/>
      <c r="F658" s="1422"/>
      <c r="G658" s="1422"/>
      <c r="H658" s="1422"/>
      <c r="I658" s="1422"/>
    </row>
    <row r="659" spans="1:15" ht="14.25" customHeight="1" x14ac:dyDescent="0.25">
      <c r="A659" s="1422"/>
      <c r="B659" s="1422"/>
      <c r="C659" s="1422"/>
      <c r="D659" s="1422"/>
      <c r="E659" s="1422"/>
      <c r="F659" s="1422"/>
      <c r="G659" s="1422"/>
      <c r="H659" s="1422"/>
      <c r="I659" s="1422"/>
    </row>
    <row r="660" spans="1:15" ht="14.25" customHeight="1" x14ac:dyDescent="0.25">
      <c r="A660" s="1422"/>
      <c r="B660" s="1422"/>
      <c r="C660" s="1422"/>
      <c r="D660" s="1422"/>
      <c r="E660" s="1422"/>
      <c r="F660" s="1422"/>
      <c r="G660" s="1422"/>
      <c r="H660" s="1422"/>
      <c r="I660" s="1422"/>
    </row>
    <row r="661" spans="1:15" ht="14.25" customHeight="1" x14ac:dyDescent="0.25">
      <c r="A661" s="1422"/>
      <c r="B661" s="1422"/>
      <c r="C661" s="1422"/>
      <c r="D661" s="1422"/>
      <c r="E661" s="1422"/>
      <c r="F661" s="1422"/>
      <c r="G661" s="1422"/>
      <c r="H661" s="1422"/>
      <c r="I661" s="1422"/>
    </row>
    <row r="662" spans="1:15" ht="15.75" customHeight="1" x14ac:dyDescent="0.25">
      <c r="A662" s="1397" t="s">
        <v>1034</v>
      </c>
      <c r="B662" s="1397"/>
      <c r="C662" s="1397"/>
      <c r="D662" s="1397"/>
      <c r="E662" s="1397"/>
      <c r="F662" s="1397"/>
      <c r="G662" s="1397"/>
      <c r="H662" s="1397"/>
      <c r="I662" s="1397"/>
    </row>
    <row r="663" spans="1:15" ht="14.25" customHeight="1" x14ac:dyDescent="0.25">
      <c r="A663" s="1422" t="str">
        <f>Unformatted!F670</f>
        <v/>
      </c>
      <c r="B663" s="1422"/>
      <c r="C663" s="1422"/>
      <c r="D663" s="1422"/>
      <c r="E663" s="1422"/>
      <c r="F663" s="1422"/>
      <c r="G663" s="1422"/>
      <c r="H663" s="1422"/>
      <c r="I663" s="1422"/>
    </row>
    <row r="664" spans="1:15" ht="14.25" customHeight="1" x14ac:dyDescent="0.25">
      <c r="A664" s="1422"/>
      <c r="B664" s="1422"/>
      <c r="C664" s="1422"/>
      <c r="D664" s="1422"/>
      <c r="E664" s="1422"/>
      <c r="F664" s="1422"/>
      <c r="G664" s="1422"/>
      <c r="H664" s="1422"/>
      <c r="I664" s="1422"/>
      <c r="J664" s="613"/>
      <c r="L664" s="613"/>
      <c r="N664" s="134"/>
      <c r="O664" s="134"/>
    </row>
    <row r="665" spans="1:15" ht="14.25" customHeight="1" x14ac:dyDescent="0.25">
      <c r="A665" s="1422"/>
      <c r="B665" s="1422"/>
      <c r="C665" s="1422"/>
      <c r="D665" s="1422"/>
      <c r="E665" s="1422"/>
      <c r="F665" s="1422"/>
      <c r="G665" s="1422"/>
      <c r="H665" s="1422"/>
      <c r="I665" s="1422"/>
      <c r="J665" s="613"/>
      <c r="L665" s="613"/>
      <c r="N665" s="134"/>
      <c r="O665" s="134"/>
    </row>
    <row r="666" spans="1:15" ht="14.25" customHeight="1" x14ac:dyDescent="0.25">
      <c r="A666" s="1422"/>
      <c r="B666" s="1422"/>
      <c r="C666" s="1422"/>
      <c r="D666" s="1422"/>
      <c r="E666" s="1422"/>
      <c r="F666" s="1422"/>
      <c r="G666" s="1422"/>
      <c r="H666" s="1422"/>
      <c r="I666" s="1422"/>
      <c r="J666" s="613"/>
      <c r="L666" s="607"/>
      <c r="N666" s="134"/>
      <c r="O666" s="134"/>
    </row>
    <row r="667" spans="1:15" ht="14.25" customHeight="1" x14ac:dyDescent="0.25">
      <c r="A667" s="1422"/>
      <c r="B667" s="1422"/>
      <c r="C667" s="1422"/>
      <c r="D667" s="1422"/>
      <c r="E667" s="1422"/>
      <c r="F667" s="1422"/>
      <c r="G667" s="1422"/>
      <c r="H667" s="1422"/>
      <c r="I667" s="1422"/>
    </row>
    <row r="668" spans="1:15" ht="14.25" customHeight="1" x14ac:dyDescent="0.25">
      <c r="A668" s="1422"/>
      <c r="B668" s="1422"/>
      <c r="C668" s="1422"/>
      <c r="D668" s="1422"/>
      <c r="E668" s="1422"/>
      <c r="F668" s="1422"/>
      <c r="G668" s="1422"/>
      <c r="H668" s="1422"/>
      <c r="I668" s="1422"/>
      <c r="J668" s="608"/>
      <c r="K668" s="608"/>
      <c r="L668" s="608"/>
      <c r="M668" s="608"/>
      <c r="N668" s="608"/>
    </row>
    <row r="669" spans="1:15" ht="14.25" customHeight="1" x14ac:dyDescent="0.25">
      <c r="A669" s="1422"/>
      <c r="B669" s="1422"/>
      <c r="C669" s="1422"/>
      <c r="D669" s="1422"/>
      <c r="E669" s="1422"/>
      <c r="F669" s="1422"/>
      <c r="G669" s="1422"/>
      <c r="H669" s="1422"/>
      <c r="I669" s="1422"/>
      <c r="J669" s="1"/>
      <c r="N669" s="608"/>
    </row>
    <row r="670" spans="1:15" ht="15.75" customHeight="1" x14ac:dyDescent="0.25">
      <c r="A670" s="1169" t="s">
        <v>1016</v>
      </c>
      <c r="B670" s="1169"/>
      <c r="C670" s="1169"/>
      <c r="D670" s="1169"/>
      <c r="E670" s="1169"/>
      <c r="F670" s="1169"/>
      <c r="G670" s="1169"/>
      <c r="H670" s="1169"/>
      <c r="I670" s="1169"/>
    </row>
    <row r="671" spans="1:15" ht="18.75" customHeight="1" x14ac:dyDescent="0.25">
      <c r="A671" s="308" t="s">
        <v>884</v>
      </c>
      <c r="B671"/>
      <c r="C671"/>
      <c r="D671"/>
      <c r="E671" s="313" t="s">
        <v>176</v>
      </c>
      <c r="F671" s="1386" t="s">
        <v>792</v>
      </c>
      <c r="G671" s="1386"/>
      <c r="H671" s="1386"/>
      <c r="I671" s="1386"/>
    </row>
    <row r="672" spans="1:15" ht="18.75" customHeight="1" x14ac:dyDescent="0.25">
      <c r="A672" s="311" t="s">
        <v>1096</v>
      </c>
      <c r="B672" s="312"/>
      <c r="C672" s="312"/>
      <c r="D672" s="312"/>
      <c r="E672" s="314" t="str">
        <f>Unformatted!G673</f>
        <v>N/A</v>
      </c>
      <c r="F672" s="1385" t="str">
        <f>Unformatted!H673</f>
        <v/>
      </c>
      <c r="G672" s="1385"/>
      <c r="H672" s="1385"/>
      <c r="I672" s="1385"/>
    </row>
    <row r="673" spans="1:10" ht="18.75" customHeight="1" x14ac:dyDescent="0.25">
      <c r="A673" s="311" t="s">
        <v>886</v>
      </c>
      <c r="B673" s="312"/>
      <c r="C673" s="312"/>
      <c r="D673" s="312"/>
      <c r="E673" s="314" t="str">
        <f>Unformatted!G674</f>
        <v>N/A</v>
      </c>
      <c r="F673" s="1385" t="str">
        <f>Unformatted!H674</f>
        <v/>
      </c>
      <c r="G673" s="1385"/>
      <c r="H673" s="1385"/>
      <c r="I673" s="1385"/>
    </row>
    <row r="674" spans="1:10" ht="18.75" customHeight="1" x14ac:dyDescent="0.25">
      <c r="A674" s="311" t="s">
        <v>1097</v>
      </c>
      <c r="B674" s="312"/>
      <c r="C674" s="312"/>
      <c r="D674" s="312"/>
      <c r="E674" s="314" t="str">
        <f>Unformatted!G675</f>
        <v>N/A</v>
      </c>
      <c r="F674" s="1385" t="str">
        <f>Unformatted!H675</f>
        <v/>
      </c>
      <c r="G674" s="1385"/>
      <c r="H674" s="1385"/>
      <c r="I674" s="1385"/>
    </row>
    <row r="675" spans="1:10" ht="18.75" customHeight="1" x14ac:dyDescent="0.25">
      <c r="A675" s="311" t="s">
        <v>1098</v>
      </c>
      <c r="B675" s="312"/>
      <c r="C675" s="312"/>
      <c r="D675" s="312"/>
      <c r="E675" s="314" t="str">
        <f>Unformatted!G676</f>
        <v>N/A</v>
      </c>
      <c r="F675" s="1385" t="str">
        <f>Unformatted!H676</f>
        <v/>
      </c>
      <c r="G675" s="1385"/>
      <c r="H675" s="1385"/>
      <c r="I675" s="1385"/>
    </row>
    <row r="676" spans="1:10" ht="18.75" customHeight="1" x14ac:dyDescent="0.25">
      <c r="A676" s="311" t="s">
        <v>1100</v>
      </c>
      <c r="B676" s="312"/>
      <c r="C676" s="312"/>
      <c r="D676" s="312"/>
      <c r="E676" s="314" t="str">
        <f>Unformatted!G677</f>
        <v>N/A</v>
      </c>
      <c r="F676" s="1385" t="str">
        <f>Unformatted!H677</f>
        <v/>
      </c>
      <c r="G676" s="1385"/>
      <c r="H676" s="1385"/>
      <c r="I676" s="1385"/>
    </row>
    <row r="677" spans="1:10" ht="18.75" customHeight="1" x14ac:dyDescent="0.25">
      <c r="A677" s="311" t="s">
        <v>1099</v>
      </c>
      <c r="B677" s="312"/>
      <c r="C677" s="312"/>
      <c r="D677" s="312"/>
      <c r="E677" s="314" t="str">
        <f>Unformatted!G678</f>
        <v>N/A</v>
      </c>
      <c r="F677" s="1385" t="str">
        <f>Unformatted!H678</f>
        <v/>
      </c>
      <c r="G677" s="1385"/>
      <c r="H677" s="1385"/>
      <c r="I677" s="1385"/>
    </row>
    <row r="678" spans="1:10" ht="18.75" customHeight="1" x14ac:dyDescent="0.25">
      <c r="A678" s="311" t="s">
        <v>1101</v>
      </c>
      <c r="B678" s="312"/>
      <c r="C678" s="312"/>
      <c r="D678" s="312"/>
      <c r="E678" s="314" t="str">
        <f>Unformatted!G679</f>
        <v>N/A</v>
      </c>
      <c r="F678" s="1385" t="str">
        <f>Unformatted!H679</f>
        <v/>
      </c>
      <c r="G678" s="1385"/>
      <c r="H678" s="1385"/>
      <c r="I678" s="1385"/>
    </row>
    <row r="679" spans="1:10" ht="18.75" customHeight="1" x14ac:dyDescent="0.25">
      <c r="A679" s="317" t="s">
        <v>885</v>
      </c>
      <c r="B679" s="223"/>
      <c r="C679" s="223"/>
      <c r="D679" s="223"/>
      <c r="E679" s="313" t="s">
        <v>176</v>
      </c>
      <c r="F679" s="1386" t="s">
        <v>792</v>
      </c>
      <c r="G679" s="1386"/>
      <c r="H679" s="1386"/>
      <c r="I679" s="1386"/>
    </row>
    <row r="680" spans="1:10" ht="18.75" customHeight="1" x14ac:dyDescent="0.35">
      <c r="A680" s="311" t="s">
        <v>1102</v>
      </c>
      <c r="B680" s="312"/>
      <c r="C680" s="312"/>
      <c r="D680" s="312"/>
      <c r="E680" s="314" t="str">
        <f>Unformatted!G680</f>
        <v>N/A</v>
      </c>
      <c r="F680" s="1385" t="str">
        <f>Unformatted!H680</f>
        <v/>
      </c>
      <c r="G680" s="1385"/>
      <c r="H680" s="1385"/>
      <c r="I680" s="1385"/>
      <c r="J680" s="204"/>
    </row>
    <row r="681" spans="1:10" ht="18.75" customHeight="1" x14ac:dyDescent="0.25">
      <c r="A681" s="311" t="s">
        <v>1103</v>
      </c>
      <c r="B681" s="312"/>
      <c r="C681" s="312"/>
      <c r="D681" s="312"/>
      <c r="E681" s="314" t="str">
        <f>Unformatted!G681</f>
        <v>N/A</v>
      </c>
      <c r="F681" s="1385" t="str">
        <f>Unformatted!H681</f>
        <v/>
      </c>
      <c r="G681" s="1385"/>
      <c r="H681" s="1385"/>
      <c r="I681" s="1385"/>
    </row>
    <row r="682" spans="1:10" ht="18.75" customHeight="1" x14ac:dyDescent="0.25">
      <c r="A682" s="311" t="s">
        <v>1107</v>
      </c>
      <c r="B682" s="312"/>
      <c r="C682" s="312"/>
      <c r="D682" s="312"/>
      <c r="E682" s="314" t="str">
        <f>Unformatted!G682</f>
        <v>N/A</v>
      </c>
      <c r="F682" s="1385" t="str">
        <f>Unformatted!H682</f>
        <v/>
      </c>
      <c r="G682" s="1385"/>
      <c r="H682" s="1385"/>
      <c r="I682" s="1385"/>
    </row>
    <row r="683" spans="1:10" ht="18.75" customHeight="1" x14ac:dyDescent="0.25">
      <c r="A683" s="311" t="s">
        <v>1104</v>
      </c>
      <c r="B683" s="312"/>
      <c r="C683" s="312"/>
      <c r="D683" s="312"/>
      <c r="E683" s="314" t="str">
        <f>Unformatted!G683</f>
        <v>N/A</v>
      </c>
      <c r="F683" s="1385" t="str">
        <f>Unformatted!H683</f>
        <v/>
      </c>
      <c r="G683" s="1385"/>
      <c r="H683" s="1385"/>
      <c r="I683" s="1385"/>
    </row>
    <row r="684" spans="1:10" ht="18.75" customHeight="1" x14ac:dyDescent="0.25">
      <c r="A684" s="311" t="s">
        <v>1046</v>
      </c>
      <c r="B684" s="312"/>
      <c r="C684" s="312"/>
      <c r="D684" s="312"/>
      <c r="E684" s="314" t="str">
        <f>Unformatted!G684</f>
        <v>N/A</v>
      </c>
      <c r="F684" s="1385" t="str">
        <f>Unformatted!H684</f>
        <v/>
      </c>
      <c r="G684" s="1385"/>
      <c r="H684" s="1385"/>
      <c r="I684" s="1385"/>
    </row>
    <row r="685" spans="1:10" ht="18.75" customHeight="1" x14ac:dyDescent="0.25">
      <c r="A685" s="311" t="s">
        <v>1072</v>
      </c>
      <c r="B685" s="312"/>
      <c r="C685" s="312"/>
      <c r="D685" s="312"/>
      <c r="E685" s="314" t="str">
        <f>Unformatted!G685</f>
        <v>N/A</v>
      </c>
      <c r="F685" s="1385" t="str">
        <f>Unformatted!H685</f>
        <v/>
      </c>
      <c r="G685" s="1385"/>
      <c r="H685" s="1385"/>
      <c r="I685" s="1385"/>
    </row>
    <row r="686" spans="1:10" ht="18.75" customHeight="1" x14ac:dyDescent="0.25">
      <c r="A686" s="311" t="s">
        <v>1105</v>
      </c>
      <c r="B686" s="312"/>
      <c r="C686" s="312"/>
      <c r="D686" s="312"/>
      <c r="E686" s="314" t="str">
        <f>Unformatted!G686</f>
        <v>N/A</v>
      </c>
      <c r="F686" s="1385" t="str">
        <f>Unformatted!H686</f>
        <v/>
      </c>
      <c r="G686" s="1385"/>
      <c r="H686" s="1385"/>
      <c r="I686" s="1385"/>
    </row>
    <row r="687" spans="1:10" ht="18.75" customHeight="1" x14ac:dyDescent="0.25">
      <c r="A687" s="310" t="s">
        <v>1106</v>
      </c>
      <c r="B687" s="312"/>
      <c r="C687" s="312"/>
      <c r="D687" s="312"/>
      <c r="E687" s="314" t="str">
        <f>Unformatted!G687</f>
        <v>N/A</v>
      </c>
      <c r="F687" s="1385" t="str">
        <f>Unformatted!H687</f>
        <v/>
      </c>
      <c r="G687" s="1385"/>
      <c r="H687" s="1385"/>
      <c r="I687" s="1385"/>
    </row>
    <row r="688" spans="1:10" ht="7.5" customHeight="1" x14ac:dyDescent="0.25"/>
    <row r="689" spans="1:9" ht="18.75" customHeight="1" x14ac:dyDescent="0.25"/>
    <row r="690" spans="1:9" ht="18.75" customHeight="1" x14ac:dyDescent="0.25">
      <c r="A690" s="1169" t="s">
        <v>1017</v>
      </c>
      <c r="B690" s="1169"/>
      <c r="C690" s="1169"/>
      <c r="D690" s="1169"/>
      <c r="E690" s="1169"/>
      <c r="F690" s="1169"/>
      <c r="G690" s="1169"/>
      <c r="H690" s="1169"/>
      <c r="I690" s="1169"/>
    </row>
    <row r="691" spans="1:9" ht="18.75" customHeight="1" x14ac:dyDescent="0.25">
      <c r="A691" s="67" t="s">
        <v>1052</v>
      </c>
      <c r="B691" s="181"/>
      <c r="C691" s="181"/>
      <c r="D691" s="181"/>
      <c r="E691" s="181"/>
      <c r="F691" s="181"/>
      <c r="G691" s="181"/>
      <c r="H691" s="181"/>
      <c r="I691" s="181"/>
    </row>
    <row r="692" spans="1:9" ht="18.75" customHeight="1" x14ac:dyDescent="0.25">
      <c r="A692" s="1123" t="s">
        <v>1018</v>
      </c>
      <c r="B692" s="1123"/>
      <c r="C692" s="1123"/>
      <c r="D692"/>
      <c r="E692" s="244" t="s">
        <v>1022</v>
      </c>
      <c r="F692"/>
      <c r="G692"/>
      <c r="H692"/>
      <c r="I692"/>
    </row>
    <row r="693" spans="1:9" ht="7.35" customHeight="1" x14ac:dyDescent="0.25">
      <c r="A693"/>
      <c r="B693"/>
      <c r="C693"/>
      <c r="D693"/>
      <c r="E693"/>
      <c r="F693"/>
      <c r="G693"/>
      <c r="H693"/>
      <c r="I693"/>
    </row>
    <row r="694" spans="1:9" ht="18.75" customHeight="1" x14ac:dyDescent="0.25">
      <c r="A694"/>
      <c r="B694" s="110" t="s">
        <v>365</v>
      </c>
      <c r="C694" s="298" t="str">
        <f>Unformatted!E719</f>
        <v>N/A</v>
      </c>
      <c r="D694"/>
      <c r="E694"/>
      <c r="F694" s="36" t="s">
        <v>1023</v>
      </c>
      <c r="G694" t="str">
        <f>Unformatted!E775</f>
        <v>No Coupling</v>
      </c>
      <c r="H694" s="37"/>
      <c r="I694" s="37"/>
    </row>
    <row r="695" spans="1:9" ht="18.75" customHeight="1" x14ac:dyDescent="0.25">
      <c r="A695" s="976" t="s">
        <v>1019</v>
      </c>
      <c r="B695" s="1447"/>
      <c r="C695" s="298" t="str">
        <f>Unformatted!E718</f>
        <v>N/A</v>
      </c>
      <c r="D695"/>
      <c r="E695"/>
      <c r="F695" s="36" t="s">
        <v>1024</v>
      </c>
      <c r="G695" t="str">
        <f>Unformatted!E776</f>
        <v>N/A</v>
      </c>
      <c r="H695"/>
      <c r="I695"/>
    </row>
    <row r="696" spans="1:9" ht="18.75" customHeight="1" x14ac:dyDescent="0.25">
      <c r="A696"/>
      <c r="B696" s="110" t="s">
        <v>598</v>
      </c>
      <c r="C696" s="298" t="str">
        <f>Unformatted!E721</f>
        <v>N/A</v>
      </c>
      <c r="D696"/>
      <c r="E696"/>
      <c r="F696"/>
      <c r="G696"/>
      <c r="H696"/>
      <c r="I696"/>
    </row>
    <row r="697" spans="1:9" ht="18.75" customHeight="1" x14ac:dyDescent="0.25">
      <c r="A697"/>
      <c r="B697" s="110" t="s">
        <v>1021</v>
      </c>
      <c r="C697" s="298" t="str">
        <f>Unformatted!E722</f>
        <v>N/A</v>
      </c>
      <c r="D697"/>
      <c r="E697" s="1448" t="s">
        <v>1028</v>
      </c>
      <c r="F697" s="1449"/>
      <c r="G697" s="298" t="str">
        <f>Unformatted!E728</f>
        <v>N/A</v>
      </c>
      <c r="H697"/>
      <c r="I697"/>
    </row>
    <row r="698" spans="1:9" ht="18.75" customHeight="1" x14ac:dyDescent="0.25">
      <c r="A698" s="976" t="s">
        <v>937</v>
      </c>
      <c r="B698" s="1447"/>
      <c r="C698" s="298" t="str">
        <f>Unformatted!E723</f>
        <v>N/A</v>
      </c>
      <c r="D698"/>
      <c r="E698" s="1448" t="s">
        <v>1029</v>
      </c>
      <c r="F698" s="1449"/>
      <c r="G698" s="298" t="str">
        <f>Unformatted!E729</f>
        <v>N/A</v>
      </c>
      <c r="H698"/>
      <c r="I698"/>
    </row>
    <row r="699" spans="1:9" ht="18.75" customHeight="1" x14ac:dyDescent="0.25">
      <c r="A699" s="976" t="s">
        <v>1020</v>
      </c>
      <c r="B699" s="1447"/>
      <c r="C699" s="298" t="str">
        <f>Unformatted!E720</f>
        <v>N/A</v>
      </c>
      <c r="D699"/>
      <c r="E699"/>
      <c r="F699"/>
      <c r="G699"/>
      <c r="H699"/>
      <c r="I699"/>
    </row>
    <row r="700" spans="1:9" ht="7.35" customHeight="1" x14ac:dyDescent="0.25">
      <c r="A700"/>
      <c r="B700"/>
      <c r="C700"/>
      <c r="D700"/>
      <c r="E700"/>
      <c r="F700"/>
      <c r="G700"/>
      <c r="H700"/>
      <c r="I700"/>
    </row>
    <row r="701" spans="1:9" ht="18.75" customHeight="1" x14ac:dyDescent="0.25">
      <c r="A701" s="1417" t="s">
        <v>1051</v>
      </c>
      <c r="B701" s="1417"/>
      <c r="C701" s="1417"/>
      <c r="D701" s="1417"/>
      <c r="E701" s="1417"/>
      <c r="F701" s="1417"/>
      <c r="G701" s="1417"/>
      <c r="H701" s="1417"/>
      <c r="I701" s="1417"/>
    </row>
    <row r="702" spans="1:9" ht="7.35" customHeight="1" x14ac:dyDescent="0.25">
      <c r="A702" s="67"/>
      <c r="B702" s="67"/>
      <c r="C702" s="67"/>
      <c r="D702" s="67"/>
      <c r="E702"/>
      <c r="F702" s="45"/>
      <c r="G702" s="45"/>
      <c r="H702" s="45"/>
      <c r="I702" s="45"/>
    </row>
    <row r="703" spans="1:9" ht="18.75" customHeight="1" x14ac:dyDescent="0.25">
      <c r="A703"/>
      <c r="B703" s="36" t="s">
        <v>295</v>
      </c>
      <c r="C703" s="9" t="str">
        <f>Unformatted!E705</f>
        <v>ERROR</v>
      </c>
      <c r="D703"/>
      <c r="E703"/>
      <c r="F703"/>
      <c r="G703"/>
      <c r="H703"/>
      <c r="I703"/>
    </row>
    <row r="704" spans="1:9" ht="18.75" customHeight="1" x14ac:dyDescent="0.25">
      <c r="A704"/>
      <c r="B704" s="36" t="str">
        <f>"Nameplate Current:"</f>
        <v>Nameplate Current:</v>
      </c>
      <c r="C704" s="9" t="str">
        <f>Unformatted!E706</f>
        <v>ERROR</v>
      </c>
      <c r="D704"/>
      <c r="E704"/>
      <c r="F704" s="67"/>
      <c r="G704"/>
      <c r="H704"/>
      <c r="I704"/>
    </row>
    <row r="705" spans="1:9" ht="18.75" customHeight="1" x14ac:dyDescent="0.25">
      <c r="A705"/>
      <c r="B705" s="36" t="s">
        <v>1583</v>
      </c>
      <c r="C705" t="str">
        <f>IF(Unformatted!E709 = "N/A", "N/A","A = " &amp; Unformatted!E709 &amp; "A, B =  " &amp; Unformatted!F709 &amp; "A, C =  " &amp; Unformatted!G709 &amp;"A")</f>
        <v>N/A</v>
      </c>
      <c r="D705"/>
      <c r="E705"/>
      <c r="F705"/>
      <c r="G705"/>
      <c r="H705"/>
      <c r="I705"/>
    </row>
    <row r="706" spans="1:9" ht="18.75" customHeight="1" x14ac:dyDescent="0.25">
      <c r="A706"/>
      <c r="B706" s="36" t="s">
        <v>1030</v>
      </c>
      <c r="C706" t="str">
        <f>IF(Unformatted!E722=TRUE," YES",IF(Unformatted!E719=0,"NO","N/A"))</f>
        <v>N/A</v>
      </c>
      <c r="D706"/>
      <c r="E706"/>
      <c r="F706"/>
      <c r="G706"/>
      <c r="H706"/>
      <c r="I706"/>
    </row>
    <row r="707" spans="1:9" ht="7.35" customHeight="1" x14ac:dyDescent="0.25">
      <c r="A707"/>
      <c r="B707"/>
      <c r="C707"/>
      <c r="D707"/>
      <c r="E707"/>
      <c r="F707"/>
      <c r="G707" s="146" t="str">
        <f>IF(OR(Unformatted!F728&gt;Tolerances!AE335,Unformatted!G728&gt;Tolerances!AE335,Unformatted!F729&gt;Tolerances!AE335,Unformatted!G729&gt;Tolerances!AE335,Unformatted!H728&gt;Tolerances!AE335),"Excessive vibration recorded","")</f>
        <v/>
      </c>
      <c r="H707"/>
      <c r="I707"/>
    </row>
    <row r="708" spans="1:9" x14ac:dyDescent="0.25">
      <c r="A708" s="246" t="s">
        <v>371</v>
      </c>
      <c r="B708"/>
      <c r="C708"/>
      <c r="D708"/>
      <c r="E708"/>
      <c r="F708"/>
      <c r="G708" s="146"/>
      <c r="H708"/>
      <c r="I708" s="247"/>
    </row>
    <row r="709" spans="1:9" ht="7.35" customHeight="1" x14ac:dyDescent="0.25">
      <c r="A709"/>
      <c r="B709"/>
      <c r="C709"/>
      <c r="D709"/>
      <c r="E709"/>
      <c r="F709"/>
      <c r="G709" s="146"/>
      <c r="H709" s="247"/>
      <c r="I709" s="247"/>
    </row>
    <row r="710" spans="1:9" s="308" customFormat="1" ht="18.75" customHeight="1" x14ac:dyDescent="0.25">
      <c r="A710"/>
      <c r="B710" s="293" t="s">
        <v>69</v>
      </c>
      <c r="C710" s="293" t="s">
        <v>370</v>
      </c>
      <c r="D710" s="293" t="s">
        <v>70</v>
      </c>
      <c r="E710"/>
      <c r="F710"/>
      <c r="G710"/>
      <c r="H710"/>
      <c r="I710"/>
    </row>
    <row r="711" spans="1:9" ht="18.75" customHeight="1" x14ac:dyDescent="0.25">
      <c r="A711" s="36" t="s">
        <v>285</v>
      </c>
      <c r="B711" s="21" t="str">
        <f>Unformatted!F715</f>
        <v>N/A</v>
      </c>
      <c r="C711" s="21" t="str">
        <f>Unformatted!F714</f>
        <v>N/A</v>
      </c>
      <c r="D711" s="1446" t="str">
        <f>Unformatted!F716</f>
        <v>N/A</v>
      </c>
      <c r="E711" s="13"/>
      <c r="F711" s="19"/>
      <c r="G711"/>
      <c r="H711"/>
      <c r="I711"/>
    </row>
    <row r="712" spans="1:9" ht="18.75" customHeight="1" x14ac:dyDescent="0.25">
      <c r="A712" s="36" t="s">
        <v>286</v>
      </c>
      <c r="B712" s="21" t="str">
        <f>Unformatted!G715</f>
        <v>N/A</v>
      </c>
      <c r="C712" s="21" t="str">
        <f>Unformatted!G714</f>
        <v>N/A</v>
      </c>
      <c r="D712" s="1446"/>
      <c r="E712" s="13"/>
      <c r="F712" s="19"/>
      <c r="G712"/>
      <c r="H712"/>
      <c r="I712"/>
    </row>
    <row r="713" spans="1:9" ht="7.35" customHeight="1" x14ac:dyDescent="0.25">
      <c r="A713"/>
      <c r="B713"/>
      <c r="C713" s="36"/>
      <c r="D713" s="13"/>
      <c r="E713" s="13"/>
      <c r="F713" s="19"/>
      <c r="G713"/>
      <c r="H713"/>
      <c r="I713"/>
    </row>
    <row r="714" spans="1:9" ht="18.75" customHeight="1" x14ac:dyDescent="0.25">
      <c r="A714" s="244" t="s">
        <v>1053</v>
      </c>
      <c r="B714"/>
      <c r="C714" s="36"/>
      <c r="D714" s="13"/>
      <c r="E714" s="13"/>
      <c r="F714" s="19"/>
      <c r="G714"/>
      <c r="H714"/>
      <c r="I714"/>
    </row>
    <row r="715" spans="1:9" ht="7.35" customHeight="1" x14ac:dyDescent="0.25">
      <c r="A715"/>
      <c r="B715" s="318"/>
      <c r="C715" s="318"/>
      <c r="D715" s="318"/>
      <c r="E715" s="13"/>
      <c r="F715" s="19"/>
      <c r="G715"/>
      <c r="H715"/>
      <c r="I715"/>
    </row>
    <row r="716" spans="1:9" ht="18.75" customHeight="1" x14ac:dyDescent="0.25">
      <c r="A716"/>
      <c r="B716" s="248" t="s">
        <v>441</v>
      </c>
      <c r="C716" s="248" t="s">
        <v>442</v>
      </c>
      <c r="D716" s="248" t="s">
        <v>797</v>
      </c>
      <c r="E716" s="13"/>
      <c r="F716" s="19"/>
      <c r="G716"/>
      <c r="H716"/>
      <c r="I716"/>
    </row>
    <row r="717" spans="1:9" s="315" customFormat="1" ht="18.75" customHeight="1" x14ac:dyDescent="0.25">
      <c r="A717" s="299" t="s">
        <v>1049</v>
      </c>
      <c r="B717" s="245" t="str">
        <f>Unformatted!F711</f>
        <v>N/A</v>
      </c>
      <c r="C717" s="245" t="str">
        <f>Unformatted!G711</f>
        <v>N/A</v>
      </c>
      <c r="D717" s="245" t="str">
        <f>Unformatted!H711</f>
        <v>N/A</v>
      </c>
      <c r="E717" s="13"/>
      <c r="F717" s="19"/>
      <c r="G717"/>
      <c r="H717"/>
      <c r="I717"/>
    </row>
    <row r="718" spans="1:9" ht="18.75" customHeight="1" x14ac:dyDescent="0.25">
      <c r="A718" s="299" t="s">
        <v>1050</v>
      </c>
      <c r="B718" s="245" t="str">
        <f>Unformatted!F712</f>
        <v>N/A</v>
      </c>
      <c r="C718" s="245" t="str">
        <f>Unformatted!G712</f>
        <v>N/A</v>
      </c>
      <c r="D718" s="245" t="str">
        <f>Unformatted!H712</f>
        <v>N/A</v>
      </c>
      <c r="E718" s="13"/>
      <c r="F718" s="19"/>
      <c r="G718"/>
      <c r="H718"/>
      <c r="I718"/>
    </row>
    <row r="719" spans="1:9" ht="7.35" customHeight="1" x14ac:dyDescent="0.25"/>
    <row r="720" spans="1:9" ht="18.75" customHeight="1" x14ac:dyDescent="0.25">
      <c r="A720" s="309" t="s">
        <v>1580</v>
      </c>
      <c r="B720" s="309"/>
      <c r="C720" s="309"/>
      <c r="D720" s="309"/>
      <c r="E720" s="316" t="s">
        <v>176</v>
      </c>
      <c r="F720" s="1386" t="s">
        <v>792</v>
      </c>
      <c r="G720" s="1386"/>
      <c r="H720" s="1386"/>
      <c r="I720" s="1386"/>
    </row>
    <row r="721" spans="1:9" ht="18" customHeight="1" x14ac:dyDescent="0.25">
      <c r="A721" s="1410" t="s">
        <v>879</v>
      </c>
      <c r="B721" s="1410"/>
      <c r="C721" s="1410"/>
      <c r="D721" s="1410"/>
      <c r="E721" s="314" t="str">
        <f>Unformatted!F697</f>
        <v>N/A</v>
      </c>
      <c r="F721" s="1385" t="str">
        <f>Unformatted!G697</f>
        <v/>
      </c>
      <c r="G721" s="1385"/>
      <c r="H721" s="1385"/>
      <c r="I721" s="1385"/>
    </row>
    <row r="722" spans="1:9" ht="18" customHeight="1" x14ac:dyDescent="0.25">
      <c r="A722" s="1410" t="s">
        <v>801</v>
      </c>
      <c r="B722" s="1410"/>
      <c r="C722" s="1410"/>
      <c r="D722" s="1410"/>
      <c r="E722" s="314" t="str">
        <f>Unformatted!F698</f>
        <v>N/A</v>
      </c>
      <c r="F722" s="1385" t="str">
        <f>Unformatted!G698</f>
        <v/>
      </c>
      <c r="G722" s="1385"/>
      <c r="H722" s="1385"/>
      <c r="I722" s="1385"/>
    </row>
    <row r="723" spans="1:9" ht="18" customHeight="1" x14ac:dyDescent="0.25">
      <c r="A723" s="1410" t="s">
        <v>793</v>
      </c>
      <c r="B723" s="1410"/>
      <c r="C723" s="1410"/>
      <c r="D723" s="1410"/>
      <c r="E723" s="314" t="str">
        <f>Unformatted!F699</f>
        <v>N/A</v>
      </c>
      <c r="F723" s="1385" t="str">
        <f>Unformatted!G699</f>
        <v/>
      </c>
      <c r="G723" s="1385"/>
      <c r="H723" s="1385"/>
      <c r="I723" s="1385"/>
    </row>
    <row r="724" spans="1:9" ht="18" customHeight="1" x14ac:dyDescent="0.25">
      <c r="A724" s="1410" t="s">
        <v>794</v>
      </c>
      <c r="B724" s="1410"/>
      <c r="C724" s="1410"/>
      <c r="D724" s="1410"/>
      <c r="E724" s="314" t="str">
        <f>Unformatted!F700</f>
        <v>N/A</v>
      </c>
      <c r="F724" s="1385" t="str">
        <f>Unformatted!G700</f>
        <v/>
      </c>
      <c r="G724" s="1385"/>
      <c r="H724" s="1385"/>
      <c r="I724" s="1385"/>
    </row>
    <row r="725" spans="1:9" ht="18" customHeight="1" x14ac:dyDescent="0.25">
      <c r="A725" s="1410" t="s">
        <v>1044</v>
      </c>
      <c r="B725" s="1410"/>
      <c r="C725" s="1410"/>
      <c r="D725" s="1410"/>
      <c r="E725" s="314" t="str">
        <f>Unformatted!F701</f>
        <v>N/A</v>
      </c>
      <c r="F725" s="1385" t="str">
        <f>Unformatted!G701</f>
        <v/>
      </c>
      <c r="G725" s="1385"/>
      <c r="H725" s="1385"/>
      <c r="I725" s="1385"/>
    </row>
    <row r="726" spans="1:9" ht="18" customHeight="1" x14ac:dyDescent="0.25">
      <c r="A726" s="1410" t="s">
        <v>1054</v>
      </c>
      <c r="B726" s="1410"/>
      <c r="C726" s="1410"/>
      <c r="D726" s="1410"/>
      <c r="E726" s="314" t="str">
        <f>Unformatted!F702</f>
        <v>N/A</v>
      </c>
      <c r="F726" s="1385" t="str">
        <f>Unformatted!G702</f>
        <v/>
      </c>
      <c r="G726" s="1385"/>
      <c r="H726" s="1385"/>
      <c r="I726" s="1385"/>
    </row>
    <row r="727" spans="1:9" ht="7.5" customHeight="1" x14ac:dyDescent="0.25"/>
    <row r="728" spans="1:9" ht="15.75" x14ac:dyDescent="0.25">
      <c r="A728" s="1450" t="s">
        <v>1582</v>
      </c>
      <c r="B728" s="1450"/>
      <c r="C728" s="1450"/>
      <c r="D728" s="1450"/>
      <c r="E728" s="1450"/>
      <c r="F728" s="1450"/>
      <c r="G728" s="1450"/>
      <c r="H728" s="1450"/>
      <c r="I728" s="1450"/>
    </row>
    <row r="729" spans="1:9" x14ac:dyDescent="0.25">
      <c r="A729" s="1113"/>
      <c r="B729" s="1114"/>
      <c r="C729" s="1114"/>
      <c r="D729" s="1114"/>
      <c r="E729" s="1114"/>
      <c r="F729" s="1114"/>
      <c r="G729" s="1114"/>
      <c r="H729" s="1114"/>
      <c r="I729" s="1115"/>
    </row>
    <row r="730" spans="1:9" x14ac:dyDescent="0.25">
      <c r="A730" s="1116"/>
      <c r="B730" s="1117"/>
      <c r="C730" s="1117"/>
      <c r="D730" s="1117"/>
      <c r="E730" s="1117"/>
      <c r="F730" s="1117"/>
      <c r="G730" s="1117"/>
      <c r="H730" s="1117"/>
      <c r="I730" s="1118"/>
    </row>
    <row r="731" spans="1:9" x14ac:dyDescent="0.25">
      <c r="A731" s="1116"/>
      <c r="B731" s="1117"/>
      <c r="C731" s="1117"/>
      <c r="D731" s="1117"/>
      <c r="E731" s="1117"/>
      <c r="F731" s="1117"/>
      <c r="G731" s="1117"/>
      <c r="H731" s="1117"/>
      <c r="I731" s="1118"/>
    </row>
    <row r="732" spans="1:9" x14ac:dyDescent="0.25">
      <c r="A732" s="1116"/>
      <c r="B732" s="1117"/>
      <c r="C732" s="1117"/>
      <c r="D732" s="1117"/>
      <c r="E732" s="1117"/>
      <c r="F732" s="1117"/>
      <c r="G732" s="1117"/>
      <c r="H732" s="1117"/>
      <c r="I732" s="1118"/>
    </row>
    <row r="733" spans="1:9" x14ac:dyDescent="0.25">
      <c r="A733" s="1116"/>
      <c r="B733" s="1117"/>
      <c r="C733" s="1117"/>
      <c r="D733" s="1117"/>
      <c r="E733" s="1117"/>
      <c r="F733" s="1117"/>
      <c r="G733" s="1117"/>
      <c r="H733" s="1117"/>
      <c r="I733" s="1118"/>
    </row>
    <row r="734" spans="1:9" ht="7.5" customHeight="1" x14ac:dyDescent="0.25">
      <c r="A734" s="1116"/>
      <c r="B734" s="1117"/>
      <c r="C734" s="1117"/>
      <c r="D734" s="1117"/>
      <c r="E734" s="1117"/>
      <c r="F734" s="1117"/>
      <c r="G734" s="1117"/>
      <c r="H734" s="1117"/>
      <c r="I734" s="1118"/>
    </row>
    <row r="735" spans="1:9" x14ac:dyDescent="0.25">
      <c r="A735" s="1116"/>
      <c r="B735" s="1117"/>
      <c r="C735" s="1117"/>
      <c r="D735" s="1117"/>
      <c r="E735" s="1117"/>
      <c r="F735" s="1117"/>
      <c r="G735" s="1117"/>
      <c r="H735" s="1117"/>
      <c r="I735" s="1118"/>
    </row>
    <row r="736" spans="1:9" ht="7.5" customHeight="1" x14ac:dyDescent="0.25">
      <c r="A736" s="1116"/>
      <c r="B736" s="1117"/>
      <c r="C736" s="1117"/>
      <c r="D736" s="1117"/>
      <c r="E736" s="1117"/>
      <c r="F736" s="1117"/>
      <c r="G736" s="1117"/>
      <c r="H736" s="1117"/>
      <c r="I736" s="1118"/>
    </row>
    <row r="737" spans="1:9" x14ac:dyDescent="0.25">
      <c r="A737" s="1116"/>
      <c r="B737" s="1117"/>
      <c r="C737" s="1117"/>
      <c r="D737" s="1117"/>
      <c r="E737" s="1117"/>
      <c r="F737" s="1117"/>
      <c r="G737" s="1117"/>
      <c r="H737" s="1117"/>
      <c r="I737" s="1118"/>
    </row>
    <row r="738" spans="1:9" x14ac:dyDescent="0.25">
      <c r="A738" s="1116"/>
      <c r="B738" s="1117"/>
      <c r="C738" s="1117"/>
      <c r="D738" s="1117"/>
      <c r="E738" s="1117"/>
      <c r="F738" s="1117"/>
      <c r="G738" s="1117"/>
      <c r="H738" s="1117"/>
      <c r="I738" s="1118"/>
    </row>
    <row r="739" spans="1:9" x14ac:dyDescent="0.25">
      <c r="A739" s="1116"/>
      <c r="B739" s="1117"/>
      <c r="C739" s="1117"/>
      <c r="D739" s="1117"/>
      <c r="E739" s="1117"/>
      <c r="F739" s="1117"/>
      <c r="G739" s="1117"/>
      <c r="H739" s="1117"/>
      <c r="I739" s="1118"/>
    </row>
    <row r="740" spans="1:9" x14ac:dyDescent="0.25">
      <c r="A740" s="1116"/>
      <c r="B740" s="1117"/>
      <c r="C740" s="1117"/>
      <c r="D740" s="1117"/>
      <c r="E740" s="1117"/>
      <c r="F740" s="1117"/>
      <c r="G740" s="1117"/>
      <c r="H740" s="1117"/>
      <c r="I740" s="1118"/>
    </row>
    <row r="741" spans="1:9" ht="6" customHeight="1" x14ac:dyDescent="0.25">
      <c r="A741" s="1119"/>
      <c r="B741" s="1120"/>
      <c r="C741" s="1120"/>
      <c r="D741" s="1120"/>
      <c r="E741" s="1120"/>
      <c r="F741" s="1120"/>
      <c r="G741" s="1120"/>
      <c r="H741" s="1120"/>
      <c r="I741" s="1121"/>
    </row>
    <row r="742" spans="1:9" ht="18.75" customHeight="1" x14ac:dyDescent="0.25">
      <c r="A742" s="874" t="s">
        <v>1031</v>
      </c>
      <c r="B742" s="872"/>
      <c r="C742" s="872"/>
      <c r="D742" s="872"/>
      <c r="E742" s="872"/>
      <c r="F742" s="872"/>
      <c r="G742" s="872"/>
      <c r="H742" s="872"/>
      <c r="I742" s="872"/>
    </row>
    <row r="743" spans="1:9" ht="18.75" customHeight="1" x14ac:dyDescent="0.25">
      <c r="A743" s="309" t="s">
        <v>1033</v>
      </c>
      <c r="B743" s="609"/>
      <c r="C743" s="609"/>
      <c r="D743" s="609"/>
      <c r="E743" s="878" t="s">
        <v>176</v>
      </c>
      <c r="F743" s="1386" t="s">
        <v>792</v>
      </c>
      <c r="G743" s="1386"/>
      <c r="H743" s="1386"/>
      <c r="I743" s="1386"/>
    </row>
    <row r="744" spans="1:9" ht="18.75" customHeight="1" x14ac:dyDescent="0.25">
      <c r="A744" s="310" t="s">
        <v>776</v>
      </c>
      <c r="B744" s="312"/>
      <c r="C744" s="312"/>
      <c r="D744" s="312"/>
      <c r="E744" s="314" t="str">
        <f>Unformatted!F742</f>
        <v>N/A</v>
      </c>
      <c r="F744" s="1385" t="str">
        <f>Unformatted!G742</f>
        <v/>
      </c>
      <c r="G744" s="1385"/>
      <c r="H744" s="1385"/>
      <c r="I744" s="1385"/>
    </row>
    <row r="745" spans="1:9" ht="18.75" customHeight="1" x14ac:dyDescent="0.25">
      <c r="A745" s="310" t="s">
        <v>1057</v>
      </c>
      <c r="B745" s="312"/>
      <c r="C745" s="312"/>
      <c r="D745" s="312"/>
      <c r="E745" s="314" t="str">
        <f>Unformatted!F743</f>
        <v>N/A</v>
      </c>
      <c r="F745" s="1385" t="str">
        <f>Unformatted!G743</f>
        <v/>
      </c>
      <c r="G745" s="1385"/>
      <c r="H745" s="1385"/>
      <c r="I745" s="1385"/>
    </row>
    <row r="746" spans="1:9" ht="18.75" customHeight="1" x14ac:dyDescent="0.25">
      <c r="A746" s="310" t="s">
        <v>784</v>
      </c>
      <c r="B746" s="312"/>
      <c r="C746" s="312"/>
      <c r="D746" s="312"/>
      <c r="E746" s="314" t="str">
        <f>Unformatted!F744</f>
        <v>N/A</v>
      </c>
      <c r="F746" s="1385" t="str">
        <f>Unformatted!G744</f>
        <v/>
      </c>
      <c r="G746" s="1385"/>
      <c r="H746" s="1385"/>
      <c r="I746" s="1385"/>
    </row>
    <row r="747" spans="1:9" ht="18.75" customHeight="1" x14ac:dyDescent="0.25">
      <c r="A747" s="310" t="s">
        <v>1109</v>
      </c>
      <c r="B747" s="312"/>
      <c r="C747" s="312"/>
      <c r="D747" s="312"/>
      <c r="E747" s="314" t="str">
        <f>Unformatted!F745</f>
        <v>N/A</v>
      </c>
      <c r="F747" s="1385" t="str">
        <f>Unformatted!G745</f>
        <v/>
      </c>
      <c r="G747" s="1385"/>
      <c r="H747" s="1385"/>
      <c r="I747" s="1385"/>
    </row>
    <row r="748" spans="1:9" ht="18.75" customHeight="1" x14ac:dyDescent="0.25">
      <c r="A748" s="309" t="s">
        <v>1032</v>
      </c>
      <c r="B748" s="223"/>
      <c r="C748" s="223"/>
      <c r="D748" s="223"/>
      <c r="E748" s="316" t="s">
        <v>176</v>
      </c>
      <c r="F748" s="1386" t="s">
        <v>792</v>
      </c>
      <c r="G748" s="1386"/>
      <c r="H748" s="1386"/>
      <c r="I748" s="1386"/>
    </row>
    <row r="749" spans="1:9" ht="18.75" customHeight="1" x14ac:dyDescent="0.25">
      <c r="A749" s="310" t="s">
        <v>1108</v>
      </c>
      <c r="B749" s="312"/>
      <c r="C749" s="312"/>
      <c r="D749" s="312"/>
      <c r="E749" s="314" t="str">
        <f>Unformatted!F733</f>
        <v>N/A</v>
      </c>
      <c r="F749" s="1385" t="str">
        <f>Unformatted!G733</f>
        <v/>
      </c>
      <c r="G749" s="1385"/>
      <c r="H749" s="1385"/>
      <c r="I749" s="1385"/>
    </row>
    <row r="750" spans="1:9" ht="18.75" customHeight="1" x14ac:dyDescent="0.25">
      <c r="A750" s="310" t="s">
        <v>778</v>
      </c>
      <c r="B750" s="312"/>
      <c r="C750" s="312"/>
      <c r="D750" s="312"/>
      <c r="E750" s="314" t="str">
        <f>Unformatted!F734</f>
        <v>N/A</v>
      </c>
      <c r="F750" s="1385" t="str">
        <f>Unformatted!G734</f>
        <v/>
      </c>
      <c r="G750" s="1385"/>
      <c r="H750" s="1385"/>
      <c r="I750" s="1385"/>
    </row>
    <row r="751" spans="1:9" ht="18.75" customHeight="1" x14ac:dyDescent="0.25">
      <c r="A751" s="310" t="s">
        <v>970</v>
      </c>
      <c r="B751" s="312"/>
      <c r="C751" s="312"/>
      <c r="D751" s="312"/>
      <c r="E751" s="314" t="str">
        <f>Unformatted!F735</f>
        <v>N/A</v>
      </c>
      <c r="F751" s="1385" t="str">
        <f>Unformatted!G735</f>
        <v/>
      </c>
      <c r="G751" s="1385"/>
      <c r="H751" s="1385"/>
      <c r="I751" s="1385"/>
    </row>
    <row r="752" spans="1:9" ht="18.75" customHeight="1" x14ac:dyDescent="0.25">
      <c r="A752" s="310" t="s">
        <v>956</v>
      </c>
      <c r="B752" s="312"/>
      <c r="C752" s="312"/>
      <c r="D752" s="312"/>
      <c r="E752" s="314" t="str">
        <f>Unformatted!F736</f>
        <v>N/A</v>
      </c>
      <c r="F752" s="1385" t="str">
        <f>Unformatted!G736</f>
        <v/>
      </c>
      <c r="G752" s="1385"/>
      <c r="H752" s="1385"/>
      <c r="I752" s="1385"/>
    </row>
    <row r="753" spans="1:9" ht="18.75" customHeight="1" x14ac:dyDescent="0.25">
      <c r="A753" s="310" t="s">
        <v>955</v>
      </c>
      <c r="B753" s="312"/>
      <c r="C753" s="312"/>
      <c r="D753" s="312"/>
      <c r="E753" s="314" t="str">
        <f>Unformatted!F737</f>
        <v>N/A</v>
      </c>
      <c r="F753" s="1385" t="str">
        <f>Unformatted!G737</f>
        <v/>
      </c>
      <c r="G753" s="1385"/>
      <c r="H753" s="1385"/>
      <c r="I753" s="1385"/>
    </row>
    <row r="754" spans="1:9" ht="18.75" customHeight="1" x14ac:dyDescent="0.25">
      <c r="A754" s="310" t="s">
        <v>962</v>
      </c>
      <c r="B754" s="312"/>
      <c r="C754" s="312"/>
      <c r="D754" s="312"/>
      <c r="E754" s="314" t="str">
        <f>Unformatted!F738</f>
        <v>N/A</v>
      </c>
      <c r="F754" s="1385" t="str">
        <f>Unformatted!G738</f>
        <v/>
      </c>
      <c r="G754" s="1385"/>
      <c r="H754" s="1385"/>
      <c r="I754" s="1385"/>
    </row>
    <row r="755" spans="1:9" ht="18.75" customHeight="1" x14ac:dyDescent="0.25">
      <c r="A755" s="310" t="s">
        <v>1055</v>
      </c>
      <c r="B755" s="312"/>
      <c r="C755" s="312"/>
      <c r="D755" s="312"/>
      <c r="E755" s="314" t="str">
        <f>Unformatted!F739</f>
        <v>N/A</v>
      </c>
      <c r="F755" s="1385" t="str">
        <f>Unformatted!G739</f>
        <v/>
      </c>
      <c r="G755" s="1385"/>
      <c r="H755" s="1385"/>
      <c r="I755" s="1385"/>
    </row>
    <row r="756" spans="1:9" ht="18.75" customHeight="1" x14ac:dyDescent="0.25">
      <c r="A756" s="310" t="s">
        <v>1056</v>
      </c>
      <c r="B756" s="312"/>
      <c r="C756" s="312"/>
      <c r="D756" s="312"/>
      <c r="E756" s="314" t="str">
        <f>Unformatted!F740</f>
        <v>N/A</v>
      </c>
      <c r="F756" s="1385" t="str">
        <f>Unformatted!G740</f>
        <v/>
      </c>
      <c r="G756" s="1385"/>
      <c r="H756" s="1385"/>
      <c r="I756" s="1385"/>
    </row>
    <row r="757" spans="1:9" ht="18.75" customHeight="1" x14ac:dyDescent="0.25">
      <c r="A757" s="310" t="s">
        <v>963</v>
      </c>
      <c r="B757" s="312"/>
      <c r="C757" s="312"/>
      <c r="D757" s="312"/>
      <c r="E757" s="314" t="str">
        <f>Unformatted!F741</f>
        <v>N/A</v>
      </c>
      <c r="F757" s="1385" t="str">
        <f>Unformatted!G741</f>
        <v/>
      </c>
      <c r="G757" s="1385"/>
      <c r="H757" s="1385"/>
      <c r="I757" s="1385"/>
    </row>
    <row r="758" spans="1:9" ht="18.75" customHeight="1" x14ac:dyDescent="0.25">
      <c r="A758" s="310" t="s">
        <v>1110</v>
      </c>
      <c r="B758" s="312"/>
      <c r="C758" s="312"/>
      <c r="D758" s="312"/>
      <c r="E758" s="314" t="str">
        <f>Unformatted!F750</f>
        <v>N/A</v>
      </c>
      <c r="F758" s="1385" t="str">
        <f>Unformatted!G750</f>
        <v/>
      </c>
      <c r="G758" s="1385"/>
      <c r="H758" s="1385"/>
      <c r="I758" s="1385"/>
    </row>
    <row r="759" spans="1:9" ht="18.75" customHeight="1" x14ac:dyDescent="0.25">
      <c r="A759" s="310" t="s">
        <v>774</v>
      </c>
      <c r="B759" s="312"/>
      <c r="C759" s="312"/>
      <c r="D759" s="312"/>
      <c r="E759" s="314" t="str">
        <f>Unformatted!F752</f>
        <v>N/A</v>
      </c>
      <c r="F759" s="1385" t="str">
        <f>Unformatted!G752</f>
        <v/>
      </c>
      <c r="G759" s="1385"/>
      <c r="H759" s="1385"/>
      <c r="I759" s="1385"/>
    </row>
    <row r="760" spans="1:9" ht="18.75" customHeight="1" x14ac:dyDescent="0.25">
      <c r="A760" s="310" t="s">
        <v>775</v>
      </c>
      <c r="B760" s="312"/>
      <c r="C760" s="312"/>
      <c r="D760" s="312"/>
      <c r="E760" s="314" t="str">
        <f>Unformatted!F753</f>
        <v>N/A</v>
      </c>
      <c r="F760" s="1385" t="str">
        <f>Unformatted!G753</f>
        <v/>
      </c>
      <c r="G760" s="1385"/>
      <c r="H760" s="1385"/>
      <c r="I760" s="1385"/>
    </row>
    <row r="761" spans="1:9" ht="18.75" customHeight="1" x14ac:dyDescent="0.25">
      <c r="A761" s="310" t="s">
        <v>777</v>
      </c>
      <c r="B761" s="312"/>
      <c r="C761" s="312"/>
      <c r="D761" s="312"/>
      <c r="E761" s="314" t="str">
        <f>Unformatted!F754</f>
        <v>N/A</v>
      </c>
      <c r="F761" s="1385" t="str">
        <f>Unformatted!G754</f>
        <v/>
      </c>
      <c r="G761" s="1385"/>
      <c r="H761" s="1385"/>
      <c r="I761" s="1385"/>
    </row>
    <row r="762" spans="1:9" x14ac:dyDescent="0.25">
      <c r="A762" s="310" t="s">
        <v>779</v>
      </c>
      <c r="B762" s="312"/>
      <c r="C762" s="312"/>
      <c r="D762" s="312"/>
      <c r="E762" s="314" t="str">
        <f>Unformatted!F755</f>
        <v>N/A</v>
      </c>
      <c r="F762" s="1385" t="str">
        <f>Unformatted!G755</f>
        <v/>
      </c>
      <c r="G762" s="1385"/>
      <c r="H762" s="1385"/>
      <c r="I762" s="1385"/>
    </row>
    <row r="763" spans="1:9" ht="18.75" customHeight="1" x14ac:dyDescent="0.25">
      <c r="A763" s="310" t="s">
        <v>802</v>
      </c>
      <c r="B763" s="312"/>
      <c r="C763" s="312"/>
      <c r="D763" s="312"/>
      <c r="E763" s="314" t="str">
        <f>Unformatted!F756</f>
        <v>N/A</v>
      </c>
      <c r="F763" s="1385" t="str">
        <f>Unformatted!G756</f>
        <v/>
      </c>
      <c r="G763" s="1385"/>
      <c r="H763" s="1385"/>
      <c r="I763" s="1385"/>
    </row>
    <row r="764" spans="1:9" ht="18.75" customHeight="1" x14ac:dyDescent="0.25">
      <c r="A764" s="310" t="s">
        <v>780</v>
      </c>
      <c r="B764" s="312"/>
      <c r="C764" s="312"/>
      <c r="D764" s="312"/>
      <c r="E764" s="314" t="str">
        <f>Unformatted!F757</f>
        <v>N/A</v>
      </c>
      <c r="F764" s="1385" t="str">
        <f>Unformatted!G757</f>
        <v/>
      </c>
      <c r="G764" s="1385"/>
      <c r="H764" s="1385"/>
      <c r="I764" s="1385"/>
    </row>
    <row r="765" spans="1:9" ht="18.75" customHeight="1" x14ac:dyDescent="0.25">
      <c r="A765" s="310" t="s">
        <v>781</v>
      </c>
      <c r="B765" s="312"/>
      <c r="C765" s="312"/>
      <c r="D765" s="312"/>
      <c r="E765" s="314" t="str">
        <f>Unformatted!F758</f>
        <v>N/A</v>
      </c>
      <c r="F765" s="1385" t="str">
        <f>Unformatted!G758</f>
        <v/>
      </c>
      <c r="G765" s="1385"/>
      <c r="H765" s="1385"/>
      <c r="I765" s="1385"/>
    </row>
    <row r="766" spans="1:9" ht="18.75" customHeight="1" x14ac:dyDescent="0.25">
      <c r="A766" s="310" t="s">
        <v>782</v>
      </c>
      <c r="B766" s="312"/>
      <c r="C766" s="312"/>
      <c r="D766" s="312"/>
      <c r="E766" s="314" t="str">
        <f>Unformatted!F759</f>
        <v>N/A</v>
      </c>
      <c r="F766" s="1385" t="str">
        <f>Unformatted!G759</f>
        <v/>
      </c>
      <c r="G766" s="1385"/>
      <c r="H766" s="1385"/>
      <c r="I766" s="1385"/>
    </row>
    <row r="767" spans="1:9" ht="18.75" customHeight="1" x14ac:dyDescent="0.25">
      <c r="A767" s="310" t="s">
        <v>783</v>
      </c>
      <c r="B767" s="312"/>
      <c r="C767" s="312"/>
      <c r="D767" s="312"/>
      <c r="E767" s="314" t="str">
        <f>Unformatted!F760</f>
        <v>N/A</v>
      </c>
      <c r="F767" s="1385" t="str">
        <f>Unformatted!G760</f>
        <v/>
      </c>
      <c r="G767" s="1385"/>
      <c r="H767" s="1385"/>
      <c r="I767" s="1385"/>
    </row>
    <row r="768" spans="1:9" ht="18.75" customHeight="1" x14ac:dyDescent="0.25">
      <c r="A768" s="310" t="s">
        <v>882</v>
      </c>
      <c r="B768" s="312"/>
      <c r="C768" s="312"/>
      <c r="D768" s="312"/>
      <c r="E768" s="314" t="str">
        <f>Unformatted!F761</f>
        <v>N/A</v>
      </c>
      <c r="F768" s="1385" t="str">
        <f>Unformatted!G761</f>
        <v/>
      </c>
      <c r="G768" s="1385"/>
      <c r="H768" s="1385"/>
      <c r="I768" s="1385"/>
    </row>
    <row r="769" spans="1:9" ht="18.75" customHeight="1" x14ac:dyDescent="0.25">
      <c r="A769" s="310" t="s">
        <v>881</v>
      </c>
      <c r="B769" s="312"/>
      <c r="C769" s="312"/>
      <c r="D769" s="312"/>
      <c r="E769" s="314" t="str">
        <f>Unformatted!F762</f>
        <v>N/A</v>
      </c>
      <c r="F769" s="1385" t="str">
        <f>Unformatted!G762</f>
        <v/>
      </c>
      <c r="G769" s="1385"/>
      <c r="H769" s="1385"/>
      <c r="I769" s="1385"/>
    </row>
    <row r="770" spans="1:9" ht="18.75" customHeight="1" x14ac:dyDescent="0.25">
      <c r="A770" s="310" t="s">
        <v>958</v>
      </c>
      <c r="B770" s="312"/>
      <c r="C770" s="312"/>
      <c r="D770" s="312"/>
      <c r="E770" s="314" t="str">
        <f>Unformatted!F763</f>
        <v>N/A</v>
      </c>
      <c r="F770" s="1385" t="str">
        <f>Unformatted!G763</f>
        <v/>
      </c>
      <c r="G770" s="1385"/>
      <c r="H770" s="1385"/>
      <c r="I770" s="1385"/>
    </row>
    <row r="771" spans="1:9" ht="18.75" customHeight="1" x14ac:dyDescent="0.25">
      <c r="A771" s="309" t="s">
        <v>1058</v>
      </c>
      <c r="B771" s="223"/>
      <c r="C771" s="223"/>
      <c r="D771" s="223"/>
      <c r="E771" s="316" t="s">
        <v>176</v>
      </c>
      <c r="F771" s="1386" t="s">
        <v>792</v>
      </c>
      <c r="G771" s="1386"/>
      <c r="H771" s="1386"/>
      <c r="I771" s="1386"/>
    </row>
    <row r="772" spans="1:9" ht="18.75" customHeight="1" x14ac:dyDescent="0.25">
      <c r="A772" s="310" t="s">
        <v>1071</v>
      </c>
      <c r="B772" s="312"/>
      <c r="C772" s="312"/>
      <c r="D772" s="312"/>
      <c r="E772" s="314" t="str">
        <f>Unformatted!F764</f>
        <v>N/A</v>
      </c>
      <c r="F772" s="1385" t="str">
        <f>Unformatted!G764</f>
        <v/>
      </c>
      <c r="G772" s="1385"/>
      <c r="H772" s="1385"/>
      <c r="I772" s="1385"/>
    </row>
    <row r="773" spans="1:9" ht="18.75" customHeight="1" x14ac:dyDescent="0.25">
      <c r="A773" s="310" t="s">
        <v>786</v>
      </c>
      <c r="B773" s="312"/>
      <c r="C773" s="312"/>
      <c r="D773" s="312"/>
      <c r="E773" s="314" t="str">
        <f>Unformatted!F765</f>
        <v>N/A</v>
      </c>
      <c r="F773" s="1385" t="str">
        <f>Unformatted!G765</f>
        <v/>
      </c>
      <c r="G773" s="1385"/>
      <c r="H773" s="1385"/>
      <c r="I773" s="1385"/>
    </row>
    <row r="774" spans="1:9" ht="18.75" customHeight="1" x14ac:dyDescent="0.25"/>
    <row r="775" spans="1:9" ht="18.75" customHeight="1" x14ac:dyDescent="0.25"/>
    <row r="776" spans="1:9" ht="18.75" customHeight="1" x14ac:dyDescent="0.25"/>
    <row r="777" spans="1:9" ht="18.75" customHeight="1" x14ac:dyDescent="0.25"/>
    <row r="778" spans="1:9" ht="18.75" customHeight="1" x14ac:dyDescent="0.25"/>
    <row r="779" spans="1:9" ht="18.75" customHeight="1" x14ac:dyDescent="0.25"/>
    <row r="780" spans="1:9" ht="18.75" customHeight="1" x14ac:dyDescent="0.25"/>
    <row r="781" spans="1:9" ht="18.75" customHeight="1" x14ac:dyDescent="0.25"/>
    <row r="782" spans="1:9" ht="18.75" customHeight="1" x14ac:dyDescent="0.25"/>
    <row r="783" spans="1:9" ht="18.75" customHeight="1" x14ac:dyDescent="0.25"/>
    <row r="784" spans="1:9" ht="18.75" customHeight="1" x14ac:dyDescent="0.25"/>
    <row r="785" spans="1:9" ht="18.75" customHeight="1" x14ac:dyDescent="0.25">
      <c r="A785" s="438"/>
      <c r="B785" s="438"/>
      <c r="C785" s="438"/>
      <c r="D785" s="438"/>
      <c r="E785" s="438"/>
      <c r="F785" s="438"/>
      <c r="G785" s="438"/>
      <c r="H785" s="438"/>
      <c r="I785" s="438"/>
    </row>
    <row r="786" spans="1:9" ht="18.75" customHeight="1" x14ac:dyDescent="0.25">
      <c r="A786" s="438"/>
      <c r="B786" s="438"/>
      <c r="C786" s="438"/>
      <c r="D786" s="438"/>
      <c r="E786" s="438"/>
      <c r="F786" s="438"/>
      <c r="G786" s="438"/>
      <c r="H786" s="438"/>
      <c r="I786" s="438"/>
    </row>
    <row r="787" spans="1:9" ht="18.75" customHeight="1" x14ac:dyDescent="0.25">
      <c r="A787" s="438"/>
      <c r="B787" s="438"/>
      <c r="C787" s="438"/>
      <c r="D787" s="438"/>
      <c r="E787" s="438"/>
      <c r="F787" s="438"/>
      <c r="G787" s="438"/>
      <c r="H787" s="438"/>
      <c r="I787" s="438"/>
    </row>
    <row r="788" spans="1:9" ht="18.75" customHeight="1" x14ac:dyDescent="0.25">
      <c r="A788" s="438"/>
      <c r="B788" s="438"/>
      <c r="C788" s="438"/>
      <c r="D788" s="438"/>
      <c r="E788" s="438"/>
      <c r="F788" s="438"/>
      <c r="G788" s="438"/>
      <c r="H788" s="438"/>
      <c r="I788" s="438"/>
    </row>
    <row r="789" spans="1:9" ht="18.75" customHeight="1" x14ac:dyDescent="0.25">
      <c r="A789" s="438"/>
      <c r="B789" s="438"/>
      <c r="C789" s="438"/>
      <c r="D789" s="438"/>
      <c r="E789" s="438"/>
      <c r="F789" s="438"/>
      <c r="G789" s="438"/>
      <c r="H789" s="438"/>
      <c r="I789" s="438"/>
    </row>
    <row r="790" spans="1:9" ht="18.75" customHeight="1" x14ac:dyDescent="0.25">
      <c r="A790" s="438"/>
      <c r="B790" s="438"/>
      <c r="C790" s="438"/>
      <c r="D790" s="438"/>
      <c r="E790" s="438"/>
      <c r="F790" s="438"/>
      <c r="G790" s="438"/>
      <c r="H790" s="438"/>
      <c r="I790" s="438"/>
    </row>
    <row r="791" spans="1:9" ht="18.75" customHeight="1" x14ac:dyDescent="0.25">
      <c r="A791" s="438"/>
      <c r="B791" s="438"/>
      <c r="C791" s="438"/>
      <c r="D791" s="438"/>
      <c r="E791" s="438"/>
      <c r="F791" s="438"/>
      <c r="G791" s="438"/>
      <c r="H791" s="438"/>
      <c r="I791" s="438"/>
    </row>
    <row r="792" spans="1:9" ht="18.75" customHeight="1" x14ac:dyDescent="0.25">
      <c r="A792" s="438"/>
      <c r="B792" s="438"/>
      <c r="C792" s="438"/>
      <c r="D792" s="438"/>
      <c r="E792" s="438"/>
      <c r="F792" s="438"/>
      <c r="G792" s="438"/>
      <c r="H792" s="438"/>
      <c r="I792" s="438"/>
    </row>
    <row r="793" spans="1:9" ht="18.75" customHeight="1" x14ac:dyDescent="0.25">
      <c r="A793" s="438"/>
      <c r="B793" s="438"/>
      <c r="C793" s="438"/>
      <c r="D793" s="438"/>
      <c r="E793" s="438"/>
      <c r="F793" s="438"/>
      <c r="G793" s="438"/>
      <c r="H793" s="438"/>
      <c r="I793" s="438"/>
    </row>
    <row r="794" spans="1:9" x14ac:dyDescent="0.25">
      <c r="A794" s="438"/>
      <c r="B794" s="438"/>
      <c r="C794" s="438"/>
      <c r="D794" s="438"/>
      <c r="E794" s="438"/>
      <c r="F794" s="438"/>
      <c r="G794" s="438"/>
      <c r="H794" s="438"/>
      <c r="I794" s="438"/>
    </row>
    <row r="795" spans="1:9" x14ac:dyDescent="0.25">
      <c r="A795" s="438"/>
      <c r="B795" s="438"/>
      <c r="C795" s="438"/>
      <c r="D795" s="438"/>
      <c r="E795" s="438"/>
      <c r="F795" s="438"/>
      <c r="G795" s="438"/>
      <c r="H795" s="438"/>
      <c r="I795" s="438"/>
    </row>
    <row r="796" spans="1:9" x14ac:dyDescent="0.25">
      <c r="A796" s="438"/>
      <c r="B796" s="438"/>
      <c r="C796" s="438"/>
      <c r="D796" s="438"/>
      <c r="E796" s="438"/>
      <c r="F796" s="438"/>
      <c r="G796" s="438"/>
      <c r="H796" s="438"/>
      <c r="I796" s="438"/>
    </row>
    <row r="797" spans="1:9" x14ac:dyDescent="0.25">
      <c r="A797" s="438"/>
      <c r="B797" s="438"/>
      <c r="C797" s="438"/>
      <c r="D797" s="438"/>
      <c r="E797" s="438"/>
      <c r="F797" s="438"/>
      <c r="G797" s="438"/>
      <c r="H797" s="438"/>
      <c r="I797" s="438"/>
    </row>
    <row r="798" spans="1:9" x14ac:dyDescent="0.25">
      <c r="A798" s="438"/>
      <c r="B798" s="438"/>
      <c r="C798" s="438"/>
      <c r="D798" s="438"/>
      <c r="E798" s="438"/>
      <c r="F798" s="438"/>
      <c r="G798" s="438"/>
      <c r="H798" s="438"/>
      <c r="I798" s="438"/>
    </row>
    <row r="799" spans="1:9" x14ac:dyDescent="0.25">
      <c r="A799" s="438"/>
      <c r="B799" s="438"/>
      <c r="C799" s="438"/>
      <c r="D799" s="438"/>
      <c r="E799" s="438"/>
      <c r="F799" s="438"/>
      <c r="G799" s="438"/>
      <c r="H799" s="438"/>
      <c r="I799" s="438"/>
    </row>
    <row r="800" spans="1:9" x14ac:dyDescent="0.25">
      <c r="A800" s="438"/>
      <c r="B800" s="438"/>
      <c r="C800" s="438"/>
      <c r="D800" s="438"/>
      <c r="E800" s="438"/>
      <c r="F800" s="438"/>
      <c r="G800" s="438"/>
      <c r="H800" s="438"/>
      <c r="I800" s="438"/>
    </row>
    <row r="801" spans="1:9" x14ac:dyDescent="0.25">
      <c r="A801" s="438"/>
      <c r="B801" s="438"/>
      <c r="C801" s="438"/>
      <c r="D801" s="438"/>
      <c r="E801" s="438"/>
      <c r="F801" s="438"/>
      <c r="G801" s="438"/>
      <c r="H801" s="438"/>
      <c r="I801" s="438"/>
    </row>
    <row r="802" spans="1:9" x14ac:dyDescent="0.25">
      <c r="A802" s="438"/>
      <c r="B802" s="438"/>
      <c r="C802" s="438"/>
      <c r="D802" s="438"/>
      <c r="E802" s="438"/>
      <c r="F802" s="438"/>
      <c r="G802" s="438"/>
      <c r="H802" s="438"/>
      <c r="I802" s="438"/>
    </row>
    <row r="803" spans="1:9" x14ac:dyDescent="0.25">
      <c r="A803" s="438"/>
      <c r="B803" s="438"/>
      <c r="C803" s="438"/>
      <c r="D803" s="438"/>
      <c r="E803" s="438"/>
      <c r="F803" s="438"/>
      <c r="G803" s="438"/>
      <c r="H803" s="438"/>
      <c r="I803" s="438"/>
    </row>
    <row r="804" spans="1:9" x14ac:dyDescent="0.25">
      <c r="A804" s="438"/>
      <c r="B804" s="438"/>
      <c r="C804" s="438"/>
      <c r="D804" s="438"/>
      <c r="E804" s="438"/>
      <c r="F804" s="438"/>
      <c r="G804" s="438"/>
      <c r="H804" s="438"/>
      <c r="I804" s="438"/>
    </row>
    <row r="805" spans="1:9" x14ac:dyDescent="0.25">
      <c r="A805" s="438"/>
      <c r="B805" s="438"/>
      <c r="C805" s="438"/>
      <c r="D805" s="438"/>
      <c r="E805" s="438"/>
      <c r="F805" s="438"/>
      <c r="G805" s="438"/>
      <c r="H805" s="438"/>
      <c r="I805" s="438"/>
    </row>
    <row r="806" spans="1:9" x14ac:dyDescent="0.25">
      <c r="A806" s="438"/>
      <c r="B806" s="438"/>
      <c r="C806" s="438"/>
      <c r="D806" s="438"/>
      <c r="E806" s="438"/>
      <c r="F806" s="438"/>
      <c r="G806" s="438"/>
      <c r="H806" s="438"/>
      <c r="I806" s="438"/>
    </row>
    <row r="807" spans="1:9" ht="15.75" x14ac:dyDescent="0.25">
      <c r="A807" s="899"/>
      <c r="B807" s="899"/>
      <c r="C807" s="899"/>
      <c r="D807" s="899"/>
      <c r="E807" s="899"/>
      <c r="F807" s="899"/>
      <c r="G807" s="899"/>
      <c r="H807" s="899"/>
      <c r="I807" s="899"/>
    </row>
    <row r="808" spans="1:9" ht="15.75" x14ac:dyDescent="0.25">
      <c r="A808" s="899"/>
      <c r="B808" s="899"/>
      <c r="C808" s="899"/>
      <c r="D808" s="899"/>
      <c r="E808" s="899"/>
      <c r="F808" s="899"/>
      <c r="G808" s="899"/>
      <c r="H808" s="899"/>
      <c r="I808" s="899"/>
    </row>
    <row r="809" spans="1:9" ht="6" customHeight="1" x14ac:dyDescent="0.25">
      <c r="A809" s="900"/>
      <c r="B809" s="900"/>
      <c r="C809" s="900"/>
      <c r="D809" s="900"/>
      <c r="E809" s="900"/>
      <c r="F809" s="900"/>
      <c r="G809" s="900"/>
      <c r="H809" s="900"/>
      <c r="I809" s="900"/>
    </row>
    <row r="810" spans="1:9" x14ac:dyDescent="0.25">
      <c r="A810" s="901"/>
      <c r="B810" s="901"/>
      <c r="C810" s="901"/>
      <c r="D810" s="901"/>
      <c r="E810" s="901"/>
      <c r="F810" s="901"/>
      <c r="G810" s="901"/>
      <c r="H810" s="901"/>
      <c r="I810" s="901"/>
    </row>
    <row r="811" spans="1:9" x14ac:dyDescent="0.25">
      <c r="A811" s="901"/>
      <c r="B811" s="901"/>
      <c r="C811" s="901"/>
      <c r="D811" s="901"/>
      <c r="E811" s="901"/>
      <c r="F811" s="901"/>
      <c r="G811" s="901"/>
      <c r="H811" s="901"/>
      <c r="I811" s="901"/>
    </row>
    <row r="812" spans="1:9" x14ac:dyDescent="0.25">
      <c r="A812" s="901"/>
      <c r="B812" s="901"/>
      <c r="C812" s="901"/>
      <c r="D812" s="901"/>
      <c r="E812" s="901"/>
      <c r="F812" s="901"/>
      <c r="G812" s="901"/>
      <c r="H812" s="901"/>
      <c r="I812" s="901"/>
    </row>
    <row r="813" spans="1:9" x14ac:dyDescent="0.25">
      <c r="A813" s="901"/>
      <c r="B813" s="901"/>
      <c r="C813" s="901"/>
      <c r="D813" s="901"/>
      <c r="E813" s="901"/>
      <c r="F813" s="901"/>
      <c r="G813" s="901"/>
      <c r="H813" s="901"/>
      <c r="I813" s="901"/>
    </row>
    <row r="814" spans="1:9" x14ac:dyDescent="0.25">
      <c r="A814" s="901"/>
      <c r="B814" s="901"/>
      <c r="C814" s="901"/>
      <c r="D814" s="901"/>
      <c r="E814" s="901"/>
      <c r="F814" s="901"/>
      <c r="G814" s="901"/>
      <c r="H814" s="901"/>
      <c r="I814" s="901"/>
    </row>
    <row r="815" spans="1:9" x14ac:dyDescent="0.25">
      <c r="A815" s="901"/>
      <c r="B815" s="901"/>
      <c r="C815" s="901"/>
      <c r="D815" s="901"/>
      <c r="E815" s="901"/>
      <c r="F815" s="901"/>
      <c r="G815" s="901"/>
      <c r="H815" s="901"/>
      <c r="I815" s="901"/>
    </row>
    <row r="816" spans="1:9" ht="6" customHeight="1" x14ac:dyDescent="0.25">
      <c r="A816" s="590"/>
      <c r="B816" s="590"/>
      <c r="C816" s="590"/>
      <c r="D816" s="590"/>
      <c r="E816" s="590"/>
      <c r="F816" s="590"/>
      <c r="G816" s="590"/>
      <c r="H816" s="590"/>
      <c r="I816" s="590"/>
    </row>
    <row r="817" spans="1:9" ht="15.75" x14ac:dyDescent="0.25">
      <c r="A817" s="899"/>
      <c r="B817" s="899"/>
      <c r="C817" s="899"/>
      <c r="D817" s="899"/>
      <c r="E817" s="899"/>
      <c r="F817" s="899"/>
      <c r="G817" s="899"/>
      <c r="H817" s="899"/>
      <c r="I817" s="899"/>
    </row>
    <row r="818" spans="1:9" ht="6" customHeight="1" x14ac:dyDescent="0.25">
      <c r="A818" s="900"/>
      <c r="B818" s="900"/>
      <c r="C818" s="900"/>
      <c r="D818" s="900"/>
      <c r="E818" s="900"/>
      <c r="F818" s="900"/>
      <c r="G818" s="900"/>
      <c r="H818" s="900"/>
      <c r="I818" s="900"/>
    </row>
    <row r="819" spans="1:9" x14ac:dyDescent="0.25">
      <c r="A819" s="902"/>
      <c r="B819" s="901"/>
      <c r="C819" s="901"/>
      <c r="D819" s="901"/>
      <c r="E819" s="901"/>
      <c r="F819" s="901"/>
      <c r="G819" s="901"/>
      <c r="H819" s="901"/>
      <c r="I819" s="901"/>
    </row>
    <row r="820" spans="1:9" x14ac:dyDescent="0.25">
      <c r="A820" s="902"/>
      <c r="B820" s="901"/>
      <c r="C820" s="901"/>
      <c r="D820" s="901"/>
      <c r="E820" s="901"/>
      <c r="F820" s="901"/>
      <c r="G820" s="901"/>
      <c r="H820" s="901"/>
      <c r="I820" s="901"/>
    </row>
    <row r="821" spans="1:9" x14ac:dyDescent="0.25">
      <c r="A821" s="902"/>
      <c r="B821" s="901"/>
      <c r="C821" s="901"/>
      <c r="D821" s="901"/>
      <c r="E821" s="901"/>
      <c r="F821" s="901"/>
      <c r="G821" s="901"/>
      <c r="H821" s="901"/>
      <c r="I821" s="901"/>
    </row>
    <row r="822" spans="1:9" x14ac:dyDescent="0.25">
      <c r="A822" s="902"/>
      <c r="B822" s="901"/>
      <c r="C822" s="901"/>
      <c r="D822" s="901"/>
      <c r="E822" s="901"/>
      <c r="F822" s="901"/>
      <c r="G822" s="901"/>
      <c r="H822" s="901"/>
      <c r="I822" s="901"/>
    </row>
    <row r="823" spans="1:9" x14ac:dyDescent="0.25">
      <c r="A823" s="902"/>
      <c r="B823" s="901"/>
      <c r="C823" s="901"/>
      <c r="D823" s="901"/>
      <c r="E823" s="901"/>
      <c r="F823" s="901"/>
      <c r="G823" s="901"/>
      <c r="H823" s="901"/>
      <c r="I823" s="901"/>
    </row>
    <row r="824" spans="1:9" x14ac:dyDescent="0.25">
      <c r="A824" s="902"/>
      <c r="B824" s="901"/>
      <c r="C824" s="901"/>
      <c r="D824" s="901"/>
      <c r="E824" s="901"/>
      <c r="F824" s="901"/>
      <c r="G824" s="901"/>
      <c r="H824" s="901"/>
      <c r="I824" s="901"/>
    </row>
    <row r="825" spans="1:9" ht="6" customHeight="1" x14ac:dyDescent="0.25">
      <c r="A825" s="903"/>
      <c r="B825" s="438"/>
      <c r="C825" s="438"/>
      <c r="D825" s="438"/>
      <c r="E825" s="438"/>
      <c r="F825" s="438"/>
      <c r="G825" s="438"/>
      <c r="H825" s="438"/>
      <c r="I825" s="438"/>
    </row>
    <row r="826" spans="1:9" x14ac:dyDescent="0.25">
      <c r="A826" s="902"/>
      <c r="B826" s="901"/>
      <c r="C826" s="901"/>
      <c r="D826" s="901"/>
      <c r="E826" s="901"/>
      <c r="F826" s="901"/>
      <c r="G826" s="901"/>
      <c r="H826" s="901"/>
      <c r="I826" s="901"/>
    </row>
    <row r="827" spans="1:9" x14ac:dyDescent="0.25">
      <c r="A827" s="902"/>
      <c r="B827" s="901"/>
      <c r="C827" s="901"/>
      <c r="D827" s="901"/>
      <c r="E827" s="901"/>
      <c r="F827" s="901"/>
      <c r="G827" s="901"/>
      <c r="H827" s="901"/>
      <c r="I827" s="901"/>
    </row>
    <row r="828" spans="1:9" x14ac:dyDescent="0.25">
      <c r="A828" s="902"/>
      <c r="B828" s="901"/>
      <c r="C828" s="901"/>
      <c r="D828" s="901"/>
      <c r="E828" s="901"/>
      <c r="F828" s="901"/>
      <c r="G828" s="901"/>
      <c r="H828" s="901"/>
      <c r="I828" s="901"/>
    </row>
    <row r="829" spans="1:9" x14ac:dyDescent="0.25">
      <c r="A829" s="902"/>
      <c r="B829" s="901"/>
      <c r="C829" s="901"/>
      <c r="D829" s="901"/>
      <c r="E829" s="901"/>
      <c r="F829" s="901"/>
      <c r="G829" s="901"/>
      <c r="H829" s="901"/>
      <c r="I829" s="901"/>
    </row>
    <row r="830" spans="1:9" x14ac:dyDescent="0.25">
      <c r="A830" s="902"/>
      <c r="B830" s="901"/>
      <c r="C830" s="901"/>
      <c r="D830" s="901"/>
      <c r="E830" s="901"/>
      <c r="F830" s="901"/>
      <c r="G830" s="901"/>
      <c r="H830" s="901"/>
      <c r="I830" s="901"/>
    </row>
    <row r="831" spans="1:9" ht="6" customHeight="1" x14ac:dyDescent="0.25">
      <c r="A831" s="903"/>
      <c r="B831" s="438"/>
      <c r="C831" s="438"/>
      <c r="D831" s="438"/>
      <c r="E831" s="438"/>
      <c r="F831" s="438"/>
      <c r="G831" s="438"/>
      <c r="H831" s="438"/>
      <c r="I831" s="438"/>
    </row>
    <row r="832" spans="1:9" x14ac:dyDescent="0.25">
      <c r="A832" s="902"/>
      <c r="B832" s="901"/>
      <c r="C832" s="901"/>
      <c r="D832" s="901"/>
      <c r="E832" s="901"/>
      <c r="F832" s="901"/>
      <c r="G832" s="901"/>
      <c r="H832" s="901"/>
      <c r="I832" s="901"/>
    </row>
    <row r="833" spans="1:9" x14ac:dyDescent="0.25">
      <c r="A833" s="902"/>
      <c r="B833" s="901"/>
      <c r="C833" s="901"/>
      <c r="D833" s="901"/>
      <c r="E833" s="901"/>
      <c r="F833" s="901"/>
      <c r="G833" s="901"/>
      <c r="H833" s="901"/>
      <c r="I833" s="901"/>
    </row>
    <row r="834" spans="1:9" ht="15" customHeight="1" x14ac:dyDescent="0.25">
      <c r="A834" s="902"/>
      <c r="B834" s="901"/>
      <c r="C834" s="901"/>
      <c r="D834" s="901"/>
      <c r="E834" s="901"/>
      <c r="F834" s="901"/>
      <c r="G834" s="901"/>
      <c r="H834" s="901"/>
      <c r="I834" s="901"/>
    </row>
    <row r="835" spans="1:9" x14ac:dyDescent="0.25">
      <c r="A835" s="902"/>
      <c r="B835" s="901"/>
      <c r="C835" s="901"/>
      <c r="D835" s="901"/>
      <c r="E835" s="901"/>
      <c r="F835" s="901"/>
      <c r="G835" s="901"/>
      <c r="H835" s="901"/>
      <c r="I835" s="901"/>
    </row>
    <row r="836" spans="1:9" x14ac:dyDescent="0.25">
      <c r="A836" s="902"/>
      <c r="B836" s="901"/>
      <c r="C836" s="901"/>
      <c r="D836" s="901"/>
      <c r="E836" s="901"/>
      <c r="F836" s="901"/>
      <c r="G836" s="901"/>
      <c r="H836" s="901"/>
      <c r="I836" s="901"/>
    </row>
    <row r="837" spans="1:9" ht="6" customHeight="1" x14ac:dyDescent="0.25">
      <c r="A837" s="590"/>
      <c r="B837" s="438"/>
      <c r="C837" s="438"/>
      <c r="D837" s="438"/>
      <c r="E837" s="438"/>
      <c r="F837" s="438"/>
      <c r="G837" s="438"/>
      <c r="H837" s="438"/>
      <c r="I837" s="438"/>
    </row>
    <row r="838" spans="1:9" ht="15" customHeight="1" x14ac:dyDescent="0.25">
      <c r="A838" s="904"/>
      <c r="B838" s="901"/>
      <c r="C838" s="901"/>
      <c r="D838" s="901"/>
      <c r="E838" s="901"/>
      <c r="F838" s="901"/>
      <c r="G838" s="901"/>
      <c r="H838" s="901"/>
      <c r="I838" s="901"/>
    </row>
    <row r="839" spans="1:9" x14ac:dyDescent="0.25">
      <c r="A839" s="904"/>
      <c r="B839" s="901"/>
      <c r="C839" s="901"/>
      <c r="D839" s="901"/>
      <c r="E839" s="901"/>
      <c r="F839" s="901"/>
      <c r="G839" s="901"/>
      <c r="H839" s="901"/>
      <c r="I839" s="901"/>
    </row>
    <row r="840" spans="1:9" ht="15" customHeight="1" x14ac:dyDescent="0.25">
      <c r="A840" s="904"/>
      <c r="B840" s="901"/>
      <c r="C840" s="901"/>
      <c r="D840" s="901"/>
      <c r="E840" s="901"/>
      <c r="F840" s="901"/>
      <c r="G840" s="901"/>
      <c r="H840" s="901"/>
      <c r="I840" s="901"/>
    </row>
    <row r="841" spans="1:9" x14ac:dyDescent="0.25">
      <c r="A841" s="904"/>
      <c r="B841" s="901"/>
      <c r="C841" s="901"/>
      <c r="D841" s="901"/>
      <c r="E841" s="901"/>
      <c r="F841" s="901"/>
      <c r="G841" s="901"/>
      <c r="H841" s="901"/>
      <c r="I841" s="901"/>
    </row>
    <row r="842" spans="1:9" x14ac:dyDescent="0.25">
      <c r="A842" s="904"/>
      <c r="B842" s="901"/>
      <c r="C842" s="901"/>
      <c r="D842" s="901"/>
      <c r="E842" s="901"/>
      <c r="F842" s="901"/>
      <c r="G842" s="901"/>
      <c r="H842" s="901"/>
      <c r="I842" s="901"/>
    </row>
    <row r="843" spans="1:9" ht="6" customHeight="1" x14ac:dyDescent="0.25">
      <c r="A843" s="905"/>
      <c r="B843" s="906"/>
      <c r="C843" s="906"/>
      <c r="D843" s="906"/>
      <c r="E843" s="906"/>
      <c r="F843" s="906"/>
      <c r="G843" s="906"/>
      <c r="H843" s="906"/>
      <c r="I843" s="906"/>
    </row>
    <row r="844" spans="1:9" ht="15.75" x14ac:dyDescent="0.25">
      <c r="A844" s="899"/>
      <c r="B844" s="899"/>
      <c r="C844" s="899"/>
      <c r="D844" s="899"/>
      <c r="E844" s="899"/>
      <c r="F844" s="899"/>
      <c r="G844" s="899"/>
      <c r="H844" s="899"/>
      <c r="I844" s="899"/>
    </row>
    <row r="845" spans="1:9" ht="6" customHeight="1" x14ac:dyDescent="0.25">
      <c r="A845" s="900"/>
      <c r="B845" s="900"/>
      <c r="C845" s="900"/>
      <c r="D845" s="900"/>
      <c r="E845" s="900"/>
      <c r="F845" s="900"/>
      <c r="G845" s="900"/>
      <c r="H845" s="900"/>
      <c r="I845" s="900"/>
    </row>
    <row r="846" spans="1:9" ht="15" customHeight="1" x14ac:dyDescent="0.25">
      <c r="A846" s="904"/>
      <c r="B846" s="901"/>
      <c r="C846" s="901"/>
      <c r="D846" s="901"/>
      <c r="E846" s="901"/>
      <c r="F846" s="901"/>
      <c r="G846" s="901"/>
      <c r="H846" s="901"/>
      <c r="I846" s="901"/>
    </row>
    <row r="847" spans="1:9" x14ac:dyDescent="0.25">
      <c r="A847" s="904"/>
      <c r="B847" s="901"/>
      <c r="C847" s="901"/>
      <c r="D847" s="901"/>
      <c r="E847" s="901"/>
      <c r="F847" s="901"/>
      <c r="G847" s="901"/>
      <c r="H847" s="901"/>
      <c r="I847" s="901"/>
    </row>
    <row r="848" spans="1:9" x14ac:dyDescent="0.25">
      <c r="A848" s="904"/>
      <c r="B848" s="901"/>
      <c r="C848" s="901"/>
      <c r="D848" s="901"/>
      <c r="E848" s="901"/>
      <c r="F848" s="901"/>
      <c r="G848" s="901"/>
      <c r="H848" s="901"/>
      <c r="I848" s="901"/>
    </row>
    <row r="849" spans="1:9" x14ac:dyDescent="0.25">
      <c r="A849" s="904"/>
      <c r="B849" s="901"/>
      <c r="C849" s="901"/>
      <c r="D849" s="901"/>
      <c r="E849" s="901"/>
      <c r="F849" s="901"/>
      <c r="G849" s="901"/>
      <c r="H849" s="901"/>
      <c r="I849" s="901"/>
    </row>
    <row r="850" spans="1:9" x14ac:dyDescent="0.25">
      <c r="A850" s="904"/>
      <c r="B850" s="901"/>
      <c r="C850" s="901"/>
      <c r="D850" s="901"/>
      <c r="E850" s="901"/>
      <c r="F850" s="901"/>
      <c r="G850" s="901"/>
      <c r="H850" s="901"/>
      <c r="I850" s="901"/>
    </row>
    <row r="851" spans="1:9" ht="15" customHeight="1" x14ac:dyDescent="0.25">
      <c r="A851" s="904"/>
      <c r="B851" s="901"/>
      <c r="C851" s="901"/>
      <c r="D851" s="901"/>
      <c r="E851" s="901"/>
      <c r="F851" s="901"/>
      <c r="G851" s="901"/>
      <c r="H851" s="901"/>
      <c r="I851" s="901"/>
    </row>
    <row r="852" spans="1:9" ht="6" customHeight="1" x14ac:dyDescent="0.25">
      <c r="A852" s="907"/>
      <c r="B852" s="438"/>
      <c r="C852" s="901"/>
      <c r="D852" s="901"/>
      <c r="E852" s="901"/>
      <c r="F852" s="901"/>
      <c r="G852" s="901"/>
      <c r="H852" s="901"/>
      <c r="I852" s="901"/>
    </row>
    <row r="853" spans="1:9" x14ac:dyDescent="0.25">
      <c r="A853" s="902"/>
      <c r="B853" s="901"/>
      <c r="C853" s="901"/>
      <c r="D853" s="901"/>
      <c r="E853" s="901"/>
      <c r="F853" s="901"/>
      <c r="G853" s="901"/>
      <c r="H853" s="901"/>
      <c r="I853" s="901"/>
    </row>
    <row r="854" spans="1:9" x14ac:dyDescent="0.25">
      <c r="A854" s="902"/>
      <c r="B854" s="901"/>
      <c r="C854" s="901"/>
      <c r="D854" s="901"/>
      <c r="E854" s="901"/>
      <c r="F854" s="901"/>
      <c r="G854" s="901"/>
      <c r="H854" s="901"/>
      <c r="I854" s="901"/>
    </row>
    <row r="855" spans="1:9" x14ac:dyDescent="0.25">
      <c r="A855" s="902"/>
      <c r="B855" s="901"/>
      <c r="C855" s="901"/>
      <c r="D855" s="901"/>
      <c r="E855" s="901"/>
      <c r="F855" s="901"/>
      <c r="G855" s="901"/>
      <c r="H855" s="901"/>
      <c r="I855" s="901"/>
    </row>
    <row r="856" spans="1:9" x14ac:dyDescent="0.25">
      <c r="A856" s="902"/>
      <c r="B856" s="901"/>
      <c r="C856" s="901"/>
      <c r="D856" s="901"/>
      <c r="E856" s="901"/>
      <c r="F856" s="901"/>
      <c r="G856" s="901"/>
      <c r="H856" s="901"/>
      <c r="I856" s="901"/>
    </row>
    <row r="857" spans="1:9" ht="15" customHeight="1" x14ac:dyDescent="0.25">
      <c r="A857" s="902"/>
      <c r="B857" s="901"/>
      <c r="C857" s="901"/>
      <c r="D857" s="901"/>
      <c r="E857" s="901"/>
      <c r="F857" s="901"/>
      <c r="G857" s="901"/>
      <c r="H857" s="901"/>
      <c r="I857" s="901"/>
    </row>
    <row r="858" spans="1:9" ht="6" customHeight="1" x14ac:dyDescent="0.25">
      <c r="A858" s="907"/>
      <c r="B858" s="438"/>
      <c r="C858" s="901"/>
      <c r="D858" s="901"/>
      <c r="E858" s="901"/>
      <c r="F858" s="901"/>
      <c r="G858" s="901"/>
      <c r="H858" s="901"/>
      <c r="I858" s="901"/>
    </row>
    <row r="859" spans="1:9" ht="15" customHeight="1" x14ac:dyDescent="0.25">
      <c r="A859" s="902"/>
      <c r="B859" s="901"/>
      <c r="C859" s="901"/>
      <c r="D859" s="901"/>
      <c r="E859" s="901"/>
      <c r="F859" s="901"/>
      <c r="G859" s="901"/>
      <c r="H859" s="901"/>
      <c r="I859" s="901"/>
    </row>
    <row r="860" spans="1:9" x14ac:dyDescent="0.25">
      <c r="A860" s="902"/>
      <c r="B860" s="901"/>
      <c r="C860" s="901"/>
      <c r="D860" s="901"/>
      <c r="E860" s="901"/>
      <c r="F860" s="901"/>
      <c r="G860" s="901"/>
      <c r="H860" s="901"/>
      <c r="I860" s="901"/>
    </row>
    <row r="861" spans="1:9" x14ac:dyDescent="0.25">
      <c r="A861" s="902"/>
      <c r="B861" s="901"/>
      <c r="C861" s="901"/>
      <c r="D861" s="901"/>
      <c r="E861" s="901"/>
      <c r="F861" s="901"/>
      <c r="G861" s="901"/>
      <c r="H861" s="901"/>
      <c r="I861" s="901"/>
    </row>
    <row r="862" spans="1:9" x14ac:dyDescent="0.25">
      <c r="A862" s="902"/>
      <c r="B862" s="901"/>
      <c r="C862" s="901"/>
      <c r="D862" s="901"/>
      <c r="E862" s="901"/>
      <c r="F862" s="901"/>
      <c r="G862" s="901"/>
      <c r="H862" s="901"/>
      <c r="I862" s="901"/>
    </row>
    <row r="863" spans="1:9" x14ac:dyDescent="0.25">
      <c r="A863" s="902"/>
      <c r="B863" s="901"/>
      <c r="C863" s="901"/>
      <c r="D863" s="901"/>
      <c r="E863" s="901"/>
      <c r="F863" s="901"/>
      <c r="G863" s="901"/>
      <c r="H863" s="901"/>
      <c r="I863" s="901"/>
    </row>
    <row r="864" spans="1:9" x14ac:dyDescent="0.25">
      <c r="A864" s="902"/>
      <c r="B864" s="901"/>
      <c r="C864" s="901"/>
      <c r="D864" s="901"/>
      <c r="E864" s="901"/>
      <c r="F864" s="901"/>
      <c r="G864" s="901"/>
      <c r="H864" s="901"/>
      <c r="I864" s="901"/>
    </row>
    <row r="865" spans="1:9" ht="15.75" x14ac:dyDescent="0.25">
      <c r="A865" s="908"/>
      <c r="B865" s="438"/>
      <c r="C865" s="438"/>
      <c r="D865" s="438"/>
      <c r="E865" s="438"/>
      <c r="F865" s="438"/>
      <c r="G865" s="438"/>
      <c r="H865" s="438"/>
      <c r="I865" s="438"/>
    </row>
    <row r="866" spans="1:9" ht="5.45" customHeight="1" x14ac:dyDescent="0.25">
      <c r="A866" s="908"/>
      <c r="B866" s="438"/>
      <c r="C866" s="438"/>
      <c r="D866" s="438"/>
      <c r="E866" s="438"/>
      <c r="F866" s="438"/>
      <c r="G866" s="438"/>
      <c r="H866" s="438"/>
      <c r="I866" s="438"/>
    </row>
    <row r="867" spans="1:9" x14ac:dyDescent="0.25">
      <c r="A867" s="901"/>
      <c r="B867" s="901"/>
      <c r="C867" s="901"/>
      <c r="D867" s="901"/>
      <c r="E867" s="901"/>
      <c r="F867" s="901"/>
      <c r="G867" s="901"/>
      <c r="H867" s="901"/>
      <c r="I867" s="901"/>
    </row>
    <row r="868" spans="1:9" x14ac:dyDescent="0.25">
      <c r="A868" s="901"/>
      <c r="B868" s="901"/>
      <c r="C868" s="901"/>
      <c r="D868" s="901"/>
      <c r="E868" s="901"/>
      <c r="F868" s="901"/>
      <c r="G868" s="901"/>
      <c r="H868" s="901"/>
      <c r="I868" s="901"/>
    </row>
    <row r="869" spans="1:9" x14ac:dyDescent="0.25">
      <c r="A869" s="901"/>
      <c r="B869" s="901"/>
      <c r="C869" s="901"/>
      <c r="D869" s="901"/>
      <c r="E869" s="901"/>
      <c r="F869" s="901"/>
      <c r="G869" s="901"/>
      <c r="H869" s="901"/>
      <c r="I869" s="901"/>
    </row>
    <row r="870" spans="1:9" ht="15.6" customHeight="1" x14ac:dyDescent="0.25">
      <c r="A870" s="901"/>
      <c r="B870" s="901"/>
      <c r="C870" s="901"/>
      <c r="D870" s="901"/>
      <c r="E870" s="901"/>
      <c r="F870" s="901"/>
      <c r="G870" s="901"/>
      <c r="H870" s="901"/>
      <c r="I870" s="901"/>
    </row>
    <row r="871" spans="1:9" x14ac:dyDescent="0.25">
      <c r="A871" s="901"/>
      <c r="B871" s="901"/>
      <c r="C871" s="901"/>
      <c r="D871" s="901"/>
      <c r="E871" s="901"/>
      <c r="F871" s="901"/>
      <c r="G871" s="901"/>
      <c r="H871" s="901"/>
      <c r="I871" s="901"/>
    </row>
    <row r="872" spans="1:9" x14ac:dyDescent="0.25">
      <c r="A872" s="901"/>
      <c r="B872" s="901"/>
      <c r="C872" s="901"/>
      <c r="D872" s="901"/>
      <c r="E872" s="901"/>
      <c r="F872" s="901"/>
      <c r="G872" s="901"/>
      <c r="H872" s="901"/>
      <c r="I872" s="901"/>
    </row>
    <row r="873" spans="1:9" x14ac:dyDescent="0.25">
      <c r="A873" s="901"/>
      <c r="B873" s="901"/>
      <c r="C873" s="901"/>
      <c r="D873" s="901"/>
      <c r="E873" s="901"/>
      <c r="F873" s="901"/>
      <c r="G873" s="901"/>
      <c r="H873" s="901"/>
      <c r="I873" s="901"/>
    </row>
    <row r="874" spans="1:9" x14ac:dyDescent="0.25">
      <c r="A874" s="901"/>
      <c r="B874" s="901"/>
      <c r="C874" s="901"/>
      <c r="D874" s="901"/>
      <c r="E874" s="901"/>
      <c r="F874" s="901"/>
      <c r="G874" s="901"/>
      <c r="H874" s="901"/>
      <c r="I874" s="901"/>
    </row>
    <row r="875" spans="1:9" ht="5.45" customHeight="1" x14ac:dyDescent="0.25">
      <c r="A875" s="906"/>
      <c r="B875" s="906"/>
      <c r="C875" s="906"/>
      <c r="D875" s="906"/>
      <c r="E875" s="906"/>
      <c r="F875" s="906"/>
      <c r="G875" s="906"/>
      <c r="H875" s="906"/>
      <c r="I875" s="906"/>
    </row>
    <row r="876" spans="1:9" ht="15" customHeight="1" x14ac:dyDescent="0.25">
      <c r="A876" s="899"/>
      <c r="B876" s="899"/>
      <c r="C876" s="899"/>
      <c r="D876" s="899"/>
      <c r="E876" s="899"/>
      <c r="F876" s="899"/>
      <c r="G876" s="899"/>
      <c r="H876" s="899"/>
      <c r="I876" s="899"/>
    </row>
    <row r="877" spans="1:9" ht="5.45" customHeight="1" x14ac:dyDescent="0.25">
      <c r="A877" s="900"/>
      <c r="B877" s="900"/>
      <c r="C877" s="900"/>
      <c r="D877" s="900"/>
      <c r="E877" s="900"/>
      <c r="F877" s="900"/>
      <c r="G877" s="900"/>
      <c r="H877" s="900"/>
      <c r="I877" s="900"/>
    </row>
    <row r="878" spans="1:9" ht="15" customHeight="1" x14ac:dyDescent="0.25">
      <c r="A878" s="904"/>
      <c r="B878" s="901"/>
      <c r="C878" s="901"/>
      <c r="D878" s="901"/>
      <c r="E878" s="901"/>
      <c r="F878" s="901"/>
      <c r="G878" s="901"/>
      <c r="H878" s="901"/>
      <c r="I878" s="901"/>
    </row>
    <row r="879" spans="1:9" ht="15" customHeight="1" x14ac:dyDescent="0.25">
      <c r="A879" s="904"/>
      <c r="B879" s="901"/>
      <c r="C879" s="901"/>
      <c r="D879" s="901"/>
      <c r="E879" s="901"/>
      <c r="F879" s="901"/>
      <c r="G879" s="901"/>
      <c r="H879" s="901"/>
      <c r="I879" s="901"/>
    </row>
    <row r="880" spans="1:9" ht="15" customHeight="1" x14ac:dyDescent="0.25">
      <c r="A880" s="904"/>
      <c r="B880" s="901"/>
      <c r="C880" s="901"/>
      <c r="D880" s="901"/>
      <c r="E880" s="901"/>
      <c r="F880" s="901"/>
      <c r="G880" s="901"/>
      <c r="H880" s="901"/>
      <c r="I880" s="901"/>
    </row>
    <row r="881" spans="1:9" x14ac:dyDescent="0.25">
      <c r="A881" s="904"/>
      <c r="B881" s="901"/>
      <c r="C881" s="901"/>
      <c r="D881" s="901"/>
      <c r="E881" s="901"/>
      <c r="F881" s="901"/>
      <c r="G881" s="901"/>
      <c r="H881" s="901"/>
      <c r="I881" s="901"/>
    </row>
    <row r="882" spans="1:9" x14ac:dyDescent="0.25">
      <c r="A882" s="904"/>
      <c r="B882" s="901"/>
      <c r="C882" s="901"/>
      <c r="D882" s="901"/>
      <c r="E882" s="901"/>
      <c r="F882" s="901"/>
      <c r="G882" s="901"/>
      <c r="H882" s="901"/>
      <c r="I882" s="901"/>
    </row>
    <row r="883" spans="1:9" x14ac:dyDescent="0.25">
      <c r="A883" s="904"/>
      <c r="B883" s="901"/>
      <c r="C883" s="901"/>
      <c r="D883" s="901"/>
      <c r="E883" s="901"/>
      <c r="F883" s="901"/>
      <c r="G883" s="901"/>
      <c r="H883" s="901"/>
      <c r="I883" s="901"/>
    </row>
    <row r="884" spans="1:9" ht="5.45" customHeight="1" x14ac:dyDescent="0.25">
      <c r="A884" s="590"/>
      <c r="B884" s="438"/>
      <c r="C884" s="438"/>
      <c r="D884" s="438"/>
      <c r="E884" s="438"/>
      <c r="F884" s="438"/>
      <c r="G884" s="438"/>
      <c r="H884" s="438"/>
      <c r="I884" s="438"/>
    </row>
    <row r="885" spans="1:9" ht="15" customHeight="1" x14ac:dyDescent="0.25">
      <c r="A885" s="904"/>
      <c r="B885" s="901"/>
      <c r="C885" s="901"/>
      <c r="D885" s="901"/>
      <c r="E885" s="901"/>
      <c r="F885" s="901"/>
      <c r="G885" s="901"/>
      <c r="H885" s="901"/>
      <c r="I885" s="901"/>
    </row>
    <row r="886" spans="1:9" x14ac:dyDescent="0.25">
      <c r="A886" s="904"/>
      <c r="B886" s="901"/>
      <c r="C886" s="901"/>
      <c r="D886" s="901"/>
      <c r="E886" s="901"/>
      <c r="F886" s="901"/>
      <c r="G886" s="901"/>
      <c r="H886" s="901"/>
      <c r="I886" s="901"/>
    </row>
    <row r="887" spans="1:9" x14ac:dyDescent="0.25">
      <c r="A887" s="904"/>
      <c r="B887" s="901"/>
      <c r="C887" s="901"/>
      <c r="D887" s="901"/>
      <c r="E887" s="901"/>
      <c r="F887" s="901"/>
      <c r="G887" s="901"/>
      <c r="H887" s="901"/>
      <c r="I887" s="901"/>
    </row>
    <row r="888" spans="1:9" x14ac:dyDescent="0.25">
      <c r="A888" s="904"/>
      <c r="B888" s="901"/>
      <c r="C888" s="901"/>
      <c r="D888" s="901"/>
      <c r="E888" s="901"/>
      <c r="F888" s="901"/>
      <c r="G888" s="901"/>
      <c r="H888" s="901"/>
      <c r="I888" s="901"/>
    </row>
    <row r="889" spans="1:9" x14ac:dyDescent="0.25">
      <c r="A889" s="904"/>
      <c r="B889" s="901"/>
      <c r="C889" s="901"/>
      <c r="D889" s="901"/>
      <c r="E889" s="901"/>
      <c r="F889" s="901"/>
      <c r="G889" s="901"/>
      <c r="H889" s="901"/>
      <c r="I889" s="901"/>
    </row>
    <row r="890" spans="1:9" x14ac:dyDescent="0.25">
      <c r="A890" s="904"/>
      <c r="B890" s="901"/>
      <c r="C890" s="901"/>
      <c r="D890" s="901"/>
      <c r="E890" s="901"/>
      <c r="F890" s="901"/>
      <c r="G890" s="901"/>
      <c r="H890" s="901"/>
      <c r="I890" s="901"/>
    </row>
    <row r="891" spans="1:9" ht="5.45" customHeight="1" x14ac:dyDescent="0.25">
      <c r="A891" s="909"/>
      <c r="B891" s="906"/>
      <c r="C891" s="906"/>
      <c r="D891" s="906"/>
      <c r="E891" s="906"/>
      <c r="F891" s="906"/>
      <c r="G891" s="906"/>
      <c r="H891" s="906"/>
      <c r="I891" s="906"/>
    </row>
    <row r="892" spans="1:9" ht="15" customHeight="1" x14ac:dyDescent="0.25">
      <c r="A892" s="910"/>
      <c r="B892" s="910"/>
      <c r="C892" s="910"/>
      <c r="D892" s="910"/>
      <c r="E892" s="910"/>
      <c r="F892" s="910"/>
      <c r="G892" s="910"/>
      <c r="H892" s="910"/>
      <c r="I892" s="910"/>
    </row>
    <row r="893" spans="1:9" ht="5.45" customHeight="1" x14ac:dyDescent="0.25">
      <c r="A893" s="911"/>
      <c r="B893" s="911"/>
      <c r="C893" s="911"/>
      <c r="D893" s="911"/>
      <c r="E893" s="911"/>
      <c r="F893" s="911"/>
      <c r="G893" s="911"/>
      <c r="H893" s="911"/>
      <c r="I893" s="911"/>
    </row>
    <row r="894" spans="1:9" ht="15" customHeight="1" x14ac:dyDescent="0.25">
      <c r="A894" s="901"/>
      <c r="B894" s="901"/>
      <c r="C894" s="901"/>
      <c r="D894" s="901"/>
      <c r="E894" s="901"/>
      <c r="F894" s="901"/>
      <c r="G894" s="901"/>
      <c r="H894" s="901"/>
      <c r="I894" s="901"/>
    </row>
    <row r="895" spans="1:9" x14ac:dyDescent="0.25">
      <c r="A895" s="901"/>
      <c r="B895" s="901"/>
      <c r="C895" s="901"/>
      <c r="D895" s="901"/>
      <c r="E895" s="901"/>
      <c r="F895" s="901"/>
      <c r="G895" s="901"/>
      <c r="H895" s="901"/>
      <c r="I895" s="901"/>
    </row>
    <row r="896" spans="1:9" x14ac:dyDescent="0.25">
      <c r="A896" s="901"/>
      <c r="B896" s="901"/>
      <c r="C896" s="901"/>
      <c r="D896" s="901"/>
      <c r="E896" s="901"/>
      <c r="F896" s="901"/>
      <c r="G896" s="901"/>
      <c r="H896" s="901"/>
      <c r="I896" s="901"/>
    </row>
    <row r="897" spans="1:9" x14ac:dyDescent="0.25">
      <c r="A897" s="901"/>
      <c r="B897" s="901"/>
      <c r="C897" s="901"/>
      <c r="D897" s="901"/>
      <c r="E897" s="901"/>
      <c r="F897" s="901"/>
      <c r="G897" s="901"/>
      <c r="H897" s="901"/>
      <c r="I897" s="901"/>
    </row>
    <row r="898" spans="1:9" x14ac:dyDescent="0.25">
      <c r="A898" s="901"/>
      <c r="B898" s="901"/>
      <c r="C898" s="901"/>
      <c r="D898" s="901"/>
      <c r="E898" s="901"/>
      <c r="F898" s="901"/>
      <c r="G898" s="901"/>
      <c r="H898" s="901"/>
      <c r="I898" s="901"/>
    </row>
    <row r="899" spans="1:9" x14ac:dyDescent="0.25">
      <c r="A899" s="901"/>
      <c r="B899" s="901"/>
      <c r="C899" s="901"/>
      <c r="D899" s="901"/>
      <c r="E899" s="901"/>
      <c r="F899" s="901"/>
      <c r="G899" s="901"/>
      <c r="H899" s="901"/>
      <c r="I899" s="901"/>
    </row>
    <row r="900" spans="1:9" x14ac:dyDescent="0.25">
      <c r="A900" s="901"/>
      <c r="B900" s="901"/>
      <c r="C900" s="901"/>
      <c r="D900" s="901"/>
      <c r="E900" s="901"/>
      <c r="F900" s="901"/>
      <c r="G900" s="901"/>
      <c r="H900" s="901"/>
      <c r="I900" s="901"/>
    </row>
    <row r="901" spans="1:9" x14ac:dyDescent="0.25">
      <c r="A901" s="901"/>
      <c r="B901" s="901"/>
      <c r="C901" s="901"/>
      <c r="D901" s="901"/>
      <c r="E901" s="901"/>
      <c r="F901" s="901"/>
      <c r="G901" s="901"/>
      <c r="H901" s="901"/>
      <c r="I901" s="901"/>
    </row>
    <row r="902" spans="1:9" ht="5.45" customHeight="1" x14ac:dyDescent="0.25">
      <c r="A902" s="912"/>
      <c r="B902" s="912"/>
      <c r="C902" s="912"/>
      <c r="D902" s="912"/>
      <c r="E902" s="912"/>
      <c r="F902" s="912"/>
      <c r="G902" s="912"/>
      <c r="H902" s="912"/>
      <c r="I902" s="912"/>
    </row>
    <row r="903" spans="1:9" ht="15.75" x14ac:dyDescent="0.25">
      <c r="A903" s="913"/>
      <c r="B903" s="913"/>
      <c r="C903" s="913"/>
      <c r="D903" s="913"/>
      <c r="E903" s="913"/>
      <c r="F903" s="913"/>
      <c r="G903" s="913"/>
      <c r="H903" s="913"/>
      <c r="I903" s="913"/>
    </row>
    <row r="904" spans="1:9" ht="5.45" customHeight="1" x14ac:dyDescent="0.25">
      <c r="A904" s="913"/>
      <c r="B904" s="913"/>
      <c r="C904" s="913"/>
      <c r="D904" s="913"/>
      <c r="E904" s="913"/>
      <c r="F904" s="913"/>
      <c r="G904" s="913"/>
      <c r="H904" s="913"/>
      <c r="I904" s="913"/>
    </row>
    <row r="905" spans="1:9" x14ac:dyDescent="0.25">
      <c r="A905" s="901"/>
      <c r="B905" s="901"/>
      <c r="C905" s="901"/>
      <c r="D905" s="901"/>
      <c r="E905" s="901"/>
      <c r="F905" s="901"/>
      <c r="G905" s="901"/>
      <c r="H905" s="901"/>
      <c r="I905" s="901"/>
    </row>
    <row r="906" spans="1:9" x14ac:dyDescent="0.25">
      <c r="A906" s="901"/>
      <c r="B906" s="901"/>
      <c r="C906" s="901"/>
      <c r="D906" s="901"/>
      <c r="E906" s="901"/>
      <c r="F906" s="901"/>
      <c r="G906" s="901"/>
      <c r="H906" s="901"/>
      <c r="I906" s="901"/>
    </row>
    <row r="907" spans="1:9" x14ac:dyDescent="0.25">
      <c r="A907" s="901"/>
      <c r="B907" s="901"/>
      <c r="C907" s="901"/>
      <c r="D907" s="901"/>
      <c r="E907" s="901"/>
      <c r="F907" s="901"/>
      <c r="G907" s="901"/>
      <c r="H907" s="901"/>
      <c r="I907" s="901"/>
    </row>
    <row r="908" spans="1:9" x14ac:dyDescent="0.25">
      <c r="A908" s="901"/>
      <c r="B908" s="901"/>
      <c r="C908" s="901"/>
      <c r="D908" s="901"/>
      <c r="E908" s="901"/>
      <c r="F908" s="901"/>
      <c r="G908" s="901"/>
      <c r="H908" s="901"/>
      <c r="I908" s="901"/>
    </row>
    <row r="909" spans="1:9" x14ac:dyDescent="0.25">
      <c r="A909" s="901"/>
      <c r="B909" s="901"/>
      <c r="C909" s="901"/>
      <c r="D909" s="901"/>
      <c r="E909" s="901"/>
      <c r="F909" s="901"/>
      <c r="G909" s="901"/>
      <c r="H909" s="901"/>
      <c r="I909" s="901"/>
    </row>
    <row r="910" spans="1:9" x14ac:dyDescent="0.25">
      <c r="A910" s="901"/>
      <c r="B910" s="901"/>
      <c r="C910" s="901"/>
      <c r="D910" s="901"/>
      <c r="E910" s="901"/>
      <c r="F910" s="901"/>
      <c r="G910" s="901"/>
      <c r="H910" s="901"/>
      <c r="I910" s="901"/>
    </row>
    <row r="911" spans="1:9" x14ac:dyDescent="0.25">
      <c r="A911" s="901"/>
      <c r="B911" s="901"/>
      <c r="C911" s="901"/>
      <c r="D911" s="901"/>
      <c r="E911" s="901"/>
      <c r="F911" s="901"/>
      <c r="G911" s="901"/>
      <c r="H911" s="901"/>
      <c r="I911" s="901"/>
    </row>
    <row r="912" spans="1:9" ht="15" customHeight="1" x14ac:dyDescent="0.25">
      <c r="A912" s="901"/>
      <c r="B912" s="901"/>
      <c r="C912" s="901"/>
      <c r="D912" s="901"/>
      <c r="E912" s="901"/>
      <c r="F912" s="901"/>
      <c r="G912" s="901"/>
      <c r="H912" s="901"/>
      <c r="I912" s="901"/>
    </row>
    <row r="913" spans="1:9" ht="5.45" customHeight="1" x14ac:dyDescent="0.25">
      <c r="A913" s="912"/>
      <c r="B913" s="912"/>
      <c r="C913" s="912"/>
      <c r="D913" s="912"/>
      <c r="E913" s="912"/>
      <c r="F913" s="912"/>
      <c r="G913" s="912"/>
      <c r="H913" s="912"/>
      <c r="I913" s="912"/>
    </row>
    <row r="914" spans="1:9" ht="15.75" x14ac:dyDescent="0.25">
      <c r="A914" s="899"/>
      <c r="B914" s="899"/>
      <c r="C914" s="899"/>
      <c r="D914" s="899"/>
      <c r="E914" s="899"/>
      <c r="F914" s="899"/>
      <c r="G914" s="899"/>
      <c r="H914" s="899"/>
      <c r="I914" s="899"/>
    </row>
    <row r="915" spans="1:9" ht="6" customHeight="1" x14ac:dyDescent="0.25">
      <c r="A915" s="901"/>
      <c r="B915" s="901"/>
      <c r="C915" s="901"/>
      <c r="D915" s="901"/>
      <c r="E915" s="901"/>
      <c r="F915" s="901"/>
      <c r="G915" s="901"/>
      <c r="H915" s="901"/>
      <c r="I915" s="901"/>
    </row>
    <row r="916" spans="1:9" x14ac:dyDescent="0.25">
      <c r="A916" s="901"/>
      <c r="B916" s="901"/>
      <c r="C916" s="901"/>
      <c r="D916" s="901"/>
      <c r="E916" s="901"/>
      <c r="F916" s="901"/>
      <c r="G916" s="901"/>
      <c r="H916" s="901"/>
      <c r="I916" s="901"/>
    </row>
    <row r="917" spans="1:9" x14ac:dyDescent="0.25">
      <c r="A917" s="901"/>
      <c r="B917" s="901"/>
      <c r="C917" s="901"/>
      <c r="D917" s="901"/>
      <c r="E917" s="901"/>
      <c r="F917" s="901"/>
      <c r="G917" s="901"/>
      <c r="H917" s="901"/>
      <c r="I917" s="901"/>
    </row>
    <row r="918" spans="1:9" x14ac:dyDescent="0.25">
      <c r="A918" s="901"/>
      <c r="B918" s="901"/>
      <c r="C918" s="901"/>
      <c r="D918" s="901"/>
      <c r="E918" s="901"/>
      <c r="F918" s="901"/>
      <c r="G918" s="901"/>
      <c r="H918" s="901"/>
      <c r="I918" s="901"/>
    </row>
    <row r="919" spans="1:9" x14ac:dyDescent="0.25">
      <c r="A919" s="901"/>
      <c r="B919" s="901"/>
      <c r="C919" s="901"/>
      <c r="D919" s="901"/>
      <c r="E919" s="901"/>
      <c r="F919" s="901"/>
      <c r="G919" s="901"/>
      <c r="H919" s="901"/>
      <c r="I919" s="901"/>
    </row>
    <row r="920" spans="1:9" x14ac:dyDescent="0.25">
      <c r="A920" s="901"/>
      <c r="B920" s="901"/>
      <c r="C920" s="901"/>
      <c r="D920" s="901"/>
      <c r="E920" s="901"/>
      <c r="F920" s="901"/>
      <c r="G920" s="901"/>
      <c r="H920" s="901"/>
      <c r="I920" s="901"/>
    </row>
    <row r="921" spans="1:9" x14ac:dyDescent="0.25">
      <c r="A921" s="901"/>
      <c r="B921" s="901"/>
      <c r="C921" s="901"/>
      <c r="D921" s="901"/>
      <c r="E921" s="901"/>
      <c r="F921" s="901"/>
      <c r="G921" s="901"/>
      <c r="H921" s="901"/>
      <c r="I921" s="901"/>
    </row>
    <row r="922" spans="1:9" x14ac:dyDescent="0.25">
      <c r="A922" s="438"/>
      <c r="B922" s="438"/>
      <c r="C922" s="438"/>
      <c r="D922" s="438"/>
      <c r="E922" s="438"/>
      <c r="F922" s="438"/>
      <c r="G922" s="438"/>
      <c r="H922" s="438"/>
      <c r="I922" s="438"/>
    </row>
    <row r="923" spans="1:9" x14ac:dyDescent="0.25">
      <c r="A923" s="438"/>
      <c r="B923" s="438"/>
      <c r="C923" s="438"/>
      <c r="D923" s="438"/>
      <c r="E923" s="438"/>
      <c r="F923" s="438"/>
      <c r="G923" s="438"/>
      <c r="H923" s="438"/>
      <c r="I923" s="438"/>
    </row>
    <row r="924" spans="1:9" x14ac:dyDescent="0.25">
      <c r="A924" s="438"/>
      <c r="B924" s="438"/>
      <c r="C924" s="438"/>
      <c r="D924" s="438"/>
      <c r="E924" s="438"/>
      <c r="F924" s="438"/>
      <c r="G924" s="438"/>
      <c r="H924" s="438"/>
      <c r="I924" s="438"/>
    </row>
    <row r="925" spans="1:9" x14ac:dyDescent="0.25">
      <c r="A925" s="438"/>
      <c r="B925" s="438"/>
      <c r="C925" s="438"/>
      <c r="D925" s="438"/>
      <c r="E925" s="438"/>
      <c r="F925" s="438"/>
      <c r="G925" s="438"/>
      <c r="H925" s="438"/>
      <c r="I925" s="438"/>
    </row>
    <row r="926" spans="1:9" x14ac:dyDescent="0.25">
      <c r="A926" s="438"/>
      <c r="B926" s="438"/>
      <c r="C926" s="438"/>
      <c r="D926" s="438"/>
      <c r="E926" s="438"/>
      <c r="F926" s="438"/>
      <c r="G926" s="438"/>
      <c r="H926" s="438"/>
      <c r="I926" s="438"/>
    </row>
    <row r="927" spans="1:9" x14ac:dyDescent="0.25">
      <c r="A927" s="438"/>
      <c r="B927" s="438"/>
      <c r="C927" s="438"/>
      <c r="D927" s="438"/>
      <c r="E927" s="438"/>
      <c r="F927" s="438"/>
      <c r="G927" s="438"/>
      <c r="H927" s="438"/>
      <c r="I927" s="438"/>
    </row>
    <row r="928" spans="1:9" x14ac:dyDescent="0.25">
      <c r="A928" s="438"/>
      <c r="B928" s="438"/>
      <c r="C928" s="438"/>
      <c r="D928" s="438"/>
      <c r="E928" s="438"/>
      <c r="F928" s="438"/>
      <c r="G928" s="438"/>
      <c r="H928" s="438"/>
      <c r="I928" s="438"/>
    </row>
    <row r="929" spans="1:9" x14ac:dyDescent="0.25">
      <c r="A929" s="438"/>
      <c r="B929" s="438"/>
      <c r="C929" s="438"/>
      <c r="D929" s="438"/>
      <c r="E929" s="438"/>
      <c r="F929" s="438"/>
      <c r="G929" s="438"/>
      <c r="H929" s="438"/>
      <c r="I929" s="438"/>
    </row>
    <row r="930" spans="1:9" x14ac:dyDescent="0.25">
      <c r="A930" s="438"/>
      <c r="B930" s="438"/>
      <c r="C930" s="438"/>
      <c r="D930" s="438"/>
      <c r="E930" s="438"/>
      <c r="F930" s="438"/>
      <c r="G930" s="438"/>
      <c r="H930" s="438"/>
      <c r="I930" s="438"/>
    </row>
    <row r="931" spans="1:9" x14ac:dyDescent="0.25">
      <c r="A931" s="438"/>
      <c r="B931" s="438"/>
      <c r="C931" s="438"/>
      <c r="D931" s="438"/>
      <c r="E931" s="438"/>
      <c r="F931" s="438"/>
      <c r="G931" s="438"/>
      <c r="H931" s="438"/>
      <c r="I931" s="438"/>
    </row>
    <row r="932" spans="1:9" x14ac:dyDescent="0.25">
      <c r="A932" s="438"/>
      <c r="B932" s="438"/>
      <c r="C932" s="438"/>
      <c r="D932" s="438"/>
      <c r="E932" s="438"/>
      <c r="F932" s="438"/>
      <c r="G932" s="438"/>
      <c r="H932" s="438"/>
      <c r="I932" s="438"/>
    </row>
    <row r="933" spans="1:9" x14ac:dyDescent="0.25">
      <c r="A933" s="438"/>
      <c r="B933" s="438"/>
      <c r="C933" s="438"/>
      <c r="D933" s="438"/>
      <c r="E933" s="438"/>
      <c r="F933" s="438"/>
      <c r="G933" s="438"/>
      <c r="H933" s="438"/>
      <c r="I933" s="438"/>
    </row>
    <row r="934" spans="1:9" x14ac:dyDescent="0.25">
      <c r="A934" s="438"/>
      <c r="B934" s="438"/>
      <c r="C934" s="438"/>
      <c r="D934" s="438"/>
      <c r="E934" s="438"/>
      <c r="F934" s="438"/>
      <c r="G934" s="438"/>
      <c r="H934" s="438"/>
      <c r="I934" s="438"/>
    </row>
    <row r="935" spans="1:9" x14ac:dyDescent="0.25">
      <c r="A935" s="438"/>
      <c r="B935" s="438"/>
      <c r="C935" s="438"/>
      <c r="D935" s="438"/>
      <c r="E935" s="438"/>
      <c r="F935" s="438"/>
      <c r="G935" s="438"/>
      <c r="H935" s="438"/>
      <c r="I935" s="438"/>
    </row>
    <row r="936" spans="1:9" x14ac:dyDescent="0.25">
      <c r="A936" s="438"/>
      <c r="B936" s="438"/>
      <c r="C936" s="438"/>
      <c r="D936" s="438"/>
      <c r="E936" s="438"/>
      <c r="F936" s="438"/>
      <c r="G936" s="438"/>
      <c r="H936" s="438"/>
      <c r="I936" s="438"/>
    </row>
    <row r="937" spans="1:9" x14ac:dyDescent="0.25">
      <c r="A937" s="438"/>
      <c r="B937" s="438"/>
      <c r="C937" s="438"/>
      <c r="D937" s="438"/>
      <c r="E937" s="438"/>
      <c r="F937" s="438"/>
      <c r="G937" s="438"/>
      <c r="H937" s="438"/>
      <c r="I937" s="438"/>
    </row>
    <row r="938" spans="1:9" x14ac:dyDescent="0.25">
      <c r="A938" s="438"/>
      <c r="B938" s="438"/>
      <c r="C938" s="438"/>
      <c r="D938" s="438"/>
      <c r="E938" s="438"/>
      <c r="F938" s="438"/>
      <c r="G938" s="438"/>
      <c r="H938" s="438"/>
      <c r="I938" s="438"/>
    </row>
    <row r="939" spans="1:9" x14ac:dyDescent="0.25">
      <c r="A939" s="438"/>
      <c r="B939" s="438"/>
      <c r="C939" s="438"/>
      <c r="D939" s="438"/>
      <c r="E939" s="438"/>
      <c r="F939" s="438"/>
      <c r="G939" s="438"/>
      <c r="H939" s="438"/>
      <c r="I939" s="438"/>
    </row>
    <row r="940" spans="1:9" x14ac:dyDescent="0.25">
      <c r="A940" s="438"/>
      <c r="B940" s="438"/>
      <c r="C940" s="438"/>
      <c r="D940" s="438"/>
      <c r="E940" s="438"/>
      <c r="F940" s="438"/>
      <c r="G940" s="438"/>
      <c r="H940" s="438"/>
      <c r="I940" s="438"/>
    </row>
    <row r="941" spans="1:9" x14ac:dyDescent="0.25">
      <c r="A941" s="438"/>
      <c r="B941" s="438"/>
      <c r="C941" s="438"/>
      <c r="D941" s="438"/>
      <c r="E941" s="438"/>
      <c r="F941" s="438"/>
      <c r="G941" s="438"/>
      <c r="H941" s="438"/>
      <c r="I941" s="438"/>
    </row>
    <row r="942" spans="1:9" x14ac:dyDescent="0.25">
      <c r="A942" s="438"/>
      <c r="B942" s="438"/>
      <c r="C942" s="438"/>
      <c r="D942" s="438"/>
      <c r="E942" s="438"/>
      <c r="F942" s="438"/>
      <c r="G942" s="438"/>
      <c r="H942" s="438"/>
      <c r="I942" s="438"/>
    </row>
    <row r="943" spans="1:9" x14ac:dyDescent="0.25">
      <c r="A943" s="438"/>
      <c r="B943" s="438"/>
      <c r="C943" s="438"/>
      <c r="D943" s="438"/>
      <c r="E943" s="438"/>
      <c r="F943" s="438"/>
      <c r="G943" s="438"/>
      <c r="H943" s="438"/>
      <c r="I943" s="438"/>
    </row>
    <row r="944" spans="1:9" x14ac:dyDescent="0.25">
      <c r="A944" s="438"/>
      <c r="B944" s="438"/>
      <c r="C944" s="438"/>
      <c r="D944" s="438"/>
      <c r="E944" s="438"/>
      <c r="F944" s="438"/>
      <c r="G944" s="438"/>
      <c r="H944" s="438"/>
      <c r="I944" s="438"/>
    </row>
    <row r="945" spans="1:9" x14ac:dyDescent="0.25">
      <c r="A945" s="438"/>
      <c r="B945" s="438"/>
      <c r="C945" s="438"/>
      <c r="D945" s="438"/>
      <c r="E945" s="438"/>
      <c r="F945" s="438"/>
      <c r="G945" s="438"/>
      <c r="H945" s="438"/>
      <c r="I945" s="438"/>
    </row>
    <row r="946" spans="1:9" x14ac:dyDescent="0.25">
      <c r="A946" s="438"/>
      <c r="B946" s="438"/>
      <c r="C946" s="438"/>
      <c r="D946" s="438"/>
      <c r="E946" s="438"/>
      <c r="F946" s="438"/>
      <c r="G946" s="438"/>
      <c r="H946" s="438"/>
      <c r="I946" s="438"/>
    </row>
    <row r="947" spans="1:9" x14ac:dyDescent="0.25">
      <c r="A947" s="438"/>
      <c r="B947" s="438"/>
      <c r="C947" s="438"/>
      <c r="D947" s="438"/>
      <c r="E947" s="438"/>
      <c r="F947" s="438"/>
      <c r="G947" s="438"/>
      <c r="H947" s="438"/>
      <c r="I947" s="438"/>
    </row>
  </sheetData>
  <sheetProtection sheet="1" selectLockedCells="1"/>
  <mergeCells count="416">
    <mergeCell ref="F601:I601"/>
    <mergeCell ref="F602:I602"/>
    <mergeCell ref="F589:I589"/>
    <mergeCell ref="F593:I593"/>
    <mergeCell ref="A728:I728"/>
    <mergeCell ref="A729:I741"/>
    <mergeCell ref="F591:I591"/>
    <mergeCell ref="F595:I595"/>
    <mergeCell ref="F594:I594"/>
    <mergeCell ref="F597:I597"/>
    <mergeCell ref="F598:I598"/>
    <mergeCell ref="F600:I600"/>
    <mergeCell ref="F599:I599"/>
    <mergeCell ref="A637:I637"/>
    <mergeCell ref="B643:C643"/>
    <mergeCell ref="B645:C645"/>
    <mergeCell ref="F643:H643"/>
    <mergeCell ref="A633:C633"/>
    <mergeCell ref="F631:G631"/>
    <mergeCell ref="F623:H623"/>
    <mergeCell ref="F629:G629"/>
    <mergeCell ref="E633:I633"/>
    <mergeCell ref="A690:I690"/>
    <mergeCell ref="A692:C692"/>
    <mergeCell ref="A524:I524"/>
    <mergeCell ref="A520:I520"/>
    <mergeCell ref="A525:I528"/>
    <mergeCell ref="A521:I523"/>
    <mergeCell ref="F768:I768"/>
    <mergeCell ref="F769:I769"/>
    <mergeCell ref="F770:I770"/>
    <mergeCell ref="F756:I756"/>
    <mergeCell ref="F757:I757"/>
    <mergeCell ref="F758:I758"/>
    <mergeCell ref="F759:I759"/>
    <mergeCell ref="F760:I760"/>
    <mergeCell ref="F761:I761"/>
    <mergeCell ref="F750:I750"/>
    <mergeCell ref="F751:I751"/>
    <mergeCell ref="F752:I752"/>
    <mergeCell ref="F753:I753"/>
    <mergeCell ref="F754:I754"/>
    <mergeCell ref="F755:I755"/>
    <mergeCell ref="F744:I744"/>
    <mergeCell ref="F745:I745"/>
    <mergeCell ref="F746:I746"/>
    <mergeCell ref="F596:I596"/>
    <mergeCell ref="F747:I747"/>
    <mergeCell ref="F771:I771"/>
    <mergeCell ref="F772:I772"/>
    <mergeCell ref="F773:I773"/>
    <mergeCell ref="F762:I762"/>
    <mergeCell ref="F763:I763"/>
    <mergeCell ref="F764:I764"/>
    <mergeCell ref="F765:I765"/>
    <mergeCell ref="F766:I766"/>
    <mergeCell ref="F767:I767"/>
    <mergeCell ref="F748:I748"/>
    <mergeCell ref="F749:I749"/>
    <mergeCell ref="D711:D712"/>
    <mergeCell ref="A695:B695"/>
    <mergeCell ref="E697:F697"/>
    <mergeCell ref="A698:B698"/>
    <mergeCell ref="E698:F698"/>
    <mergeCell ref="A699:B699"/>
    <mergeCell ref="A701:I701"/>
    <mergeCell ref="F743:I743"/>
    <mergeCell ref="A725:D725"/>
    <mergeCell ref="F725:I725"/>
    <mergeCell ref="A726:D726"/>
    <mergeCell ref="F726:I726"/>
    <mergeCell ref="A724:D724"/>
    <mergeCell ref="F724:I724"/>
    <mergeCell ref="F398:I398"/>
    <mergeCell ref="A399:D399"/>
    <mergeCell ref="F399:I399"/>
    <mergeCell ref="A722:D722"/>
    <mergeCell ref="F722:I722"/>
    <mergeCell ref="A723:D723"/>
    <mergeCell ref="F723:I723"/>
    <mergeCell ref="A402:D402"/>
    <mergeCell ref="F720:I720"/>
    <mergeCell ref="A721:D721"/>
    <mergeCell ref="F721:I721"/>
    <mergeCell ref="H436:I436"/>
    <mergeCell ref="H435:I435"/>
    <mergeCell ref="A423:I423"/>
    <mergeCell ref="F684:I684"/>
    <mergeCell ref="F630:G630"/>
    <mergeCell ref="A670:I670"/>
    <mergeCell ref="F671:I671"/>
    <mergeCell ref="F672:I672"/>
    <mergeCell ref="F673:I673"/>
    <mergeCell ref="F674:I674"/>
    <mergeCell ref="F675:I675"/>
    <mergeCell ref="B653:C653"/>
    <mergeCell ref="A655:I655"/>
    <mergeCell ref="A662:I662"/>
    <mergeCell ref="A663:I669"/>
    <mergeCell ref="A656:I661"/>
    <mergeCell ref="A546:D546"/>
    <mergeCell ref="A573:I573"/>
    <mergeCell ref="A574:I585"/>
    <mergeCell ref="F510:I510"/>
    <mergeCell ref="H621:I621"/>
    <mergeCell ref="F612:F613"/>
    <mergeCell ref="B615:C615"/>
    <mergeCell ref="B616:C616"/>
    <mergeCell ref="B617:C617"/>
    <mergeCell ref="B619:C619"/>
    <mergeCell ref="H619:I619"/>
    <mergeCell ref="A610:A613"/>
    <mergeCell ref="B610:B611"/>
    <mergeCell ref="C610:C613"/>
    <mergeCell ref="D610:D613"/>
    <mergeCell ref="E610:E613"/>
    <mergeCell ref="F610:F611"/>
    <mergeCell ref="G610:G613"/>
    <mergeCell ref="H610:I613"/>
    <mergeCell ref="B612:B613"/>
    <mergeCell ref="B620:C620"/>
    <mergeCell ref="H620:I620"/>
    <mergeCell ref="A514:I514"/>
    <mergeCell ref="B621:C621"/>
    <mergeCell ref="F393:I393"/>
    <mergeCell ref="F394:I394"/>
    <mergeCell ref="F395:I395"/>
    <mergeCell ref="F400:I400"/>
    <mergeCell ref="A400:D400"/>
    <mergeCell ref="F401:I401"/>
    <mergeCell ref="A401:D401"/>
    <mergeCell ref="F402:I402"/>
    <mergeCell ref="H432:I432"/>
    <mergeCell ref="D424:I424"/>
    <mergeCell ref="D425:E425"/>
    <mergeCell ref="G425:I425"/>
    <mergeCell ref="H429:I429"/>
    <mergeCell ref="D431:E431"/>
    <mergeCell ref="G431:I431"/>
    <mergeCell ref="A424:B424"/>
    <mergeCell ref="F504:I504"/>
    <mergeCell ref="B508:C508"/>
    <mergeCell ref="D508:E508"/>
    <mergeCell ref="B509:C509"/>
    <mergeCell ref="D509:E509"/>
    <mergeCell ref="F509:I509"/>
    <mergeCell ref="F496:I496"/>
    <mergeCell ref="A500:I500"/>
    <mergeCell ref="B502:C502"/>
    <mergeCell ref="D502:E502"/>
    <mergeCell ref="B503:C503"/>
    <mergeCell ref="D503:E503"/>
    <mergeCell ref="F503:I503"/>
    <mergeCell ref="F490:I490"/>
    <mergeCell ref="B494:C494"/>
    <mergeCell ref="D494:E494"/>
    <mergeCell ref="B495:C495"/>
    <mergeCell ref="D495:E495"/>
    <mergeCell ref="F495:I495"/>
    <mergeCell ref="B489:C489"/>
    <mergeCell ref="D489:E489"/>
    <mergeCell ref="F489:I489"/>
    <mergeCell ref="F478:I478"/>
    <mergeCell ref="B482:C482"/>
    <mergeCell ref="D482:E482"/>
    <mergeCell ref="B483:C483"/>
    <mergeCell ref="D483:E483"/>
    <mergeCell ref="F483:I483"/>
    <mergeCell ref="F477:I477"/>
    <mergeCell ref="A454:I464"/>
    <mergeCell ref="A466:I473"/>
    <mergeCell ref="A444:I444"/>
    <mergeCell ref="A453:I453"/>
    <mergeCell ref="A465:I465"/>
    <mergeCell ref="F484:I484"/>
    <mergeCell ref="B488:C488"/>
    <mergeCell ref="D488:E488"/>
    <mergeCell ref="A380:B380"/>
    <mergeCell ref="A586:I586"/>
    <mergeCell ref="F588:I588"/>
    <mergeCell ref="H426:I426"/>
    <mergeCell ref="H427:I427"/>
    <mergeCell ref="H428:I428"/>
    <mergeCell ref="D430:E430"/>
    <mergeCell ref="A529:I529"/>
    <mergeCell ref="G430:I430"/>
    <mergeCell ref="H434:I434"/>
    <mergeCell ref="A445:I452"/>
    <mergeCell ref="F439:I439"/>
    <mergeCell ref="A440:D440"/>
    <mergeCell ref="F440:I440"/>
    <mergeCell ref="A441:D441"/>
    <mergeCell ref="F441:I441"/>
    <mergeCell ref="A442:D442"/>
    <mergeCell ref="F442:I442"/>
    <mergeCell ref="A386:I386"/>
    <mergeCell ref="A474:I474"/>
    <mergeCell ref="B476:C476"/>
    <mergeCell ref="D476:E476"/>
    <mergeCell ref="B477:C477"/>
    <mergeCell ref="D477:E477"/>
    <mergeCell ref="B352:C352"/>
    <mergeCell ref="D352:I352"/>
    <mergeCell ref="B353:C353"/>
    <mergeCell ref="D353:I353"/>
    <mergeCell ref="B354:C354"/>
    <mergeCell ref="D354:I354"/>
    <mergeCell ref="A403:I403"/>
    <mergeCell ref="A404:I422"/>
    <mergeCell ref="D433:I433"/>
    <mergeCell ref="B355:C355"/>
    <mergeCell ref="D355:I355"/>
    <mergeCell ref="A378:I378"/>
    <mergeCell ref="D380:E380"/>
    <mergeCell ref="A381:B381"/>
    <mergeCell ref="A382:B382"/>
    <mergeCell ref="A383:B383"/>
    <mergeCell ref="A384:B384"/>
    <mergeCell ref="E384:I385"/>
    <mergeCell ref="C384:D385"/>
    <mergeCell ref="F396:I396"/>
    <mergeCell ref="F397:I397"/>
    <mergeCell ref="F390:I390"/>
    <mergeCell ref="F391:I391"/>
    <mergeCell ref="F392:I392"/>
    <mergeCell ref="B349:C349"/>
    <mergeCell ref="D349:I349"/>
    <mergeCell ref="B350:C350"/>
    <mergeCell ref="D350:I350"/>
    <mergeCell ref="B351:C351"/>
    <mergeCell ref="D351:I351"/>
    <mergeCell ref="B346:C346"/>
    <mergeCell ref="D346:I346"/>
    <mergeCell ref="B347:C347"/>
    <mergeCell ref="D347:I347"/>
    <mergeCell ref="B348:C348"/>
    <mergeCell ref="D348:I348"/>
    <mergeCell ref="B343:C343"/>
    <mergeCell ref="D343:I343"/>
    <mergeCell ref="B344:C344"/>
    <mergeCell ref="D344:I344"/>
    <mergeCell ref="B345:C345"/>
    <mergeCell ref="D345:I345"/>
    <mergeCell ref="B340:C340"/>
    <mergeCell ref="D340:E340"/>
    <mergeCell ref="F340:I340"/>
    <mergeCell ref="B341:C341"/>
    <mergeCell ref="D341:E341"/>
    <mergeCell ref="F341:I341"/>
    <mergeCell ref="B337:C337"/>
    <mergeCell ref="D337:E337"/>
    <mergeCell ref="F337:I337"/>
    <mergeCell ref="B338:C338"/>
    <mergeCell ref="F338:I338"/>
    <mergeCell ref="B339:C339"/>
    <mergeCell ref="D339:E339"/>
    <mergeCell ref="F339:I339"/>
    <mergeCell ref="B335:C335"/>
    <mergeCell ref="D335:E335"/>
    <mergeCell ref="F335:I335"/>
    <mergeCell ref="B336:C336"/>
    <mergeCell ref="D336:E336"/>
    <mergeCell ref="F336:I336"/>
    <mergeCell ref="B333:C333"/>
    <mergeCell ref="D333:E333"/>
    <mergeCell ref="F333:I333"/>
    <mergeCell ref="B334:C334"/>
    <mergeCell ref="D334:E334"/>
    <mergeCell ref="F334:I334"/>
    <mergeCell ref="B331:C331"/>
    <mergeCell ref="D331:E331"/>
    <mergeCell ref="F331:I331"/>
    <mergeCell ref="B332:C332"/>
    <mergeCell ref="D332:E332"/>
    <mergeCell ref="F332:I332"/>
    <mergeCell ref="B329:C329"/>
    <mergeCell ref="D329:E329"/>
    <mergeCell ref="F329:I329"/>
    <mergeCell ref="B330:C330"/>
    <mergeCell ref="D330:E330"/>
    <mergeCell ref="F330:I330"/>
    <mergeCell ref="A286:I286"/>
    <mergeCell ref="A287:I294"/>
    <mergeCell ref="B327:C327"/>
    <mergeCell ref="D327:E327"/>
    <mergeCell ref="F327:I327"/>
    <mergeCell ref="B328:C328"/>
    <mergeCell ref="D328:E328"/>
    <mergeCell ref="F328:I328"/>
    <mergeCell ref="A295:I295"/>
    <mergeCell ref="A316:B317"/>
    <mergeCell ref="A325:I325"/>
    <mergeCell ref="B318:I324"/>
    <mergeCell ref="A273:I273"/>
    <mergeCell ref="A279:C279"/>
    <mergeCell ref="A216:I216"/>
    <mergeCell ref="A238:I238"/>
    <mergeCell ref="A250:I250"/>
    <mergeCell ref="A251:I259"/>
    <mergeCell ref="A260:I260"/>
    <mergeCell ref="A261:I272"/>
    <mergeCell ref="G184:I185"/>
    <mergeCell ref="G186:I186"/>
    <mergeCell ref="A187:C187"/>
    <mergeCell ref="F188:I188"/>
    <mergeCell ref="A200:I200"/>
    <mergeCell ref="A201:I215"/>
    <mergeCell ref="B181:C181"/>
    <mergeCell ref="D181:E181"/>
    <mergeCell ref="G181:I182"/>
    <mergeCell ref="G183:I183"/>
    <mergeCell ref="F170:G170"/>
    <mergeCell ref="H170:I170"/>
    <mergeCell ref="B174:C174"/>
    <mergeCell ref="D174:E174"/>
    <mergeCell ref="G174:I175"/>
    <mergeCell ref="G176:I176"/>
    <mergeCell ref="H169:I169"/>
    <mergeCell ref="A111:E111"/>
    <mergeCell ref="E122:I122"/>
    <mergeCell ref="H124:H125"/>
    <mergeCell ref="F126:H127"/>
    <mergeCell ref="A131:I131"/>
    <mergeCell ref="A132:I144"/>
    <mergeCell ref="G177:I178"/>
    <mergeCell ref="G179:I179"/>
    <mergeCell ref="A2:I2"/>
    <mergeCell ref="A5:I5"/>
    <mergeCell ref="B6:D6"/>
    <mergeCell ref="H6:I6"/>
    <mergeCell ref="B7:D7"/>
    <mergeCell ref="H7:I7"/>
    <mergeCell ref="B13:C13"/>
    <mergeCell ref="B14:C14"/>
    <mergeCell ref="B15:C15"/>
    <mergeCell ref="B16:C16"/>
    <mergeCell ref="A17:I17"/>
    <mergeCell ref="C19:E19"/>
    <mergeCell ref="B8:D8"/>
    <mergeCell ref="B9:D9"/>
    <mergeCell ref="F9:I9"/>
    <mergeCell ref="A10:I10"/>
    <mergeCell ref="B11:C11"/>
    <mergeCell ref="B12:C12"/>
    <mergeCell ref="B623:C623"/>
    <mergeCell ref="A551:I551"/>
    <mergeCell ref="A563:I563"/>
    <mergeCell ref="A564:I572"/>
    <mergeCell ref="F590:I590"/>
    <mergeCell ref="F592:I592"/>
    <mergeCell ref="A28:I28"/>
    <mergeCell ref="C29:E29"/>
    <mergeCell ref="C33:F33"/>
    <mergeCell ref="C34:C35"/>
    <mergeCell ref="D34:D35"/>
    <mergeCell ref="E34:E35"/>
    <mergeCell ref="F34:G35"/>
    <mergeCell ref="A39:I39"/>
    <mergeCell ref="A40:B40"/>
    <mergeCell ref="D47:E47"/>
    <mergeCell ref="G47:I47"/>
    <mergeCell ref="A87:I90"/>
    <mergeCell ref="A91:I91"/>
    <mergeCell ref="A92:I98"/>
    <mergeCell ref="A99:I99"/>
    <mergeCell ref="A100:I103"/>
    <mergeCell ref="A104:I104"/>
    <mergeCell ref="D49:I49"/>
    <mergeCell ref="G46:I46"/>
    <mergeCell ref="H48:I48"/>
    <mergeCell ref="F21:I21"/>
    <mergeCell ref="D23:I23"/>
    <mergeCell ref="F24:I24"/>
    <mergeCell ref="A376:I377"/>
    <mergeCell ref="A603:I603"/>
    <mergeCell ref="A604:I607"/>
    <mergeCell ref="A608:I608"/>
    <mergeCell ref="H50:I50"/>
    <mergeCell ref="A65:I74"/>
    <mergeCell ref="A75:I75"/>
    <mergeCell ref="A76:I85"/>
    <mergeCell ref="A86:I86"/>
    <mergeCell ref="H51:I51"/>
    <mergeCell ref="H52:I52"/>
    <mergeCell ref="A53:I53"/>
    <mergeCell ref="A54:I56"/>
    <mergeCell ref="A57:I57"/>
    <mergeCell ref="A145:I145"/>
    <mergeCell ref="A146:I160"/>
    <mergeCell ref="A161:I161"/>
    <mergeCell ref="A162:F162"/>
    <mergeCell ref="F169:G169"/>
    <mergeCell ref="F639:H639"/>
    <mergeCell ref="F641:H641"/>
    <mergeCell ref="B29:B30"/>
    <mergeCell ref="F685:I685"/>
    <mergeCell ref="F686:I686"/>
    <mergeCell ref="F687:I687"/>
    <mergeCell ref="F676:I676"/>
    <mergeCell ref="F677:I677"/>
    <mergeCell ref="F678:I678"/>
    <mergeCell ref="F679:I679"/>
    <mergeCell ref="F680:I680"/>
    <mergeCell ref="F681:I681"/>
    <mergeCell ref="F682:I682"/>
    <mergeCell ref="F683:I683"/>
    <mergeCell ref="H43:I43"/>
    <mergeCell ref="H44:I44"/>
    <mergeCell ref="H45:I45"/>
    <mergeCell ref="A58:I63"/>
    <mergeCell ref="A64:I64"/>
    <mergeCell ref="D40:I40"/>
    <mergeCell ref="D41:E41"/>
    <mergeCell ref="G41:I41"/>
    <mergeCell ref="H42:I42"/>
    <mergeCell ref="D46:E46"/>
  </mergeCells>
  <conditionalFormatting sqref="D492">
    <cfRule type="expression" dxfId="98" priority="308">
      <formula>AND(D492&lt;&gt;"",D492&lt;&gt;"OK")</formula>
    </cfRule>
  </conditionalFormatting>
  <conditionalFormatting sqref="E381:E382">
    <cfRule type="expression" dxfId="97" priority="312">
      <formula>RIGHT($G$44,4)="uit)"</formula>
    </cfRule>
  </conditionalFormatting>
  <conditionalFormatting sqref="E492">
    <cfRule type="expression" dxfId="96" priority="307">
      <formula>AND(E492&lt;&gt;"",E492&lt;&gt;"OK")</formula>
    </cfRule>
  </conditionalFormatting>
  <conditionalFormatting sqref="D486:E486">
    <cfRule type="expression" dxfId="95" priority="306">
      <formula>AND(D486&lt;&gt;"",D486&lt;&gt;"OK")</formula>
    </cfRule>
  </conditionalFormatting>
  <conditionalFormatting sqref="E480">
    <cfRule type="expression" dxfId="94" priority="305">
      <formula>AND(E480&lt;&gt;"",E480&lt;&gt;"OK")</formula>
    </cfRule>
  </conditionalFormatting>
  <conditionalFormatting sqref="D480">
    <cfRule type="expression" dxfId="93" priority="304">
      <formula>AND(D480&lt;&gt;"",D480&lt;&gt;"OK")</formula>
    </cfRule>
  </conditionalFormatting>
  <conditionalFormatting sqref="D498:E499">
    <cfRule type="expression" dxfId="92" priority="303">
      <formula>AND(D498&lt;&gt;"",D498&lt;&gt;"OK")</formula>
    </cfRule>
  </conditionalFormatting>
  <conditionalFormatting sqref="C499">
    <cfRule type="expression" dxfId="91" priority="302">
      <formula>AND(C499&lt;&gt;"",C499&lt;&gt;"OK")</formula>
    </cfRule>
  </conditionalFormatting>
  <conditionalFormatting sqref="B499">
    <cfRule type="expression" dxfId="90" priority="301">
      <formula>AND(B499&lt;&gt;"",B499&lt;&gt;"OK")</formula>
    </cfRule>
  </conditionalFormatting>
  <conditionalFormatting sqref="C706">
    <cfRule type="expression" dxfId="89" priority="297">
      <formula>#REF!=" YES"</formula>
    </cfRule>
  </conditionalFormatting>
  <conditionalFormatting sqref="B129">
    <cfRule type="expression" dxfId="88" priority="157">
      <formula>$C$129=" YES"</formula>
    </cfRule>
  </conditionalFormatting>
  <conditionalFormatting sqref="D165">
    <cfRule type="expression" dxfId="87" priority="106">
      <formula>AND($E$165&lt;&gt;"Good",$E$165&lt;&gt;"No Feet",$E$165&lt;&gt;"N/A")</formula>
    </cfRule>
  </conditionalFormatting>
  <conditionalFormatting sqref="B166">
    <cfRule type="expression" dxfId="86" priority="119">
      <formula>$B$165="Damaged"</formula>
    </cfRule>
  </conditionalFormatting>
  <conditionalFormatting sqref="C177:C178">
    <cfRule type="expression" dxfId="85" priority="118">
      <formula>AND(C177&lt;&gt;"",C177&lt;&gt;"OK")</formula>
    </cfRule>
  </conditionalFormatting>
  <conditionalFormatting sqref="B177:B178">
    <cfRule type="expression" dxfId="84" priority="117">
      <formula>AND(B177&lt;&gt;"",B177&lt;&gt;"OK")</formula>
    </cfRule>
  </conditionalFormatting>
  <conditionalFormatting sqref="B184">
    <cfRule type="expression" dxfId="83" priority="116">
      <formula>AND(B184&lt;&gt;"",B184&lt;&gt;"OK")</formula>
    </cfRule>
  </conditionalFormatting>
  <conditionalFormatting sqref="C184">
    <cfRule type="expression" dxfId="82" priority="115">
      <formula>AND(C184&lt;&gt;"",C184&lt;&gt;"OK")</formula>
    </cfRule>
  </conditionalFormatting>
  <conditionalFormatting sqref="D177:D178">
    <cfRule type="expression" dxfId="81" priority="114">
      <formula>AND(D177&lt;&gt;"",D177&lt;&gt;"OK")</formula>
    </cfRule>
  </conditionalFormatting>
  <conditionalFormatting sqref="E177:E178">
    <cfRule type="expression" dxfId="80" priority="113">
      <formula>AND(E177&lt;&gt;"",E177&lt;&gt;"OK")</formula>
    </cfRule>
  </conditionalFormatting>
  <conditionalFormatting sqref="D184">
    <cfRule type="expression" dxfId="79" priority="112">
      <formula>AND(D184&lt;&gt;"",D184&lt;&gt;"OK")</formula>
    </cfRule>
  </conditionalFormatting>
  <conditionalFormatting sqref="E184">
    <cfRule type="expression" dxfId="78" priority="111">
      <formula>AND(E184&lt;&gt;"",E184&lt;&gt;"OK")</formula>
    </cfRule>
  </conditionalFormatting>
  <conditionalFormatting sqref="D164">
    <cfRule type="expression" dxfId="77" priority="120">
      <formula>$E$164="Damaged"</formula>
    </cfRule>
  </conditionalFormatting>
  <conditionalFormatting sqref="C278 B280:C283">
    <cfRule type="expression" dxfId="76" priority="85">
      <formula>$C$277="Yes"</formula>
    </cfRule>
  </conditionalFormatting>
  <conditionalFormatting sqref="B277:B278">
    <cfRule type="expression" dxfId="75" priority="84">
      <formula>$C$277="Yes"</formula>
    </cfRule>
  </conditionalFormatting>
  <conditionalFormatting sqref="F278">
    <cfRule type="expression" dxfId="74" priority="89">
      <formula>$H$277="FAIL"</formula>
    </cfRule>
  </conditionalFormatting>
  <conditionalFormatting sqref="H276">
    <cfRule type="expression" dxfId="73" priority="76">
      <formula>$H$276="FAIL"</formula>
    </cfRule>
  </conditionalFormatting>
  <conditionalFormatting sqref="H277">
    <cfRule type="expression" dxfId="72" priority="77">
      <formula>$H$277="FAIL"</formula>
    </cfRule>
  </conditionalFormatting>
  <conditionalFormatting sqref="A112">
    <cfRule type="expression" dxfId="71" priority="28">
      <formula>AND(B112 &lt;&gt; "Yes",B112&lt;&gt;"N/A")</formula>
    </cfRule>
  </conditionalFormatting>
  <pageMargins left="0.4" right="0.4" top="0.5" bottom="0.5" header="0.3" footer="0.3"/>
  <pageSetup scale="95" orientation="portrait" errors="blank" r:id="rId1"/>
  <headerFooter differentFirst="1">
    <oddHeader>&amp;L&amp;"-,Italic"VEM Equipment Repair Report&amp;R&amp;"-,Italic"Page &amp;P</oddHeader>
    <oddFooter>&amp;LB7.8&amp;C&amp;"-,Italic"Vallejo Electric Motor, Inc.</oddFooter>
  </headerFooter>
  <rowBreaks count="2" manualBreakCount="2">
    <brk id="160" max="16383" man="1"/>
    <brk id="324" max="16383" man="1"/>
  </rowBreaks>
  <drawing r:id="rId2"/>
  <legacyDrawing r:id="rId3"/>
  <controls>
    <mc:AlternateContent xmlns:mc="http://schemas.openxmlformats.org/markup-compatibility/2006">
      <mc:Choice Requires="x14">
        <control shapeId="210174" r:id="rId4" name="TextBox2">
          <controlPr defaultSize="0" autoLine="0" autoPict="0" linkedCell="Unformatted!$E$355" r:id="rId5">
            <anchor moveWithCells="1">
              <from>
                <xdr:col>3</xdr:col>
                <xdr:colOff>628650</xdr:colOff>
                <xdr:row>306</xdr:row>
                <xdr:rowOff>9525</xdr:rowOff>
              </from>
              <to>
                <xdr:col>8</xdr:col>
                <xdr:colOff>371475</xdr:colOff>
                <xdr:row>315</xdr:row>
                <xdr:rowOff>57150</xdr:rowOff>
              </to>
            </anchor>
          </controlPr>
        </control>
      </mc:Choice>
      <mc:Fallback>
        <control shapeId="210174" r:id="rId4" name="TextBox2"/>
      </mc:Fallback>
    </mc:AlternateContent>
    <mc:AlternateContent xmlns:mc="http://schemas.openxmlformats.org/markup-compatibility/2006">
      <mc:Choice Requires="x14">
        <control shapeId="210173" r:id="rId6" name="TextBox1">
          <controlPr defaultSize="0" autoLine="0" linkedCell="Unformatted!$E$341" r:id="rId7">
            <anchor moveWithCells="1">
              <from>
                <xdr:col>0</xdr:col>
                <xdr:colOff>9525</xdr:colOff>
                <xdr:row>306</xdr:row>
                <xdr:rowOff>19050</xdr:rowOff>
              </from>
              <to>
                <xdr:col>3</xdr:col>
                <xdr:colOff>590550</xdr:colOff>
                <xdr:row>315</xdr:row>
                <xdr:rowOff>38100</xdr:rowOff>
              </to>
            </anchor>
          </controlPr>
        </control>
      </mc:Choice>
      <mc:Fallback>
        <control shapeId="210173" r:id="rId6" name="TextBox1"/>
      </mc:Fallback>
    </mc:AlternateContent>
    <mc:AlternateContent xmlns:mc="http://schemas.openxmlformats.org/markup-compatibility/2006">
      <mc:Choice Requires="x14">
        <control shapeId="209933" r:id="rId8" name="Check Box 13">
          <controlPr defaultSize="0" autoFill="0" autoLine="0" autoPict="0">
            <anchor moveWithCells="1">
              <from>
                <xdr:col>4</xdr:col>
                <xdr:colOff>161925</xdr:colOff>
                <xdr:row>297</xdr:row>
                <xdr:rowOff>19050</xdr:rowOff>
              </from>
              <to>
                <xdr:col>6</xdr:col>
                <xdr:colOff>0</xdr:colOff>
                <xdr:row>298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34" r:id="rId9" name="Check Box 14">
          <controlPr defaultSize="0" autoFill="0" autoLine="0" autoPict="0">
            <anchor moveWithCells="1">
              <from>
                <xdr:col>4</xdr:col>
                <xdr:colOff>161925</xdr:colOff>
                <xdr:row>298</xdr:row>
                <xdr:rowOff>47625</xdr:rowOff>
              </from>
              <to>
                <xdr:col>6</xdr:col>
                <xdr:colOff>0</xdr:colOff>
                <xdr:row>299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35" r:id="rId10" name="Check Box 15">
          <controlPr defaultSize="0" autoFill="0" autoLine="0" autoPict="0">
            <anchor moveWithCells="1">
              <from>
                <xdr:col>4</xdr:col>
                <xdr:colOff>161925</xdr:colOff>
                <xdr:row>299</xdr:row>
                <xdr:rowOff>57150</xdr:rowOff>
              </from>
              <to>
                <xdr:col>6</xdr:col>
                <xdr:colOff>0</xdr:colOff>
                <xdr:row>300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36" r:id="rId11" name="Check Box 16">
          <controlPr defaultSize="0" autoFill="0" autoLine="0" autoPict="0">
            <anchor moveWithCells="1">
              <from>
                <xdr:col>4</xdr:col>
                <xdr:colOff>161925</xdr:colOff>
                <xdr:row>300</xdr:row>
                <xdr:rowOff>76200</xdr:rowOff>
              </from>
              <to>
                <xdr:col>6</xdr:col>
                <xdr:colOff>0</xdr:colOff>
                <xdr:row>301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37" r:id="rId12" name="Check Box 17">
          <controlPr defaultSize="0" autoFill="0" autoLine="0" autoPict="0">
            <anchor moveWithCells="1">
              <from>
                <xdr:col>4</xdr:col>
                <xdr:colOff>161925</xdr:colOff>
                <xdr:row>301</xdr:row>
                <xdr:rowOff>104775</xdr:rowOff>
              </from>
              <to>
                <xdr:col>6</xdr:col>
                <xdr:colOff>0</xdr:colOff>
                <xdr:row>302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38" r:id="rId13" name="Check Box 18">
          <controlPr defaultSize="0" autoFill="0" autoLine="0" autoPict="0">
            <anchor moveWithCells="1">
              <from>
                <xdr:col>6</xdr:col>
                <xdr:colOff>9525</xdr:colOff>
                <xdr:row>297</xdr:row>
                <xdr:rowOff>19050</xdr:rowOff>
              </from>
              <to>
                <xdr:col>8</xdr:col>
                <xdr:colOff>257175</xdr:colOff>
                <xdr:row>298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39" r:id="rId14" name="Check Box 19">
          <controlPr defaultSize="0" autoFill="0" autoLine="0" autoPict="0">
            <anchor moveWithCells="1">
              <from>
                <xdr:col>6</xdr:col>
                <xdr:colOff>9525</xdr:colOff>
                <xdr:row>298</xdr:row>
                <xdr:rowOff>38100</xdr:rowOff>
              </from>
              <to>
                <xdr:col>8</xdr:col>
                <xdr:colOff>171450</xdr:colOff>
                <xdr:row>299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40" r:id="rId15" name="Check Box 20">
          <controlPr defaultSize="0" autoFill="0" autoLine="0" autoPict="0">
            <anchor moveWithCells="1">
              <from>
                <xdr:col>6</xdr:col>
                <xdr:colOff>9525</xdr:colOff>
                <xdr:row>299</xdr:row>
                <xdr:rowOff>57150</xdr:rowOff>
              </from>
              <to>
                <xdr:col>8</xdr:col>
                <xdr:colOff>171450</xdr:colOff>
                <xdr:row>300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41" r:id="rId16" name="Check Box 21">
          <controlPr defaultSize="0" autoFill="0" autoLine="0" autoPict="0">
            <anchor moveWithCells="1">
              <from>
                <xdr:col>6</xdr:col>
                <xdr:colOff>9525</xdr:colOff>
                <xdr:row>300</xdr:row>
                <xdr:rowOff>76200</xdr:rowOff>
              </from>
              <to>
                <xdr:col>8</xdr:col>
                <xdr:colOff>171450</xdr:colOff>
                <xdr:row>301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42" r:id="rId17" name="Check Box 22">
          <controlPr defaultSize="0" autoFill="0" autoLine="0" autoPict="0">
            <anchor moveWithCells="1">
              <from>
                <xdr:col>0</xdr:col>
                <xdr:colOff>85725</xdr:colOff>
                <xdr:row>317</xdr:row>
                <xdr:rowOff>85725</xdr:rowOff>
              </from>
              <to>
                <xdr:col>0</xdr:col>
                <xdr:colOff>866775</xdr:colOff>
                <xdr:row>318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43" r:id="rId18" name="Check Box 23">
          <controlPr defaultSize="0" autoFill="0" autoLine="0" autoPict="0">
            <anchor moveWithCells="1">
              <from>
                <xdr:col>0</xdr:col>
                <xdr:colOff>85725</xdr:colOff>
                <xdr:row>318</xdr:row>
                <xdr:rowOff>161925</xdr:rowOff>
              </from>
              <to>
                <xdr:col>0</xdr:col>
                <xdr:colOff>866775</xdr:colOff>
                <xdr:row>319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47" r:id="rId19" name="Check Box 27">
          <controlPr defaultSize="0" autoFill="0" autoLine="0" autoPict="0">
            <anchor moveWithCells="1">
              <from>
                <xdr:col>5</xdr:col>
                <xdr:colOff>285750</xdr:colOff>
                <xdr:row>188</xdr:row>
                <xdr:rowOff>0</xdr:rowOff>
              </from>
              <to>
                <xdr:col>6</xdr:col>
                <xdr:colOff>419100</xdr:colOff>
                <xdr:row>189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48" r:id="rId20" name="Check Box 28">
          <controlPr defaultSize="0" autoFill="0" autoLine="0" autoPict="0">
            <anchor moveWithCells="1">
              <from>
                <xdr:col>5</xdr:col>
                <xdr:colOff>285750</xdr:colOff>
                <xdr:row>189</xdr:row>
                <xdr:rowOff>19050</xdr:rowOff>
              </from>
              <to>
                <xdr:col>6</xdr:col>
                <xdr:colOff>504825</xdr:colOff>
                <xdr:row>190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49" r:id="rId21" name="Check Box 29">
          <controlPr defaultSize="0" autoFill="0" autoLine="0" autoPict="0">
            <anchor moveWithCells="1">
              <from>
                <xdr:col>5</xdr:col>
                <xdr:colOff>285750</xdr:colOff>
                <xdr:row>190</xdr:row>
                <xdr:rowOff>28575</xdr:rowOff>
              </from>
              <to>
                <xdr:col>6</xdr:col>
                <xdr:colOff>523875</xdr:colOff>
                <xdr:row>191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50" r:id="rId22" name="Check Box 30">
          <controlPr defaultSize="0" autoFill="0" autoLine="0" autoPict="0">
            <anchor moveWithCells="1">
              <from>
                <xdr:col>6</xdr:col>
                <xdr:colOff>590550</xdr:colOff>
                <xdr:row>188</xdr:row>
                <xdr:rowOff>9525</xdr:rowOff>
              </from>
              <to>
                <xdr:col>7</xdr:col>
                <xdr:colOff>466725</xdr:colOff>
                <xdr:row>189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51" r:id="rId23" name="Check Box 31">
          <controlPr defaultSize="0" autoFill="0" autoLine="0" autoPict="0">
            <anchor moveWithCells="1">
              <from>
                <xdr:col>6</xdr:col>
                <xdr:colOff>590550</xdr:colOff>
                <xdr:row>189</xdr:row>
                <xdr:rowOff>0</xdr:rowOff>
              </from>
              <to>
                <xdr:col>7</xdr:col>
                <xdr:colOff>447675</xdr:colOff>
                <xdr:row>190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52" r:id="rId24" name="Check Box 32">
          <controlPr defaultSize="0" autoFill="0" autoLine="0" autoPict="0">
            <anchor moveWithCells="1">
              <from>
                <xdr:col>6</xdr:col>
                <xdr:colOff>590550</xdr:colOff>
                <xdr:row>189</xdr:row>
                <xdr:rowOff>180975</xdr:rowOff>
              </from>
              <to>
                <xdr:col>7</xdr:col>
                <xdr:colOff>485775</xdr:colOff>
                <xdr:row>191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53" r:id="rId25" name="Check Box 33">
          <controlPr defaultSize="0" autoFill="0" autoLine="0" autoPict="0">
            <anchor moveWithCells="1">
              <from>
                <xdr:col>0</xdr:col>
                <xdr:colOff>819150</xdr:colOff>
                <xdr:row>192</xdr:row>
                <xdr:rowOff>180975</xdr:rowOff>
              </from>
              <to>
                <xdr:col>1</xdr:col>
                <xdr:colOff>200025</xdr:colOff>
                <xdr:row>193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55" r:id="rId26" name="Check Box 35">
          <controlPr defaultSize="0" autoFill="0" autoLine="0" autoPict="0">
            <anchor moveWithCells="1">
              <from>
                <xdr:col>0</xdr:col>
                <xdr:colOff>200025</xdr:colOff>
                <xdr:row>296</xdr:row>
                <xdr:rowOff>0</xdr:rowOff>
              </from>
              <to>
                <xdr:col>1</xdr:col>
                <xdr:colOff>333375</xdr:colOff>
                <xdr:row>297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56" r:id="rId27" name="Check Box 36">
          <controlPr defaultSize="0" autoFill="0" autoLine="0" autoPict="0">
            <anchor moveWithCells="1">
              <from>
                <xdr:col>0</xdr:col>
                <xdr:colOff>200025</xdr:colOff>
                <xdr:row>297</xdr:row>
                <xdr:rowOff>19050</xdr:rowOff>
              </from>
              <to>
                <xdr:col>2</xdr:col>
                <xdr:colOff>66675</xdr:colOff>
                <xdr:row>298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57" r:id="rId28" name="Check Box 37">
          <controlPr defaultSize="0" autoFill="0" autoLine="0" autoPict="0">
            <anchor moveWithCells="1">
              <from>
                <xdr:col>0</xdr:col>
                <xdr:colOff>200025</xdr:colOff>
                <xdr:row>303</xdr:row>
                <xdr:rowOff>104775</xdr:rowOff>
              </from>
              <to>
                <xdr:col>1</xdr:col>
                <xdr:colOff>342900</xdr:colOff>
                <xdr:row>304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58" r:id="rId29" name="Check Box 38">
          <controlPr defaultSize="0" autoFill="0" autoLine="0" autoPict="0">
            <anchor moveWithCells="1">
              <from>
                <xdr:col>0</xdr:col>
                <xdr:colOff>200025</xdr:colOff>
                <xdr:row>299</xdr:row>
                <xdr:rowOff>38100</xdr:rowOff>
              </from>
              <to>
                <xdr:col>2</xdr:col>
                <xdr:colOff>228600</xdr:colOff>
                <xdr:row>300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59" r:id="rId30" name="Check Box 39">
          <controlPr defaultSize="0" autoFill="0" autoLine="0" autoPict="0">
            <anchor moveWithCells="1">
              <from>
                <xdr:col>0</xdr:col>
                <xdr:colOff>200025</xdr:colOff>
                <xdr:row>300</xdr:row>
                <xdr:rowOff>57150</xdr:rowOff>
              </from>
              <to>
                <xdr:col>1</xdr:col>
                <xdr:colOff>847725</xdr:colOff>
                <xdr:row>301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60" r:id="rId31" name="Check Box 40">
          <controlPr defaultSize="0" autoFill="0" autoLine="0" autoPict="0">
            <anchor moveWithCells="1">
              <from>
                <xdr:col>0</xdr:col>
                <xdr:colOff>200025</xdr:colOff>
                <xdr:row>302</xdr:row>
                <xdr:rowOff>85725</xdr:rowOff>
              </from>
              <to>
                <xdr:col>1</xdr:col>
                <xdr:colOff>847725</xdr:colOff>
                <xdr:row>303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61" r:id="rId32" name="Check Box 41">
          <controlPr defaultSize="0" autoFill="0" autoLine="0" autoPict="0">
            <anchor moveWithCells="1">
              <from>
                <xdr:col>0</xdr:col>
                <xdr:colOff>200025</xdr:colOff>
                <xdr:row>298</xdr:row>
                <xdr:rowOff>38100</xdr:rowOff>
              </from>
              <to>
                <xdr:col>1</xdr:col>
                <xdr:colOff>847725</xdr:colOff>
                <xdr:row>299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62" r:id="rId33" name="Check Box 42">
          <controlPr defaultSize="0" autoFill="0" autoLine="0" autoPict="0">
            <anchor moveWithCells="1">
              <from>
                <xdr:col>2</xdr:col>
                <xdr:colOff>276225</xdr:colOff>
                <xdr:row>296</xdr:row>
                <xdr:rowOff>9525</xdr:rowOff>
              </from>
              <to>
                <xdr:col>3</xdr:col>
                <xdr:colOff>695325</xdr:colOff>
                <xdr:row>297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63" r:id="rId34" name="Check Box 43">
          <controlPr defaultSize="0" autoFill="0" autoLine="0" autoPict="0">
            <anchor moveWithCells="1">
              <from>
                <xdr:col>2</xdr:col>
                <xdr:colOff>276225</xdr:colOff>
                <xdr:row>297</xdr:row>
                <xdr:rowOff>28575</xdr:rowOff>
              </from>
              <to>
                <xdr:col>3</xdr:col>
                <xdr:colOff>695325</xdr:colOff>
                <xdr:row>298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64" r:id="rId35" name="Check Box 44">
          <controlPr defaultSize="0" autoFill="0" autoLine="0" autoPict="0">
            <anchor moveWithCells="1">
              <from>
                <xdr:col>2</xdr:col>
                <xdr:colOff>276225</xdr:colOff>
                <xdr:row>298</xdr:row>
                <xdr:rowOff>38100</xdr:rowOff>
              </from>
              <to>
                <xdr:col>4</xdr:col>
                <xdr:colOff>171450</xdr:colOff>
                <xdr:row>299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65" r:id="rId36" name="Check Box 45">
          <controlPr defaultSize="0" autoFill="0" autoLine="0" autoPict="0">
            <anchor moveWithCells="1">
              <from>
                <xdr:col>2</xdr:col>
                <xdr:colOff>276225</xdr:colOff>
                <xdr:row>302</xdr:row>
                <xdr:rowOff>95250</xdr:rowOff>
              </from>
              <to>
                <xdr:col>3</xdr:col>
                <xdr:colOff>533400</xdr:colOff>
                <xdr:row>303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66" r:id="rId37" name="Check Box 46">
          <controlPr defaultSize="0" autoFill="0" autoLine="0" autoPict="0">
            <anchor moveWithCells="1">
              <from>
                <xdr:col>2</xdr:col>
                <xdr:colOff>276225</xdr:colOff>
                <xdr:row>301</xdr:row>
                <xdr:rowOff>85725</xdr:rowOff>
              </from>
              <to>
                <xdr:col>3</xdr:col>
                <xdr:colOff>695325</xdr:colOff>
                <xdr:row>302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67" r:id="rId38" name="Check Box 47">
          <controlPr defaultSize="0" autoFill="0" autoLine="0" autoPict="0">
            <anchor moveWithCells="1">
              <from>
                <xdr:col>0</xdr:col>
                <xdr:colOff>200025</xdr:colOff>
                <xdr:row>301</xdr:row>
                <xdr:rowOff>76200</xdr:rowOff>
              </from>
              <to>
                <xdr:col>1</xdr:col>
                <xdr:colOff>847725</xdr:colOff>
                <xdr:row>302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68" r:id="rId39" name="Check Box 48">
          <controlPr defaultSize="0" autoFill="0" autoLine="0" autoPict="0">
            <anchor moveWithCells="1">
              <from>
                <xdr:col>2</xdr:col>
                <xdr:colOff>276225</xdr:colOff>
                <xdr:row>299</xdr:row>
                <xdr:rowOff>57150</xdr:rowOff>
              </from>
              <to>
                <xdr:col>3</xdr:col>
                <xdr:colOff>342900</xdr:colOff>
                <xdr:row>300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69" r:id="rId40" name="Check Box 49">
          <controlPr defaultSize="0" autoFill="0" autoLine="0" autoPict="0">
            <anchor moveWithCells="1">
              <from>
                <xdr:col>2</xdr:col>
                <xdr:colOff>276225</xdr:colOff>
                <xdr:row>300</xdr:row>
                <xdr:rowOff>85725</xdr:rowOff>
              </from>
              <to>
                <xdr:col>3</xdr:col>
                <xdr:colOff>904875</xdr:colOff>
                <xdr:row>301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70" r:id="rId41" name="Check Box 50">
          <controlPr defaultSize="0" autoFill="0" autoLine="0" autoPict="0">
            <anchor moveWithCells="1">
              <from>
                <xdr:col>6</xdr:col>
                <xdr:colOff>9525</xdr:colOff>
                <xdr:row>301</xdr:row>
                <xdr:rowOff>95250</xdr:rowOff>
              </from>
              <to>
                <xdr:col>8</xdr:col>
                <xdr:colOff>238125</xdr:colOff>
                <xdr:row>302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71" r:id="rId42" name="Check Box 51">
          <controlPr defaultSize="0" autoFill="0" autoLine="0" autoPict="0">
            <anchor moveWithCells="1">
              <from>
                <xdr:col>6</xdr:col>
                <xdr:colOff>9525</xdr:colOff>
                <xdr:row>302</xdr:row>
                <xdr:rowOff>142875</xdr:rowOff>
              </from>
              <to>
                <xdr:col>7</xdr:col>
                <xdr:colOff>533400</xdr:colOff>
                <xdr:row>303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06" r:id="rId43" name="Check Box 86">
          <controlPr defaultSize="0" autoFill="0" autoLine="0" autoPict="0">
            <anchor moveWithCells="1">
              <from>
                <xdr:col>3</xdr:col>
                <xdr:colOff>390525</xdr:colOff>
                <xdr:row>386</xdr:row>
                <xdr:rowOff>104775</xdr:rowOff>
              </from>
              <to>
                <xdr:col>4</xdr:col>
                <xdr:colOff>533400</xdr:colOff>
                <xdr:row>387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07" r:id="rId44" name="Check Box 87">
          <controlPr defaultSize="0" autoFill="0" autoLine="0" autoPict="0">
            <anchor moveWithCells="1">
              <from>
                <xdr:col>1</xdr:col>
                <xdr:colOff>590550</xdr:colOff>
                <xdr:row>386</xdr:row>
                <xdr:rowOff>114300</xdr:rowOff>
              </from>
              <to>
                <xdr:col>2</xdr:col>
                <xdr:colOff>514350</xdr:colOff>
                <xdr:row>387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08" r:id="rId45" name="Check Box 88">
          <controlPr defaultSize="0" autoFill="0" autoLine="0" autoPict="0">
            <anchor moveWithCells="1">
              <from>
                <xdr:col>1</xdr:col>
                <xdr:colOff>590550</xdr:colOff>
                <xdr:row>387</xdr:row>
                <xdr:rowOff>133350</xdr:rowOff>
              </from>
              <to>
                <xdr:col>2</xdr:col>
                <xdr:colOff>714375</xdr:colOff>
                <xdr:row>388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09" r:id="rId46" name="Check Box 89">
          <controlPr defaultSize="0" autoFill="0" autoLine="0" autoPict="0">
            <anchor moveWithCells="1">
              <from>
                <xdr:col>3</xdr:col>
                <xdr:colOff>390525</xdr:colOff>
                <xdr:row>387</xdr:row>
                <xdr:rowOff>133350</xdr:rowOff>
              </from>
              <to>
                <xdr:col>4</xdr:col>
                <xdr:colOff>476250</xdr:colOff>
                <xdr:row>388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10" r:id="rId47" name="Check Box 90">
          <controlPr defaultSize="0" autoFill="0" autoLine="0" autoPict="0">
            <anchor moveWithCells="1">
              <from>
                <xdr:col>7</xdr:col>
                <xdr:colOff>104775</xdr:colOff>
                <xdr:row>386</xdr:row>
                <xdr:rowOff>104775</xdr:rowOff>
              </from>
              <to>
                <xdr:col>8</xdr:col>
                <xdr:colOff>285750</xdr:colOff>
                <xdr:row>387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11" r:id="rId48" name="Check Box 91">
          <controlPr defaultSize="0" autoFill="0" autoLine="0" autoPict="0">
            <anchor moveWithCells="1">
              <from>
                <xdr:col>7</xdr:col>
                <xdr:colOff>104775</xdr:colOff>
                <xdr:row>387</xdr:row>
                <xdr:rowOff>133350</xdr:rowOff>
              </from>
              <to>
                <xdr:col>8</xdr:col>
                <xdr:colOff>333375</xdr:colOff>
                <xdr:row>388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12" r:id="rId49" name="Check Box 92">
          <controlPr defaultSize="0" autoFill="0" autoLine="0" autoPict="0">
            <anchor moveWithCells="1">
              <from>
                <xdr:col>5</xdr:col>
                <xdr:colOff>190500</xdr:colOff>
                <xdr:row>387</xdr:row>
                <xdr:rowOff>133350</xdr:rowOff>
              </from>
              <to>
                <xdr:col>6</xdr:col>
                <xdr:colOff>323850</xdr:colOff>
                <xdr:row>388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13" r:id="rId50" name="Check Box 93">
          <controlPr defaultSize="0" autoFill="0" autoLine="0" autoPict="0">
            <anchor moveWithCells="1">
              <from>
                <xdr:col>5</xdr:col>
                <xdr:colOff>190500</xdr:colOff>
                <xdr:row>386</xdr:row>
                <xdr:rowOff>95250</xdr:rowOff>
              </from>
              <to>
                <xdr:col>6</xdr:col>
                <xdr:colOff>295275</xdr:colOff>
                <xdr:row>387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14" r:id="rId51" name="Check Box 94">
          <controlPr defaultSize="0" autoFill="0" autoLine="0" autoPict="0">
            <anchor moveWithCells="1">
              <from>
                <xdr:col>0</xdr:col>
                <xdr:colOff>104775</xdr:colOff>
                <xdr:row>386</xdr:row>
                <xdr:rowOff>85725</xdr:rowOff>
              </from>
              <to>
                <xdr:col>1</xdr:col>
                <xdr:colOff>466725</xdr:colOff>
                <xdr:row>387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15" r:id="rId52" name="Check Box 95">
          <controlPr defaultSize="0" autoFill="0" autoLine="0" autoPict="0">
            <anchor moveWithCells="1">
              <from>
                <xdr:col>0</xdr:col>
                <xdr:colOff>104775</xdr:colOff>
                <xdr:row>387</xdr:row>
                <xdr:rowOff>123825</xdr:rowOff>
              </from>
              <to>
                <xdr:col>1</xdr:col>
                <xdr:colOff>466725</xdr:colOff>
                <xdr:row>388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28" r:id="rId53" name="Check Box 108">
          <controlPr defaultSize="0" autoFill="0" autoLine="0" autoPict="0">
            <anchor moveWithCells="1">
              <from>
                <xdr:col>4</xdr:col>
                <xdr:colOff>657225</xdr:colOff>
                <xdr:row>615</xdr:row>
                <xdr:rowOff>19050</xdr:rowOff>
              </from>
              <to>
                <xdr:col>6</xdr:col>
                <xdr:colOff>323850</xdr:colOff>
                <xdr:row>616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29" r:id="rId54" name="Check Box 109">
          <controlPr defaultSize="0" autoFill="0" autoLine="0" autoPict="0">
            <anchor moveWithCells="1">
              <from>
                <xdr:col>6</xdr:col>
                <xdr:colOff>438150</xdr:colOff>
                <xdr:row>615</xdr:row>
                <xdr:rowOff>19050</xdr:rowOff>
              </from>
              <to>
                <xdr:col>8</xdr:col>
                <xdr:colOff>133350</xdr:colOff>
                <xdr:row>616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30" r:id="rId55" name="Check Box 110">
          <controlPr defaultSize="0" autoFill="0" autoLine="0" autoPict="0">
            <anchor moveWithCells="1">
              <from>
                <xdr:col>4</xdr:col>
                <xdr:colOff>657225</xdr:colOff>
                <xdr:row>616</xdr:row>
                <xdr:rowOff>142875</xdr:rowOff>
              </from>
              <to>
                <xdr:col>6</xdr:col>
                <xdr:colOff>257175</xdr:colOff>
                <xdr:row>617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31" r:id="rId56" name="Check Box 111">
          <controlPr defaultSize="0" autoFill="0" autoLine="0" autoPict="0">
            <anchor moveWithCells="1">
              <from>
                <xdr:col>6</xdr:col>
                <xdr:colOff>438150</xdr:colOff>
                <xdr:row>616</xdr:row>
                <xdr:rowOff>104775</xdr:rowOff>
              </from>
              <to>
                <xdr:col>8</xdr:col>
                <xdr:colOff>152400</xdr:colOff>
                <xdr:row>618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33" r:id="rId57" name="Check Box 113">
          <controlPr defaultSize="0" autoFill="0" autoLine="0" autoPict="0">
            <anchor moveWithCells="1">
              <from>
                <xdr:col>3</xdr:col>
                <xdr:colOff>190500</xdr:colOff>
                <xdr:row>702</xdr:row>
                <xdr:rowOff>9525</xdr:rowOff>
              </from>
              <to>
                <xdr:col>4</xdr:col>
                <xdr:colOff>200025</xdr:colOff>
                <xdr:row>702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34" r:id="rId58" name="Check Box 114">
          <controlPr defaultSize="0" autoFill="0" autoLine="0" autoPict="0">
            <anchor moveWithCells="1">
              <from>
                <xdr:col>1</xdr:col>
                <xdr:colOff>904875</xdr:colOff>
                <xdr:row>17</xdr:row>
                <xdr:rowOff>28575</xdr:rowOff>
              </from>
              <to>
                <xdr:col>2</xdr:col>
                <xdr:colOff>676275</xdr:colOff>
                <xdr:row>17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35" r:id="rId59" name="Check Box 115">
          <controlPr defaultSize="0" autoFill="0" autoLine="0" autoPict="0" altText="Gearbox">
            <anchor moveWithCells="1">
              <from>
                <xdr:col>3</xdr:col>
                <xdr:colOff>257175</xdr:colOff>
                <xdr:row>17</xdr:row>
                <xdr:rowOff>28575</xdr:rowOff>
              </from>
              <to>
                <xdr:col>3</xdr:col>
                <xdr:colOff>809625</xdr:colOff>
                <xdr:row>17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36" r:id="rId60" name="Check Box 116">
          <controlPr defaultSize="0" autoFill="0" autoLine="0" autoPict="0">
            <anchor moveWithCells="1">
              <from>
                <xdr:col>2</xdr:col>
                <xdr:colOff>609600</xdr:colOff>
                <xdr:row>17</xdr:row>
                <xdr:rowOff>28575</xdr:rowOff>
              </from>
              <to>
                <xdr:col>3</xdr:col>
                <xdr:colOff>295275</xdr:colOff>
                <xdr:row>17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37" r:id="rId61" name="Check Box 117">
          <controlPr defaultSize="0" autoFill="0" autoLine="0" autoPict="0">
            <anchor moveWithCells="1">
              <from>
                <xdr:col>5</xdr:col>
                <xdr:colOff>276225</xdr:colOff>
                <xdr:row>17</xdr:row>
                <xdr:rowOff>257175</xdr:rowOff>
              </from>
              <to>
                <xdr:col>7</xdr:col>
                <xdr:colOff>38100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38" r:id="rId62" name="Check Box 118">
          <controlPr locked="0" defaultSize="0" autoFill="0" autoLine="0" autoPict="0" altText="Gearbox">
            <anchor moveWithCells="1">
              <from>
                <xdr:col>4</xdr:col>
                <xdr:colOff>571500</xdr:colOff>
                <xdr:row>17</xdr:row>
                <xdr:rowOff>47625</xdr:rowOff>
              </from>
              <to>
                <xdr:col>5</xdr:col>
                <xdr:colOff>504825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39" r:id="rId63" name="Check Box 119">
          <controlPr defaultSize="0" autoFill="0" autoLine="0" autoPict="0">
            <anchor moveWithCells="1">
              <from>
                <xdr:col>3</xdr:col>
                <xdr:colOff>866775</xdr:colOff>
                <xdr:row>17</xdr:row>
                <xdr:rowOff>47625</xdr:rowOff>
              </from>
              <to>
                <xdr:col>4</xdr:col>
                <xdr:colOff>561975</xdr:colOff>
                <xdr:row>17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40" r:id="rId64" name="Check Box 120">
          <controlPr defaultSize="0" autoFill="0" autoLine="0" autoPict="0">
            <anchor moveWithCells="1">
              <from>
                <xdr:col>6</xdr:col>
                <xdr:colOff>95250</xdr:colOff>
                <xdr:row>24</xdr:row>
                <xdr:rowOff>28575</xdr:rowOff>
              </from>
              <to>
                <xdr:col>7</xdr:col>
                <xdr:colOff>342900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41" r:id="rId65" name="Check Box 121">
          <controlPr defaultSize="0" autoFill="0" autoLine="0" autoPict="0">
            <anchor moveWithCells="1">
              <from>
                <xdr:col>5</xdr:col>
                <xdr:colOff>180975</xdr:colOff>
                <xdr:row>25</xdr:row>
                <xdr:rowOff>142875</xdr:rowOff>
              </from>
              <to>
                <xdr:col>6</xdr:col>
                <xdr:colOff>428625</xdr:colOff>
                <xdr:row>26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42" r:id="rId66" name="Check Box 122">
          <controlPr defaultSize="0" autoFill="0" autoLine="0" autoPict="0">
            <anchor moveWithCells="1">
              <from>
                <xdr:col>7</xdr:col>
                <xdr:colOff>161925</xdr:colOff>
                <xdr:row>24</xdr:row>
                <xdr:rowOff>38100</xdr:rowOff>
              </from>
              <to>
                <xdr:col>8</xdr:col>
                <xdr:colOff>133350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43" r:id="rId67" name="Check Box 123">
          <controlPr defaultSize="0" autoFill="0" autoLine="0" autoPict="0">
            <anchor moveWithCells="1">
              <from>
                <xdr:col>6</xdr:col>
                <xdr:colOff>104775</xdr:colOff>
                <xdr:row>25</xdr:row>
                <xdr:rowOff>142875</xdr:rowOff>
              </from>
              <to>
                <xdr:col>7</xdr:col>
                <xdr:colOff>342900</xdr:colOff>
                <xdr:row>26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44" r:id="rId68" name="Check Box 124">
          <controlPr defaultSize="0" autoFill="0" autoLine="0" autoPict="0">
            <anchor moveWithCells="1">
              <from>
                <xdr:col>5</xdr:col>
                <xdr:colOff>180975</xdr:colOff>
                <xdr:row>24</xdr:row>
                <xdr:rowOff>28575</xdr:rowOff>
              </from>
              <to>
                <xdr:col>6</xdr:col>
                <xdr:colOff>428625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45" r:id="rId69" name="Check Box 125">
          <controlPr defaultSize="0" autoFill="0" autoLine="0" autoPict="0">
            <anchor moveWithCells="1">
              <from>
                <xdr:col>7</xdr:col>
                <xdr:colOff>152400</xdr:colOff>
                <xdr:row>25</xdr:row>
                <xdr:rowOff>152400</xdr:rowOff>
              </from>
              <to>
                <xdr:col>8</xdr:col>
                <xdr:colOff>104775</xdr:colOff>
                <xdr:row>26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46" r:id="rId70" name="Check Box 126">
          <controlPr defaultSize="0" autoFill="0" autoLine="0" autoPict="0">
            <anchor moveWithCells="1">
              <from>
                <xdr:col>3</xdr:col>
                <xdr:colOff>438150</xdr:colOff>
                <xdr:row>35</xdr:row>
                <xdr:rowOff>66675</xdr:rowOff>
              </from>
              <to>
                <xdr:col>4</xdr:col>
                <xdr:colOff>581025</xdr:colOff>
                <xdr:row>36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47" r:id="rId71" name="Check Box 127">
          <controlPr defaultSize="0" autoFill="0" autoLine="0" autoPict="0">
            <anchor moveWithCells="1">
              <from>
                <xdr:col>2</xdr:col>
                <xdr:colOff>95250</xdr:colOff>
                <xdr:row>35</xdr:row>
                <xdr:rowOff>66675</xdr:rowOff>
              </from>
              <to>
                <xdr:col>3</xdr:col>
                <xdr:colOff>19050</xdr:colOff>
                <xdr:row>36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48" r:id="rId72" name="Check Box 128">
          <controlPr defaultSize="0" autoFill="0" autoLine="0" autoPict="0">
            <anchor moveWithCells="1">
              <from>
                <xdr:col>2</xdr:col>
                <xdr:colOff>95250</xdr:colOff>
                <xdr:row>36</xdr:row>
                <xdr:rowOff>161925</xdr:rowOff>
              </from>
              <to>
                <xdr:col>3</xdr:col>
                <xdr:colOff>219075</xdr:colOff>
                <xdr:row>37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49" r:id="rId73" name="Check Box 129">
          <controlPr defaultSize="0" autoFill="0" autoLine="0" autoPict="0">
            <anchor moveWithCells="1">
              <from>
                <xdr:col>3</xdr:col>
                <xdr:colOff>438150</xdr:colOff>
                <xdr:row>36</xdr:row>
                <xdr:rowOff>161925</xdr:rowOff>
              </from>
              <to>
                <xdr:col>4</xdr:col>
                <xdr:colOff>523875</xdr:colOff>
                <xdr:row>37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50" r:id="rId74" name="Check Box 130">
          <controlPr defaultSize="0" autoFill="0" autoLine="0" autoPict="0">
            <anchor moveWithCells="1">
              <from>
                <xdr:col>6</xdr:col>
                <xdr:colOff>114300</xdr:colOff>
                <xdr:row>35</xdr:row>
                <xdr:rowOff>66675</xdr:rowOff>
              </from>
              <to>
                <xdr:col>7</xdr:col>
                <xdr:colOff>285750</xdr:colOff>
                <xdr:row>36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51" r:id="rId75" name="Check Box 131">
          <controlPr defaultSize="0" autoFill="0" autoLine="0" autoPict="0">
            <anchor moveWithCells="1">
              <from>
                <xdr:col>6</xdr:col>
                <xdr:colOff>114300</xdr:colOff>
                <xdr:row>36</xdr:row>
                <xdr:rowOff>161925</xdr:rowOff>
              </from>
              <to>
                <xdr:col>7</xdr:col>
                <xdr:colOff>304800</xdr:colOff>
                <xdr:row>37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52" r:id="rId76" name="Check Box 132">
          <controlPr defaultSize="0" autoFill="0" autoLine="0" autoPict="0">
            <anchor moveWithCells="1">
              <from>
                <xdr:col>4</xdr:col>
                <xdr:colOff>704850</xdr:colOff>
                <xdr:row>36</xdr:row>
                <xdr:rowOff>161925</xdr:rowOff>
              </from>
              <to>
                <xdr:col>5</xdr:col>
                <xdr:colOff>581025</xdr:colOff>
                <xdr:row>37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53" r:id="rId77" name="Check Box 133">
          <controlPr defaultSize="0" autoFill="0" autoLine="0" autoPict="0">
            <anchor moveWithCells="1">
              <from>
                <xdr:col>4</xdr:col>
                <xdr:colOff>704850</xdr:colOff>
                <xdr:row>35</xdr:row>
                <xdr:rowOff>66675</xdr:rowOff>
              </from>
              <to>
                <xdr:col>5</xdr:col>
                <xdr:colOff>552450</xdr:colOff>
                <xdr:row>36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54" r:id="rId78" name="Check Box 134">
          <controlPr defaultSize="0" autoFill="0" autoLine="0" autoPict="0">
            <anchor moveWithCells="1">
              <from>
                <xdr:col>5</xdr:col>
                <xdr:colOff>495300</xdr:colOff>
                <xdr:row>31</xdr:row>
                <xdr:rowOff>28575</xdr:rowOff>
              </from>
              <to>
                <xdr:col>7</xdr:col>
                <xdr:colOff>381000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55" r:id="rId79" name="Check Box 135">
          <controlPr defaultSize="0" autoFill="0" autoLine="0" autoPict="0">
            <anchor moveWithCells="1">
              <from>
                <xdr:col>1</xdr:col>
                <xdr:colOff>295275</xdr:colOff>
                <xdr:row>38</xdr:row>
                <xdr:rowOff>171450</xdr:rowOff>
              </from>
              <to>
                <xdr:col>1</xdr:col>
                <xdr:colOff>571500</xdr:colOff>
                <xdr:row>40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56" r:id="rId80" name="Check Box 136">
          <controlPr defaultSize="0" autoFill="0" autoLine="0" autoPict="0">
            <anchor moveWithCells="1">
              <from>
                <xdr:col>5</xdr:col>
                <xdr:colOff>485775</xdr:colOff>
                <xdr:row>38</xdr:row>
                <xdr:rowOff>180975</xdr:rowOff>
              </from>
              <to>
                <xdr:col>6</xdr:col>
                <xdr:colOff>123825</xdr:colOff>
                <xdr:row>40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57" r:id="rId81" name="Check Box 137">
          <controlPr defaultSize="0" autoFill="0" autoLine="0" autoPict="0">
            <anchor moveWithCells="1">
              <from>
                <xdr:col>6</xdr:col>
                <xdr:colOff>47625</xdr:colOff>
                <xdr:row>47</xdr:row>
                <xdr:rowOff>161925</xdr:rowOff>
              </from>
              <to>
                <xdr:col>6</xdr:col>
                <xdr:colOff>276225</xdr:colOff>
                <xdr:row>49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58" r:id="rId82" name="Check Box 138">
          <controlPr defaultSize="0" autoFill="0" autoLine="0" autoPict="0">
            <anchor moveWithCells="1">
              <from>
                <xdr:col>2</xdr:col>
                <xdr:colOff>28575</xdr:colOff>
                <xdr:row>126</xdr:row>
                <xdr:rowOff>161925</xdr:rowOff>
              </from>
              <to>
                <xdr:col>3</xdr:col>
                <xdr:colOff>19050</xdr:colOff>
                <xdr:row>128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59" r:id="rId83" name="Check Box 139">
          <controlPr defaultSize="0" autoFill="0" autoLine="0" autoPict="0">
            <anchor moveWithCells="1">
              <from>
                <xdr:col>2</xdr:col>
                <xdr:colOff>647700</xdr:colOff>
                <xdr:row>126</xdr:row>
                <xdr:rowOff>161925</xdr:rowOff>
              </from>
              <to>
                <xdr:col>3</xdr:col>
                <xdr:colOff>647700</xdr:colOff>
                <xdr:row>128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60" r:id="rId84" name="Check Box 140">
          <controlPr defaultSize="0" autoFill="0" autoLine="0" autoPict="0">
            <anchor moveWithCells="1">
              <from>
                <xdr:col>3</xdr:col>
                <xdr:colOff>390525</xdr:colOff>
                <xdr:row>126</xdr:row>
                <xdr:rowOff>161925</xdr:rowOff>
              </from>
              <to>
                <xdr:col>4</xdr:col>
                <xdr:colOff>390525</xdr:colOff>
                <xdr:row>128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61" r:id="rId85" name="Check Box 141">
          <controlPr defaultSize="0" autoFill="0" autoLine="0" autoPict="0">
            <anchor moveWithCells="1">
              <from>
                <xdr:col>4</xdr:col>
                <xdr:colOff>123825</xdr:colOff>
                <xdr:row>126</xdr:row>
                <xdr:rowOff>161925</xdr:rowOff>
              </from>
              <to>
                <xdr:col>4</xdr:col>
                <xdr:colOff>638175</xdr:colOff>
                <xdr:row>128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69" r:id="rId86" name="Check Box 149">
          <controlPr defaultSize="0" autoFill="0" autoLine="0" autoPict="0">
            <anchor moveWithCells="1">
              <from>
                <xdr:col>0</xdr:col>
                <xdr:colOff>819150</xdr:colOff>
                <xdr:row>192</xdr:row>
                <xdr:rowOff>180975</xdr:rowOff>
              </from>
              <to>
                <xdr:col>1</xdr:col>
                <xdr:colOff>200025</xdr:colOff>
                <xdr:row>193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83" r:id="rId87" name="Check Box 163">
          <controlPr defaultSize="0" autoFill="0" autoLine="0" autoPict="0">
            <anchor moveWithCells="1">
              <from>
                <xdr:col>0</xdr:col>
                <xdr:colOff>85725</xdr:colOff>
                <xdr:row>317</xdr:row>
                <xdr:rowOff>85725</xdr:rowOff>
              </from>
              <to>
                <xdr:col>0</xdr:col>
                <xdr:colOff>866775</xdr:colOff>
                <xdr:row>318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84" r:id="rId88" name="Check Box 164">
          <controlPr defaultSize="0" autoFill="0" autoLine="0" autoPict="0">
            <anchor moveWithCells="1">
              <from>
                <xdr:col>0</xdr:col>
                <xdr:colOff>85725</xdr:colOff>
                <xdr:row>318</xdr:row>
                <xdr:rowOff>161925</xdr:rowOff>
              </from>
              <to>
                <xdr:col>0</xdr:col>
                <xdr:colOff>866775</xdr:colOff>
                <xdr:row>319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18" r:id="rId89" name="Check Box 198">
          <controlPr defaultSize="0" autoFill="0" autoLine="0" autoPict="0">
            <anchor moveWithCells="1">
              <from>
                <xdr:col>0</xdr:col>
                <xdr:colOff>85725</xdr:colOff>
                <xdr:row>317</xdr:row>
                <xdr:rowOff>85725</xdr:rowOff>
              </from>
              <to>
                <xdr:col>0</xdr:col>
                <xdr:colOff>866775</xdr:colOff>
                <xdr:row>318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19" r:id="rId90" name="Check Box 199">
          <controlPr defaultSize="0" autoFill="0" autoLine="0" autoPict="0">
            <anchor moveWithCells="1">
              <from>
                <xdr:col>0</xdr:col>
                <xdr:colOff>85725</xdr:colOff>
                <xdr:row>318</xdr:row>
                <xdr:rowOff>161925</xdr:rowOff>
              </from>
              <to>
                <xdr:col>0</xdr:col>
                <xdr:colOff>866775</xdr:colOff>
                <xdr:row>319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44" r:id="rId91" name="Check Box 224">
          <controlPr defaultSize="0" autoFill="0" autoLine="0" autoPict="0">
            <anchor moveWithCells="1">
              <from>
                <xdr:col>1</xdr:col>
                <xdr:colOff>28575</xdr:colOff>
                <xdr:row>125</xdr:row>
                <xdr:rowOff>171450</xdr:rowOff>
              </from>
              <to>
                <xdr:col>2</xdr:col>
                <xdr:colOff>152400</xdr:colOff>
                <xdr:row>127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51" r:id="rId92" name="Check Box 231">
          <controlPr defaultSize="0" autoFill="0" autoLine="0" autoPict="0">
            <anchor moveWithCells="1">
              <from>
                <xdr:col>0</xdr:col>
                <xdr:colOff>819150</xdr:colOff>
                <xdr:row>192</xdr:row>
                <xdr:rowOff>180975</xdr:rowOff>
              </from>
              <to>
                <xdr:col>1</xdr:col>
                <xdr:colOff>200025</xdr:colOff>
                <xdr:row>193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58" r:id="rId93" name="Check Box 238">
          <controlPr defaultSize="0" autoFill="0" autoLine="0" autoPict="0">
            <anchor moveWithCells="1">
              <from>
                <xdr:col>0</xdr:col>
                <xdr:colOff>819150</xdr:colOff>
                <xdr:row>192</xdr:row>
                <xdr:rowOff>180975</xdr:rowOff>
              </from>
              <to>
                <xdr:col>1</xdr:col>
                <xdr:colOff>200025</xdr:colOff>
                <xdr:row>193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66" r:id="rId94" name="Check Box 246">
          <controlPr defaultSize="0" autoFill="0" autoLine="0" autoPict="0">
            <anchor moveWithCells="1">
              <from>
                <xdr:col>0</xdr:col>
                <xdr:colOff>304800</xdr:colOff>
                <xdr:row>278</xdr:row>
                <xdr:rowOff>180975</xdr:rowOff>
              </from>
              <to>
                <xdr:col>0</xdr:col>
                <xdr:colOff>895350</xdr:colOff>
                <xdr:row>280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67" r:id="rId95" name="Check Box 247">
          <controlPr defaultSize="0" autoFill="0" autoLine="0" autoPict="0">
            <anchor moveWithCells="1">
              <from>
                <xdr:col>1</xdr:col>
                <xdr:colOff>409575</xdr:colOff>
                <xdr:row>278</xdr:row>
                <xdr:rowOff>180975</xdr:rowOff>
              </from>
              <to>
                <xdr:col>2</xdr:col>
                <xdr:colOff>752475</xdr:colOff>
                <xdr:row>280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68" r:id="rId96" name="Check Box 248">
          <controlPr defaultSize="0" autoFill="0" autoLine="0" autoPict="0">
            <anchor moveWithCells="1">
              <from>
                <xdr:col>0</xdr:col>
                <xdr:colOff>304800</xdr:colOff>
                <xdr:row>280</xdr:row>
                <xdr:rowOff>9525</xdr:rowOff>
              </from>
              <to>
                <xdr:col>1</xdr:col>
                <xdr:colOff>123825</xdr:colOff>
                <xdr:row>281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69" r:id="rId97" name="Check Box 249">
          <controlPr defaultSize="0" autoFill="0" autoLine="0" autoPict="0">
            <anchor moveWithCells="1">
              <from>
                <xdr:col>1</xdr:col>
                <xdr:colOff>409575</xdr:colOff>
                <xdr:row>280</xdr:row>
                <xdr:rowOff>19050</xdr:rowOff>
              </from>
              <to>
                <xdr:col>2</xdr:col>
                <xdr:colOff>419100</xdr:colOff>
                <xdr:row>281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70" r:id="rId98" name="Check Box 250">
          <controlPr defaultSize="0" autoFill="0" autoLine="0" autoPict="0">
            <anchor moveWithCells="1">
              <from>
                <xdr:col>0</xdr:col>
                <xdr:colOff>304800</xdr:colOff>
                <xdr:row>281</xdr:row>
                <xdr:rowOff>28575</xdr:rowOff>
              </from>
              <to>
                <xdr:col>1</xdr:col>
                <xdr:colOff>133350</xdr:colOff>
                <xdr:row>282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71" r:id="rId99" name="Check Box 251">
          <controlPr defaultSize="0" autoFill="0" autoLine="0" autoPict="0">
            <anchor moveWithCells="1">
              <from>
                <xdr:col>1</xdr:col>
                <xdr:colOff>409575</xdr:colOff>
                <xdr:row>281</xdr:row>
                <xdr:rowOff>38100</xdr:rowOff>
              </from>
              <to>
                <xdr:col>2</xdr:col>
                <xdr:colOff>723900</xdr:colOff>
                <xdr:row>282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72" r:id="rId100" name="Check Box 252">
          <controlPr defaultSize="0" autoFill="0" autoLine="0" autoPict="0">
            <anchor moveWithCells="1">
              <from>
                <xdr:col>0</xdr:col>
                <xdr:colOff>304800</xdr:colOff>
                <xdr:row>283</xdr:row>
                <xdr:rowOff>19050</xdr:rowOff>
              </from>
              <to>
                <xdr:col>2</xdr:col>
                <xdr:colOff>800100</xdr:colOff>
                <xdr:row>284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75" r:id="rId101" name="Check Box 255">
          <controlPr defaultSize="0" autoFill="0" autoLine="0" autoPict="0">
            <anchor moveWithCells="1">
              <from>
                <xdr:col>1</xdr:col>
                <xdr:colOff>295275</xdr:colOff>
                <xdr:row>422</xdr:row>
                <xdr:rowOff>209550</xdr:rowOff>
              </from>
              <to>
                <xdr:col>1</xdr:col>
                <xdr:colOff>571500</xdr:colOff>
                <xdr:row>424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76" r:id="rId102" name="Check Box 256">
          <controlPr defaultSize="0" autoFill="0" autoLine="0" autoPict="0">
            <anchor moveWithCells="1">
              <from>
                <xdr:col>5</xdr:col>
                <xdr:colOff>485775</xdr:colOff>
                <xdr:row>422</xdr:row>
                <xdr:rowOff>219075</xdr:rowOff>
              </from>
              <to>
                <xdr:col>6</xdr:col>
                <xdr:colOff>123825</xdr:colOff>
                <xdr:row>424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77" r:id="rId103" name="Check Box 257">
          <controlPr defaultSize="0" autoFill="0" autoLine="0" autoPict="0">
            <anchor moveWithCells="1">
              <from>
                <xdr:col>6</xdr:col>
                <xdr:colOff>47625</xdr:colOff>
                <xdr:row>431</xdr:row>
                <xdr:rowOff>200025</xdr:rowOff>
              </from>
              <to>
                <xdr:col>6</xdr:col>
                <xdr:colOff>276225</xdr:colOff>
                <xdr:row>433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78" r:id="rId104" name="Check Box 258">
          <controlPr defaultSize="0" autoFill="0" autoLine="0" autoPict="0">
            <anchor moveWithCells="1">
              <from>
                <xdr:col>0</xdr:col>
                <xdr:colOff>9525</xdr:colOff>
                <xdr:row>633</xdr:row>
                <xdr:rowOff>28575</xdr:rowOff>
              </from>
              <to>
                <xdr:col>1</xdr:col>
                <xdr:colOff>381000</xdr:colOff>
                <xdr:row>634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79" r:id="rId105" name="Check Box 259">
          <controlPr defaultSize="0" autoFill="0" autoLine="0" autoPict="0">
            <anchor moveWithCells="1">
              <from>
                <xdr:col>2</xdr:col>
                <xdr:colOff>28575</xdr:colOff>
                <xdr:row>633</xdr:row>
                <xdr:rowOff>28575</xdr:rowOff>
              </from>
              <to>
                <xdr:col>3</xdr:col>
                <xdr:colOff>95250</xdr:colOff>
                <xdr:row>634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80" r:id="rId106" name="Check Box 260">
          <controlPr defaultSize="0" autoFill="0" autoLine="0" autoPict="0">
            <anchor moveWithCells="1">
              <from>
                <xdr:col>0</xdr:col>
                <xdr:colOff>9525</xdr:colOff>
                <xdr:row>634</xdr:row>
                <xdr:rowOff>104775</xdr:rowOff>
              </from>
              <to>
                <xdr:col>1</xdr:col>
                <xdr:colOff>314325</xdr:colOff>
                <xdr:row>635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81" r:id="rId107" name="Check Box 261">
          <controlPr defaultSize="0" autoFill="0" autoLine="0" autoPict="0">
            <anchor moveWithCells="1">
              <from>
                <xdr:col>2</xdr:col>
                <xdr:colOff>28575</xdr:colOff>
                <xdr:row>634</xdr:row>
                <xdr:rowOff>104775</xdr:rowOff>
              </from>
              <to>
                <xdr:col>3</xdr:col>
                <xdr:colOff>114300</xdr:colOff>
                <xdr:row>635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82" r:id="rId108" name="Check Box 262">
          <controlPr defaultSize="0" autoFill="0" autoLine="0" autoPict="0">
            <anchor moveWithCells="1">
              <from>
                <xdr:col>4</xdr:col>
                <xdr:colOff>142875</xdr:colOff>
                <xdr:row>633</xdr:row>
                <xdr:rowOff>28575</xdr:rowOff>
              </from>
              <to>
                <xdr:col>5</xdr:col>
                <xdr:colOff>552450</xdr:colOff>
                <xdr:row>634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83" r:id="rId109" name="Check Box 263">
          <controlPr defaultSize="0" autoFill="0" autoLine="0" autoPict="0">
            <anchor moveWithCells="1">
              <from>
                <xdr:col>6</xdr:col>
                <xdr:colOff>266700</xdr:colOff>
                <xdr:row>633</xdr:row>
                <xdr:rowOff>28575</xdr:rowOff>
              </from>
              <to>
                <xdr:col>8</xdr:col>
                <xdr:colOff>0</xdr:colOff>
                <xdr:row>634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84" r:id="rId110" name="Check Box 264">
          <controlPr defaultSize="0" autoFill="0" autoLine="0" autoPict="0">
            <anchor moveWithCells="1">
              <from>
                <xdr:col>4</xdr:col>
                <xdr:colOff>142875</xdr:colOff>
                <xdr:row>634</xdr:row>
                <xdr:rowOff>104775</xdr:rowOff>
              </from>
              <to>
                <xdr:col>5</xdr:col>
                <xdr:colOff>485775</xdr:colOff>
                <xdr:row>635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85" r:id="rId111" name="Check Box 265">
          <controlPr defaultSize="0" autoFill="0" autoLine="0" autoPict="0">
            <anchor moveWithCells="1">
              <from>
                <xdr:col>6</xdr:col>
                <xdr:colOff>266700</xdr:colOff>
                <xdr:row>634</xdr:row>
                <xdr:rowOff>104775</xdr:rowOff>
              </from>
              <to>
                <xdr:col>8</xdr:col>
                <xdr:colOff>19050</xdr:colOff>
                <xdr:row>635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86" r:id="rId112" name="Check Box 266">
          <controlPr defaultSize="0" autoFill="0" autoLine="0" autoPict="0">
            <anchor moveWithCells="1">
              <from>
                <xdr:col>4</xdr:col>
                <xdr:colOff>161925</xdr:colOff>
                <xdr:row>302</xdr:row>
                <xdr:rowOff>142875</xdr:rowOff>
              </from>
              <to>
                <xdr:col>5</xdr:col>
                <xdr:colOff>457200</xdr:colOff>
                <xdr:row>303</xdr:row>
                <xdr:rowOff>161925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1" id="{37380033-ED01-4C96-8837-7DBE303F5961}">
            <xm:f>AND(Unformatted!$H$157&lt;=Tolerances!$W$2,Unformatted!G$157&lt;&gt;0)</xm:f>
            <x14:dxf>
              <font>
                <b/>
                <i val="0"/>
                <color rgb="FFFF0000"/>
              </font>
            </x14:dxf>
          </x14:cfRule>
          <xm:sqref>A107 B109:C109</xm:sqref>
        </x14:conditionalFormatting>
        <x14:conditionalFormatting xmlns:xm="http://schemas.microsoft.com/office/excel/2006/main">
          <x14:cfRule type="expression" priority="366" id="{140A48D7-E1FD-4BF9-8B5F-9CB63F84AAD6}">
            <xm:f>IF(Unformatted!H161&gt;Tolerances!W3,1,0)</xm:f>
            <x14:dxf>
              <font>
                <b/>
                <i val="0"/>
                <color rgb="FFFF0000"/>
              </font>
            </x14:dxf>
          </x14:cfRule>
          <xm:sqref>F109</xm:sqref>
        </x14:conditionalFormatting>
        <x14:conditionalFormatting xmlns:xm="http://schemas.microsoft.com/office/excel/2006/main">
          <x14:cfRule type="expression" priority="367" id="{3E770C9E-B39A-4251-A990-7A7EA9A4E18D}">
            <xm:f>IF(Unformatted!H162&gt;Tolerances!W3,1,0)</xm:f>
            <x14:dxf>
              <font>
                <b/>
                <i val="0"/>
                <color rgb="FFFF0000"/>
              </font>
            </x14:dxf>
          </x14:cfRule>
          <xm:sqref>F110</xm:sqref>
        </x14:conditionalFormatting>
        <x14:conditionalFormatting xmlns:xm="http://schemas.microsoft.com/office/excel/2006/main">
          <x14:cfRule type="expression" priority="298" id="{CB752DEA-14F1-466C-B316-E0D20C8A96AF}">
            <xm:f>F711&gt;Tolerances!$AE$2</xm:f>
            <x14:dxf>
              <font>
                <b/>
                <i val="0"/>
                <color rgb="FFFF0000"/>
              </font>
            </x14:dxf>
          </x14:cfRule>
          <xm:sqref>D711</xm:sqref>
        </x14:conditionalFormatting>
        <x14:conditionalFormatting xmlns:xm="http://schemas.microsoft.com/office/excel/2006/main">
          <x14:cfRule type="expression" priority="294" id="{7CFB699E-B26D-45F9-B366-C9704B81C5F2}">
            <xm:f>AND(Unformatted!$E$85,OR(Unformatted!#REF!="OPEN",Unformatted!$E$96&lt;&gt;"Good"))</xm:f>
            <x14:dxf>
              <font>
                <b/>
                <i val="0"/>
                <color rgb="FFFF0000"/>
              </font>
            </x14:dxf>
          </x14:cfRule>
          <xm:sqref>M33</xm:sqref>
        </x14:conditionalFormatting>
        <x14:conditionalFormatting xmlns:xm="http://schemas.microsoft.com/office/excel/2006/main">
          <x14:cfRule type="expression" priority="295" id="{F87F9DEE-DC55-4D65-97BF-AC3E79B4CD93}">
            <xm:f>AND(Unformatted!$E$99,OR(Unformatted!#REF!="OPEN",Unformatted!#REF!&lt;&gt;"Good"))</xm:f>
            <x14:dxf>
              <font>
                <b/>
                <i val="0"/>
                <color rgb="FFFF0000"/>
              </font>
            </x14:dxf>
          </x14:cfRule>
          <xm:sqref>K27 M34:M38</xm:sqref>
        </x14:conditionalFormatting>
        <x14:conditionalFormatting xmlns:xm="http://schemas.microsoft.com/office/excel/2006/main">
          <x14:cfRule type="expression" priority="291" id="{FA75AA9C-C59B-43A8-817F-D6F9C533D001}">
            <xm:f>AND(Unformatted!$E$99,OR(Unformatted!#REF!="OPEN",Unformatted!#REF!&lt;&gt;"Good"))</xm:f>
            <x14:dxf>
              <font>
                <b/>
                <i val="0"/>
                <color rgb="FFFF0000"/>
              </font>
            </x14:dxf>
          </x14:cfRule>
          <xm:sqref>D30 C29 A40 A31</xm:sqref>
        </x14:conditionalFormatting>
        <x14:conditionalFormatting xmlns:xm="http://schemas.microsoft.com/office/excel/2006/main">
          <x14:cfRule type="expression" priority="292" id="{5E77CFFB-BA5A-4630-83EE-43F38538B943}">
            <xm:f>AND(Unformatted!$E$99,OR(Unformatted!#REF!="OPEN",Unformatted!#REF!&lt;&gt;"Good"))</xm:f>
            <x14:dxf>
              <font>
                <b/>
                <i val="0"/>
                <color rgb="FFFF0000"/>
              </font>
            </x14:dxf>
          </x14:cfRule>
          <xm:sqref>G30</xm:sqref>
        </x14:conditionalFormatting>
        <x14:conditionalFormatting xmlns:xm="http://schemas.microsoft.com/office/excel/2006/main">
          <x14:cfRule type="expression" priority="180" id="{733DF54E-2814-40B5-8798-165C881F7F65}">
            <xm:f>Unformatted!$F$64=3</xm:f>
            <x14:dxf>
              <font>
                <b/>
                <i val="0"/>
                <color rgb="FFFF0000"/>
              </font>
            </x14:dxf>
          </x14:cfRule>
          <xm:sqref>A22</xm:sqref>
        </x14:conditionalFormatting>
        <x14:conditionalFormatting xmlns:xm="http://schemas.microsoft.com/office/excel/2006/main">
          <x14:cfRule type="expression" priority="179" id="{AE8FD0F5-235E-4D56-9014-F3B902523181}">
            <xm:f>Unformatted!$E$145:$E$152=TRUE</xm:f>
            <x14:dxf>
              <font>
                <b/>
                <i val="0"/>
                <color rgb="FFFF0000"/>
              </font>
            </x14:dxf>
          </x14:cfRule>
          <xm:sqref>B37</xm:sqref>
        </x14:conditionalFormatting>
        <x14:conditionalFormatting xmlns:xm="http://schemas.microsoft.com/office/excel/2006/main">
          <x14:cfRule type="expression" priority="178" id="{3B4320BD-D4F2-421F-87C2-1BA30FF4F07A}">
            <xm:f>Unformatted!$F$96=3</xm:f>
            <x14:dxf>
              <font>
                <b/>
                <i val="0"/>
                <color rgb="FFFF0000"/>
              </font>
            </x14:dxf>
          </x14:cfRule>
          <xm:sqref>A51</xm:sqref>
        </x14:conditionalFormatting>
        <x14:conditionalFormatting xmlns:xm="http://schemas.microsoft.com/office/excel/2006/main">
          <x14:cfRule type="expression" priority="177" id="{5AF87598-048B-4260-B173-F6215C729C90}">
            <xm:f>Unformatted!$F$105=3</xm:f>
            <x14:dxf>
              <font>
                <b/>
                <i val="0"/>
                <color rgb="FFFF0000"/>
              </font>
            </x14:dxf>
          </x14:cfRule>
          <xm:sqref>D48</xm:sqref>
        </x14:conditionalFormatting>
        <x14:conditionalFormatting xmlns:xm="http://schemas.microsoft.com/office/excel/2006/main">
          <x14:cfRule type="expression" priority="176" id="{0BF44BB6-5F29-4C0A-BE8B-2057C554AA2C}">
            <xm:f>Unformatted!$F$112=3</xm:f>
            <x14:dxf>
              <font>
                <b/>
                <i val="0"/>
                <color rgb="FFFF0000"/>
              </font>
            </x14:dxf>
          </x14:cfRule>
          <xm:sqref>G48</xm:sqref>
        </x14:conditionalFormatting>
        <x14:conditionalFormatting xmlns:xm="http://schemas.microsoft.com/office/excel/2006/main">
          <x14:cfRule type="expression" priority="175" id="{51B093AA-B6C7-457A-A816-D3F40CCF0F43}">
            <xm:f>Unformatted!$F$122=3</xm:f>
            <x14:dxf>
              <font>
                <b/>
                <i val="0"/>
                <color rgb="FFFF0000"/>
              </font>
            </x14:dxf>
          </x14:cfRule>
          <xm:sqref>G52</xm:sqref>
        </x14:conditionalFormatting>
        <x14:conditionalFormatting xmlns:xm="http://schemas.microsoft.com/office/excel/2006/main">
          <x14:cfRule type="expression" priority="160" id="{9EAEA9E9-CF9D-4AA2-9CFE-45BBC789820A}">
            <xm:f>AND(E116&gt;Tolerances!Z4,E116&lt;&gt;"N/A",E116&lt;&gt;"")</xm:f>
            <x14:dxf>
              <font>
                <b/>
                <i val="0"/>
                <color rgb="FFFF0000"/>
              </font>
            </x14:dxf>
          </x14:cfRule>
          <xm:sqref>D116</xm:sqref>
        </x14:conditionalFormatting>
        <x14:conditionalFormatting xmlns:xm="http://schemas.microsoft.com/office/excel/2006/main">
          <x14:cfRule type="expression" priority="372" id="{9B7038E8-FF91-4EAC-A114-C72FAA796691}">
            <xm:f>IF(Unformatted!H160&gt;Tolerances!W3,1,0)</xm:f>
            <x14:dxf>
              <font>
                <b/>
                <i val="0"/>
                <color rgb="FFFF0000"/>
              </font>
            </x14:dxf>
          </x14:cfRule>
          <xm:sqref>E108</xm:sqref>
        </x14:conditionalFormatting>
        <x14:conditionalFormatting xmlns:xm="http://schemas.microsoft.com/office/excel/2006/main">
          <x14:cfRule type="expression" priority="159" id="{F3480D8F-98A3-4393-B59B-20C8A1F6F304}">
            <xm:f>IF(Unformatted!H161&gt;Tolerances!W3,1,0)</xm:f>
            <x14:dxf>
              <font>
                <b/>
                <i val="0"/>
                <color rgb="FFFF0000"/>
              </font>
            </x14:dxf>
          </x14:cfRule>
          <xm:sqref>E109</xm:sqref>
        </x14:conditionalFormatting>
        <x14:conditionalFormatting xmlns:xm="http://schemas.microsoft.com/office/excel/2006/main">
          <x14:cfRule type="expression" priority="158" id="{9C5643B6-7EB3-4258-B807-B89AF2455E59}">
            <xm:f>IF(Unformatted!H162&gt;Tolerances!W3,1,0)</xm:f>
            <x14:dxf>
              <font>
                <b/>
                <i val="0"/>
                <color rgb="FFFF0000"/>
              </font>
            </x14:dxf>
          </x14:cfRule>
          <xm:sqref>E110</xm:sqref>
        </x14:conditionalFormatting>
        <x14:conditionalFormatting xmlns:xm="http://schemas.microsoft.com/office/excel/2006/main">
          <x14:cfRule type="expression" priority="164" id="{B44A096F-52FC-4D12-83E9-CEF058E10DAC}">
            <xm:f>IF(Unformatted!H160&gt;Tolerances!W3,1,0)</xm:f>
            <x14:dxf>
              <font>
                <b/>
                <i val="0"/>
                <color rgb="FFFF0000"/>
              </font>
            </x14:dxf>
          </x14:cfRule>
          <xm:sqref>F108</xm:sqref>
        </x14:conditionalFormatting>
        <x14:conditionalFormatting xmlns:xm="http://schemas.microsoft.com/office/excel/2006/main">
          <x14:cfRule type="expression" priority="153" id="{AEFE2092-9310-4B49-AA15-25887B5E794A}">
            <xm:f>Unformatted!$M$180&gt;0</xm:f>
            <x14:dxf>
              <font>
                <b/>
                <i val="0"/>
                <color rgb="FFFF0000"/>
              </font>
            </x14:dxf>
          </x14:cfRule>
          <xm:sqref>B128</xm:sqref>
        </x14:conditionalFormatting>
        <x14:conditionalFormatting xmlns:xm="http://schemas.microsoft.com/office/excel/2006/main">
          <x14:cfRule type="expression" priority="155" id="{3DC70AEA-28BD-413E-AD22-E0E91A99D631}">
            <xm:f>OR(ROUND(100*Unformatted!J183,1)&gt;Tolerances!$AC$2,ROUND(100*Unformatted!K183,1)&gt;Tolerances!$AC$3)</xm:f>
            <x14:dxf>
              <font>
                <b/>
                <i val="0"/>
                <color rgb="FFFF0000"/>
              </font>
            </x14:dxf>
          </x14:cfRule>
          <xm:sqref>B125</xm:sqref>
        </x14:conditionalFormatting>
        <x14:conditionalFormatting xmlns:xm="http://schemas.microsoft.com/office/excel/2006/main">
          <x14:cfRule type="expression" priority="156" id="{58F3AAC9-27A0-4463-B0B5-D6A169B5E807}">
            <xm:f>OR(ROUND(100*Unformatted!J182,1)&gt;Tolerances!$AC$2,ROUND(100*Unformatted!K182,1)&gt;Tolerances!$AC$3)</xm:f>
            <x14:dxf>
              <font>
                <b/>
                <i val="0"/>
                <color rgb="FFFF0000"/>
              </font>
            </x14:dxf>
          </x14:cfRule>
          <xm:sqref>B126</xm:sqref>
        </x14:conditionalFormatting>
        <x14:conditionalFormatting xmlns:xm="http://schemas.microsoft.com/office/excel/2006/main">
          <x14:cfRule type="expression" priority="105" id="{364FE0F4-5EEF-4F09-9747-51FAB7C07AE9}">
            <xm:f>IF(Unformatted!$F$197=3,1)</xm:f>
            <x14:dxf>
              <font>
                <b/>
                <i val="0"/>
                <color rgb="FFFF0000"/>
              </font>
            </x14:dxf>
          </x14:cfRule>
          <xm:sqref>A165</xm:sqref>
        </x14:conditionalFormatting>
        <x14:conditionalFormatting xmlns:xm="http://schemas.microsoft.com/office/excel/2006/main">
          <x14:cfRule type="expression" priority="121" id="{0E1066C4-2625-4C9F-9C6A-51EDBCEAE08B}">
            <xm:f>IF(Unformatted!$F$232=2,1)</xm:f>
            <x14:dxf>
              <font>
                <b/>
                <i val="0"/>
                <color rgb="FFFF0000"/>
              </font>
            </x14:dxf>
          </x14:cfRule>
          <xm:sqref>F188</xm:sqref>
        </x14:conditionalFormatting>
        <x14:conditionalFormatting xmlns:xm="http://schemas.microsoft.com/office/excel/2006/main">
          <x14:cfRule type="expression" priority="122" id="{B7B14902-A392-4C24-A5C1-3EA952EB8B8C}">
            <xm:f>Unformatted!$M$212="Bad"</xm:f>
            <x14:dxf>
              <font>
                <b/>
                <i val="0"/>
                <color rgb="FFFF0000"/>
              </font>
            </x14:dxf>
          </x14:cfRule>
          <xm:sqref>F174</xm:sqref>
        </x14:conditionalFormatting>
        <x14:conditionalFormatting xmlns:xm="http://schemas.microsoft.com/office/excel/2006/main">
          <x14:cfRule type="expression" priority="123" id="{6E4FCB64-80FD-4607-BB70-D0BA61340F24}">
            <xm:f>Unformatted!$M$214="Bad"</xm:f>
            <x14:dxf>
              <font>
                <b/>
                <i val="0"/>
                <color rgb="FFFF0000"/>
              </font>
            </x14:dxf>
          </x14:cfRule>
          <xm:sqref>F181</xm:sqref>
        </x14:conditionalFormatting>
        <x14:conditionalFormatting xmlns:xm="http://schemas.microsoft.com/office/excel/2006/main">
          <x14:cfRule type="expression" priority="124" id="{0CC0EE73-DE82-46BA-90BA-7A16BCCAE4A5}">
            <xm:f>Unformatted!$M$213="Bad"</xm:f>
            <x14:dxf>
              <font>
                <b/>
                <i val="0"/>
                <color rgb="FFFF0000"/>
              </font>
            </x14:dxf>
          </x14:cfRule>
          <xm:sqref>F177:F178</xm:sqref>
        </x14:conditionalFormatting>
        <x14:conditionalFormatting xmlns:xm="http://schemas.microsoft.com/office/excel/2006/main">
          <x14:cfRule type="expression" priority="125" id="{CF1254F0-E802-4653-8CD4-2777C559334F}">
            <xm:f>Unformatted!$M$215="Bad"</xm:f>
            <x14:dxf>
              <font>
                <b/>
                <i val="0"/>
                <color rgb="FFFF0000"/>
              </font>
            </x14:dxf>
          </x14:cfRule>
          <xm:sqref>F184</xm:sqref>
        </x14:conditionalFormatting>
        <x14:conditionalFormatting xmlns:xm="http://schemas.microsoft.com/office/excel/2006/main">
          <x14:cfRule type="expression" priority="108" id="{4C3958C8-85F4-4504-9EE7-1D3A2F427B17}">
            <xm:f>AND($B$190&lt;&gt;"N/A",OR(Unformatted!$I$228&gt;=0.0005,Unformatted!$I$228&lt;=-0.002))</xm:f>
            <x14:dxf>
              <font>
                <b/>
                <i val="0"/>
                <color rgb="FFFF0000"/>
              </font>
            </x14:dxf>
          </x14:cfRule>
          <xm:sqref>A190</xm:sqref>
        </x14:conditionalFormatting>
        <x14:conditionalFormatting xmlns:xm="http://schemas.microsoft.com/office/excel/2006/main">
          <x14:cfRule type="expression" priority="126" id="{6B1EEC9D-8068-4F3D-ADB8-38B77B4BE64F}">
            <xm:f>Unformatted!$F$219&lt;0.001</xm:f>
            <x14:dxf>
              <font>
                <b/>
                <i val="0"/>
                <color rgb="FFFF0000"/>
              </font>
            </x14:dxf>
          </x14:cfRule>
          <xm:sqref>D195</xm:sqref>
        </x14:conditionalFormatting>
        <x14:conditionalFormatting xmlns:xm="http://schemas.microsoft.com/office/excel/2006/main">
          <x14:cfRule type="expression" priority="87" id="{9A8FE565-815E-4BAB-AF02-1DFE2A8EB279}">
            <xm:f>OR(Unformatted!$E$190,Unformatted!$E$191,Unformatted!$E$192,Unformatted!$E$193,Unformatted!$E$194,Unformatted!$E$195)</xm:f>
            <x14:dxf>
              <font>
                <b/>
                <i val="0"/>
                <color rgb="FFFF0000"/>
              </font>
            </x14:dxf>
          </x14:cfRule>
          <xm:sqref>A279</xm:sqref>
        </x14:conditionalFormatting>
        <x14:conditionalFormatting xmlns:xm="http://schemas.microsoft.com/office/excel/2006/main">
          <x14:cfRule type="expression" priority="86" id="{19CFCED1-159D-4218-8556-D8D227D48AC7}">
            <xm:f>RIGHT(Unformatted!$E$308,4)="Fail"</xm:f>
            <x14:dxf>
              <font>
                <b/>
                <i val="0"/>
                <color rgb="FFFF0000"/>
              </font>
            </x14:dxf>
          </x14:cfRule>
          <xm:sqref>B276</xm:sqref>
        </x14:conditionalFormatting>
        <x14:conditionalFormatting xmlns:xm="http://schemas.microsoft.com/office/excel/2006/main">
          <x14:cfRule type="expression" priority="88" id="{E0143C60-5237-4E21-8935-AF7E254512F7}">
            <xm:f>Unformatted!$F$307&gt;2</xm:f>
            <x14:dxf>
              <font>
                <b/>
                <i val="0"/>
                <color rgb="FFFF0000"/>
              </font>
            </x14:dxf>
          </x14:cfRule>
          <xm:sqref>B275</xm:sqref>
        </x14:conditionalFormatting>
        <x14:conditionalFormatting xmlns:xm="http://schemas.microsoft.com/office/excel/2006/main">
          <x14:cfRule type="expression" priority="82" id="{F698EA5C-39B0-4E61-8B11-0162255218B0}">
            <xm:f>IF(Unformatted!$F$311&gt;100,1)</xm:f>
            <x14:dxf>
              <font>
                <b/>
                <i val="0"/>
                <color rgb="FFFF0000"/>
              </font>
            </x14:dxf>
          </x14:cfRule>
          <xm:sqref>G278:G279 M241</xm:sqref>
        </x14:conditionalFormatting>
        <x14:conditionalFormatting xmlns:xm="http://schemas.microsoft.com/office/excel/2006/main">
          <x14:cfRule type="expression" priority="79" id="{D501AA21-17E5-4CD3-91D7-9F0A461370E8}">
            <xm:f>Unformatted!$F$318=3</xm:f>
            <x14:dxf>
              <font>
                <b/>
                <i val="0"/>
                <color rgb="FFFF0000"/>
              </font>
            </x14:dxf>
          </x14:cfRule>
          <xm:sqref>E283</xm:sqref>
        </x14:conditionalFormatting>
        <x14:conditionalFormatting xmlns:xm="http://schemas.microsoft.com/office/excel/2006/main">
          <x14:cfRule type="expression" priority="78" id="{9B2A2AAA-073C-4F7C-8F55-388ED2C8AE89}">
            <xm:f>Unformatted!$F$322=3</xm:f>
            <x14:dxf>
              <font>
                <b/>
                <i val="0"/>
                <color rgb="FFFF0000"/>
              </font>
            </x14:dxf>
          </x14:cfRule>
          <xm:sqref>G283</xm:sqref>
        </x14:conditionalFormatting>
        <x14:conditionalFormatting xmlns:xm="http://schemas.microsoft.com/office/excel/2006/main">
          <x14:cfRule type="expression" priority="75" id="{E5631C69-DF6D-43B6-88A5-A013AD1D126A}">
            <xm:f>Unformatted!$E$312=3</xm:f>
            <x14:dxf>
              <font>
                <b/>
                <i val="0"/>
                <color rgb="FFFF0000"/>
              </font>
            </x14:dxf>
          </x14:cfRule>
          <xm:sqref>F276</xm:sqref>
        </x14:conditionalFormatting>
        <x14:conditionalFormatting xmlns:xm="http://schemas.microsoft.com/office/excel/2006/main">
          <x14:cfRule type="expression" priority="74" id="{6F7A53F0-7DD1-430E-B291-8681CD399175}">
            <xm:f>Unformatted!$F$312=3</xm:f>
            <x14:dxf>
              <font>
                <b/>
                <i val="0"/>
                <color rgb="FFFF0000"/>
              </font>
            </x14:dxf>
          </x14:cfRule>
          <xm:sqref>F277</xm:sqref>
        </x14:conditionalFormatting>
        <x14:conditionalFormatting xmlns:xm="http://schemas.microsoft.com/office/excel/2006/main">
          <x14:cfRule type="expression" priority="68" id="{D64DBF4C-B226-4960-BDD0-818E03536DEF}">
            <xm:f>AND(Unformatted!$E$99,OR(Unformatted!#REF!="OPEN",Unformatted!#REF!&lt;&gt;"Good"))</xm:f>
            <x14:dxf>
              <font>
                <b/>
                <i val="0"/>
                <color rgb="FFFF0000"/>
              </font>
            </x14:dxf>
          </x14:cfRule>
          <xm:sqref>A424</xm:sqref>
        </x14:conditionalFormatting>
        <x14:conditionalFormatting xmlns:xm="http://schemas.microsoft.com/office/excel/2006/main">
          <x14:cfRule type="expression" priority="43" id="{E4AB7E3E-A47B-4441-B3B2-49BA3FE70840}">
            <xm:f>Unformatted!$F$287=2</xm:f>
            <x14:dxf>
              <font>
                <b/>
                <i val="0"/>
                <color rgb="FFFF0000"/>
              </font>
            </x14:dxf>
          </x14:cfRule>
          <xm:sqref>C556</xm:sqref>
        </x14:conditionalFormatting>
        <x14:conditionalFormatting xmlns:xm="http://schemas.microsoft.com/office/excel/2006/main">
          <x14:cfRule type="expression" priority="27" id="{FDC01832-C584-4902-8EAC-4F4A139EF177}">
            <xm:f>AND(B114&gt;Tolerances!Z2,B114&lt;&gt;"N/A")</xm:f>
            <x14:dxf>
              <font>
                <b/>
                <i val="0"/>
                <color rgb="FFFF0000"/>
              </font>
            </x14:dxf>
          </x14:cfRule>
          <xm:sqref>A114</xm:sqref>
        </x14:conditionalFormatting>
        <x14:conditionalFormatting xmlns:xm="http://schemas.microsoft.com/office/excel/2006/main">
          <x14:cfRule type="expression" priority="26" id="{4EB6D13D-035D-44A0-BCA4-F4EB5A7FBAEF}">
            <xm:f>AND(B116&gt;Tolerances!Y3,B116&lt;&gt;"N/A")</xm:f>
            <x14:dxf>
              <font>
                <b/>
                <i val="0"/>
                <color rgb="FFFF0000"/>
              </font>
            </x14:dxf>
          </x14:cfRule>
          <xm:sqref>A116</xm:sqref>
        </x14:conditionalFormatting>
        <x14:conditionalFormatting xmlns:xm="http://schemas.microsoft.com/office/excel/2006/main">
          <x14:cfRule type="expression" priority="25" id="{D905F981-BB11-48AA-A642-9D5FE1B2330F}">
            <xm:f>AND(B118&gt;Tolerances!Y3,B118&lt;&gt;"N/A")</xm:f>
            <x14:dxf>
              <font>
                <b/>
                <i val="0"/>
                <color rgb="FFFF0000"/>
              </font>
            </x14:dxf>
          </x14:cfRule>
          <xm:sqref>A118</xm:sqref>
        </x14:conditionalFormatting>
        <x14:conditionalFormatting xmlns:xm="http://schemas.microsoft.com/office/excel/2006/main">
          <x14:cfRule type="expression" priority="24" id="{7799D78A-8D71-4463-9913-5BA64E8D59D6}">
            <xm:f>AND(E114&gt;Tolerances!Y4,E114&lt;&gt;"N/A",E114&lt;&gt;"")</xm:f>
            <x14:dxf>
              <font>
                <b/>
                <i val="0"/>
                <color rgb="FFFF0000"/>
              </font>
            </x14:dxf>
          </x14:cfRule>
          <xm:sqref>D114</xm:sqref>
        </x14:conditionalFormatting>
        <x14:conditionalFormatting xmlns:xm="http://schemas.microsoft.com/office/excel/2006/main">
          <x14:cfRule type="expression" priority="20" id="{E6942280-C104-40D6-BC9C-39C5132D229A}">
            <xm:f>AND(F124&lt;&gt;"N/A",F124&gt;Tolerances!$AE$2)</xm:f>
            <x14:dxf>
              <font>
                <b/>
                <i val="0"/>
                <color rgb="FFFF0000"/>
              </font>
            </x14:dxf>
          </x14:cfRule>
          <xm:sqref>F124:G125</xm:sqref>
        </x14:conditionalFormatting>
        <x14:conditionalFormatting xmlns:xm="http://schemas.microsoft.com/office/excel/2006/main">
          <x14:cfRule type="expression" priority="21" id="{9E59F17E-D0CD-4D70-B299-ADD57A1F1AA1}">
            <xm:f>AND(Unformatted!$E$186&lt;&gt;"N/A",Unformatted!$E$186&gt;Tolerances!$AE$2)</xm:f>
            <x14:dxf>
              <font>
                <b/>
                <i val="0"/>
                <color rgb="FFFF0000"/>
              </font>
            </x14:dxf>
          </x14:cfRule>
          <xm:sqref>H124</xm:sqref>
        </x14:conditionalFormatting>
        <x14:conditionalFormatting xmlns:xm="http://schemas.microsoft.com/office/excel/2006/main">
          <x14:cfRule type="expression" priority="19" id="{4CA83D02-36C6-49F8-AE6B-E3207BBFEDF2}">
            <xm:f>AND($E$169&lt;&gt;"N/A",$E$169&gt;Tolerances!$Z$7)</xm:f>
            <x14:dxf>
              <font>
                <b/>
                <i val="0"/>
                <color rgb="FFFF0000"/>
              </font>
            </x14:dxf>
          </x14:cfRule>
          <xm:sqref>D169</xm:sqref>
        </x14:conditionalFormatting>
        <x14:conditionalFormatting xmlns:xm="http://schemas.microsoft.com/office/excel/2006/main">
          <x14:cfRule type="expression" priority="18" id="{40DF21EB-6059-4389-8CC2-3DB6D5644CF2}">
            <xm:f>AND($E$170&lt;&gt;"N/A",$E$170&gt;Tolerances!$Z$6)</xm:f>
            <x14:dxf>
              <font>
                <b/>
                <i val="0"/>
                <color rgb="FFFF0000"/>
              </font>
            </x14:dxf>
          </x14:cfRule>
          <xm:sqref>D170</xm:sqref>
        </x14:conditionalFormatting>
        <x14:conditionalFormatting xmlns:xm="http://schemas.microsoft.com/office/excel/2006/main">
          <x14:cfRule type="expression" priority="17" id="{791BD83E-F276-46B7-824E-4611BF9B6AD8}">
            <xm:f>Unformatted!$L$215=2</xm:f>
            <x14:dxf>
              <font>
                <b/>
                <i val="0"/>
                <color rgb="FFFF0000"/>
              </font>
            </x14:dxf>
          </x14:cfRule>
          <xm:sqref>G186</xm:sqref>
        </x14:conditionalFormatting>
        <x14:conditionalFormatting xmlns:xm="http://schemas.microsoft.com/office/excel/2006/main">
          <x14:cfRule type="expression" priority="12" id="{E180AF76-F16C-4992-B4BE-90ACEE9039CD}">
            <xm:f>IF(Unformatted!$F$311&gt;100,1)</xm:f>
            <x14:dxf>
              <font>
                <b/>
                <i val="0"/>
                <color rgb="FFFF0000"/>
              </font>
            </x14:dxf>
          </x14:cfRule>
          <xm:sqref>M236</xm:sqref>
        </x14:conditionalFormatting>
        <x14:conditionalFormatting xmlns:xm="http://schemas.microsoft.com/office/excel/2006/main">
          <x14:cfRule type="expression" priority="11" id="{EF0496F9-EEE0-4336-9EA8-672D6A8CC234}">
            <xm:f>Unformatted!$F$243=2</xm:f>
            <x14:dxf>
              <font>
                <b/>
                <i val="0"/>
                <color rgb="FFFF0000"/>
              </font>
            </x14:dxf>
          </x14:cfRule>
          <xm:sqref>C219</xm:sqref>
        </x14:conditionalFormatting>
        <x14:conditionalFormatting xmlns:xm="http://schemas.microsoft.com/office/excel/2006/main">
          <x14:cfRule type="expression" priority="10" id="{9AA1A081-45AE-42C6-B8BA-DB38E295583E}">
            <xm:f>Unformatted!$F$247=2</xm:f>
            <x14:dxf>
              <font>
                <b/>
                <i val="0"/>
                <color rgb="FFFF0000"/>
              </font>
            </x14:dxf>
          </x14:cfRule>
          <xm:sqref>G219</xm:sqref>
        </x14:conditionalFormatting>
        <x14:conditionalFormatting xmlns:xm="http://schemas.microsoft.com/office/excel/2006/main">
          <x14:cfRule type="expression" priority="9" id="{C3D309D6-092A-42AA-8127-7FA901DBF40C}">
            <xm:f>Unformatted!$F$251=2</xm:f>
            <x14:dxf>
              <font>
                <b/>
                <i val="0"/>
                <color rgb="FFFF0000"/>
              </font>
            </x14:dxf>
          </x14:cfRule>
          <xm:sqref>C223</xm:sqref>
        </x14:conditionalFormatting>
        <x14:conditionalFormatting xmlns:xm="http://schemas.microsoft.com/office/excel/2006/main">
          <x14:cfRule type="expression" priority="8" id="{B8E66C26-3E7C-4FD0-994B-2FA28011FA76}">
            <xm:f>Unformatted!$F$255=2</xm:f>
            <x14:dxf>
              <font>
                <b/>
                <i val="0"/>
                <color rgb="FFFF0000"/>
              </font>
            </x14:dxf>
          </x14:cfRule>
          <xm:sqref>G223</xm:sqref>
        </x14:conditionalFormatting>
        <x14:conditionalFormatting xmlns:xm="http://schemas.microsoft.com/office/excel/2006/main">
          <x14:cfRule type="expression" priority="7" id="{CDCEDBC9-68D2-4372-B1B1-4F0DACD3635C}">
            <xm:f>Unformatted!$F$259=2</xm:f>
            <x14:dxf>
              <font>
                <b/>
                <i val="0"/>
                <color rgb="FFFF0000"/>
              </font>
            </x14:dxf>
          </x14:cfRule>
          <xm:sqref>C227</xm:sqref>
        </x14:conditionalFormatting>
        <x14:conditionalFormatting xmlns:xm="http://schemas.microsoft.com/office/excel/2006/main">
          <x14:cfRule type="expression" priority="6" id="{E1AA420E-2FB7-4DF5-A4A4-96CFB1B1D1E3}">
            <xm:f>Unformatted!$F$263=2</xm:f>
            <x14:dxf>
              <font>
                <b/>
                <i val="0"/>
                <color rgb="FFFF0000"/>
              </font>
            </x14:dxf>
          </x14:cfRule>
          <xm:sqref>G227</xm:sqref>
        </x14:conditionalFormatting>
        <x14:conditionalFormatting xmlns:xm="http://schemas.microsoft.com/office/excel/2006/main">
          <x14:cfRule type="expression" priority="5" id="{03449258-45A2-4CE5-9F1E-9886EAB57B30}">
            <xm:f>Unformatted!$F$267=2</xm:f>
            <x14:dxf>
              <font>
                <b/>
                <i val="0"/>
                <color rgb="FFFF0000"/>
              </font>
            </x14:dxf>
          </x14:cfRule>
          <xm:sqref>C231</xm:sqref>
        </x14:conditionalFormatting>
        <x14:conditionalFormatting xmlns:xm="http://schemas.microsoft.com/office/excel/2006/main">
          <x14:cfRule type="expression" priority="4" id="{3DB4AA3A-FF48-47D7-9892-DAC7FBC462E3}">
            <xm:f>Unformatted!$F$271=2</xm:f>
            <x14:dxf>
              <font>
                <b/>
                <i val="0"/>
                <color rgb="FFFF0000"/>
              </font>
            </x14:dxf>
          </x14:cfRule>
          <xm:sqref>G231</xm:sqref>
        </x14:conditionalFormatting>
        <x14:conditionalFormatting xmlns:xm="http://schemas.microsoft.com/office/excel/2006/main">
          <x14:cfRule type="expression" priority="3" id="{5FE3D4EF-E0B0-4C43-ACAA-51E5FF84A375}">
            <xm:f>Unformatted!$F$275=2</xm:f>
            <x14:dxf>
              <font>
                <b/>
                <i val="0"/>
                <color rgb="FFFF0000"/>
              </font>
            </x14:dxf>
          </x14:cfRule>
          <xm:sqref>C235</xm:sqref>
        </x14:conditionalFormatting>
        <x14:conditionalFormatting xmlns:xm="http://schemas.microsoft.com/office/excel/2006/main">
          <x14:cfRule type="expression" priority="2" id="{CF6FDB80-8376-49F1-9500-4DF811BB7686}">
            <xm:f>Unformatted!$F$279=2</xm:f>
            <x14:dxf>
              <font>
                <b/>
                <i val="0"/>
                <color rgb="FFFF0000"/>
              </font>
            </x14:dxf>
          </x14:cfRule>
          <xm:sqref>G235</xm:sqref>
        </x14:conditionalFormatting>
        <x14:conditionalFormatting xmlns:xm="http://schemas.microsoft.com/office/excel/2006/main">
          <x14:cfRule type="expression" priority="13" id="{AC97C712-D19D-4CEE-AB5F-25F7B480C6D4}">
            <xm:f>Unformatted!$F$287=2</xm:f>
            <x14:dxf>
              <font>
                <b/>
                <i val="0"/>
                <color rgb="FFFF0000"/>
              </font>
            </x14:dxf>
          </x14:cfRule>
          <xm:sqref>C243</xm:sqref>
        </x14:conditionalFormatting>
        <x14:conditionalFormatting xmlns:xm="http://schemas.microsoft.com/office/excel/2006/main">
          <x14:cfRule type="expression" priority="14" id="{F6FBAC1A-5925-4DE6-85EA-CCFE7C971F3A}">
            <xm:f>Unformatted!$F$292=2</xm:f>
            <x14:dxf>
              <font>
                <b/>
                <i val="0"/>
                <color rgb="FFFF0000"/>
              </font>
            </x14:dxf>
          </x14:cfRule>
          <xm:sqref>G243</xm:sqref>
        </x14:conditionalFormatting>
        <x14:conditionalFormatting xmlns:xm="http://schemas.microsoft.com/office/excel/2006/main">
          <x14:cfRule type="expression" priority="15" id="{DC643730-BC25-4BF6-9AF2-E5DAAC5B6B6D}">
            <xm:f>Unformatted!$F$297=2</xm:f>
            <x14:dxf>
              <font>
                <b/>
                <i val="0"/>
                <color rgb="FFFF0000"/>
              </font>
            </x14:dxf>
          </x14:cfRule>
          <xm:sqref>C248</xm:sqref>
        </x14:conditionalFormatting>
        <x14:conditionalFormatting xmlns:xm="http://schemas.microsoft.com/office/excel/2006/main">
          <x14:cfRule type="expression" priority="16" id="{D9DD8FDA-C6C8-4481-9BBA-79410137BACA}">
            <xm:f>Unformatted!$F$302=2</xm:f>
            <x14:dxf>
              <font>
                <b/>
                <i val="0"/>
                <color rgb="FFFF0000"/>
              </font>
            </x14:dxf>
          </x14:cfRule>
          <xm:sqref>G248</xm:sqref>
        </x14:conditionalFormatting>
        <x14:conditionalFormatting xmlns:xm="http://schemas.microsoft.com/office/excel/2006/main">
          <x14:cfRule type="expression" priority="1" id="{9E071B50-4EB5-4159-BD98-DB2F963D761D}">
            <xm:f>Unformatted!$F$129&gt;2</xm:f>
            <x14:dxf>
              <font>
                <b/>
                <i val="0"/>
                <color rgb="FFFF0000"/>
              </font>
            </x14:dxf>
          </x14:cfRule>
          <xm:sqref>A29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V185465"/>
  <sheetViews>
    <sheetView topLeftCell="A607" zoomScale="85" zoomScaleNormal="85" workbookViewId="0">
      <selection activeCell="E625" sqref="E625"/>
    </sheetView>
  </sheetViews>
  <sheetFormatPr defaultRowHeight="15" x14ac:dyDescent="0.25"/>
  <cols>
    <col min="4" max="4" width="32" customWidth="1"/>
    <col min="5" max="5" width="19.140625" customWidth="1"/>
    <col min="6" max="6" width="19.28515625" customWidth="1"/>
    <col min="7" max="7" width="13.85546875" customWidth="1"/>
    <col min="8" max="8" width="16.7109375" customWidth="1"/>
    <col min="9" max="9" width="16.140625" customWidth="1"/>
    <col min="10" max="10" width="14.7109375" customWidth="1"/>
    <col min="11" max="11" width="12.7109375" customWidth="1"/>
    <col min="12" max="12" width="14" customWidth="1"/>
    <col min="13" max="13" width="10.7109375" customWidth="1"/>
  </cols>
  <sheetData>
    <row r="1" spans="1:6" ht="18.75" x14ac:dyDescent="0.3">
      <c r="A1" s="1364" t="s">
        <v>44</v>
      </c>
      <c r="B1" s="1364"/>
      <c r="C1" s="1364"/>
      <c r="D1" s="1364"/>
      <c r="E1" s="1364"/>
      <c r="F1" s="1364"/>
    </row>
    <row r="2" spans="1:6" ht="15.75" thickBot="1" x14ac:dyDescent="0.3">
      <c r="B2" s="37" t="s">
        <v>145</v>
      </c>
      <c r="C2" s="37" t="s">
        <v>147</v>
      </c>
    </row>
    <row r="3" spans="1:6" ht="15.75" thickBot="1" x14ac:dyDescent="0.3">
      <c r="C3" s="17">
        <f>SUM(C4:C15)</f>
        <v>0</v>
      </c>
      <c r="E3" s="37" t="s">
        <v>1332</v>
      </c>
      <c r="F3" s="37" t="s">
        <v>522</v>
      </c>
    </row>
    <row r="4" spans="1:6" ht="15.75" thickBot="1" x14ac:dyDescent="0.3">
      <c r="B4" s="20" t="s">
        <v>146</v>
      </c>
      <c r="C4" s="345">
        <f>IF(AND(B4="X",OR(E4="",E4=0)),1,0)</f>
        <v>0</v>
      </c>
      <c r="D4" s="1" t="s">
        <v>35</v>
      </c>
      <c r="E4" s="353" t="str">
        <f>IF(F4=1,"",VLOOKUP(F4,Data!A:X,6,FALSE))</f>
        <v>A. Lucas</v>
      </c>
      <c r="F4" s="129">
        <v>3</v>
      </c>
    </row>
    <row r="5" spans="1:6" ht="15.75" thickBot="1" x14ac:dyDescent="0.3">
      <c r="B5" s="20" t="s">
        <v>146</v>
      </c>
      <c r="C5" s="20">
        <f>IF(AND(B5="X",OR(E5="",E5=0)),1,0)</f>
        <v>0</v>
      </c>
      <c r="D5" s="1" t="s">
        <v>36</v>
      </c>
      <c r="E5" s="353" t="str">
        <f>IF(F5&gt;1,VLOOKUP(F5,Data!A:X,4,FALSE),IF(ISBLANK('Job &amp; Motor Data'!C10),"",'Job &amp; Motor Data'!C10))</f>
        <v>Vallejo Floodwater</v>
      </c>
      <c r="F5" s="129">
        <v>1</v>
      </c>
    </row>
    <row r="6" spans="1:6" x14ac:dyDescent="0.25">
      <c r="B6" s="20"/>
      <c r="C6" s="20">
        <f t="shared" ref="C6:C23" si="0">IF(AND(B6="X",OR(E6="",E6=0)),1,0)</f>
        <v>0</v>
      </c>
      <c r="D6" s="1" t="s">
        <v>144</v>
      </c>
      <c r="E6" s="335" t="str">
        <f>UPPER('Job &amp; Motor Data'!C12)</f>
        <v/>
      </c>
      <c r="F6" s="47"/>
    </row>
    <row r="7" spans="1:6" x14ac:dyDescent="0.25">
      <c r="B7" s="20"/>
      <c r="C7" s="20">
        <f t="shared" si="0"/>
        <v>0</v>
      </c>
      <c r="D7" s="1" t="s">
        <v>66</v>
      </c>
      <c r="E7" s="335" t="str">
        <f>UPPER('Job &amp; Motor Data'!C14)</f>
        <v/>
      </c>
      <c r="F7" s="47"/>
    </row>
    <row r="8" spans="1:6" x14ac:dyDescent="0.25">
      <c r="B8" s="20"/>
      <c r="C8" s="20">
        <f t="shared" si="0"/>
        <v>0</v>
      </c>
      <c r="D8" s="1" t="s">
        <v>314</v>
      </c>
      <c r="E8" s="335" t="str">
        <f>UPPER('Job &amp; Motor Data'!C16)</f>
        <v/>
      </c>
      <c r="F8" s="47"/>
    </row>
    <row r="9" spans="1:6" ht="15" customHeight="1" x14ac:dyDescent="0.25">
      <c r="B9" s="20"/>
      <c r="C9" s="20">
        <f t="shared" si="0"/>
        <v>0</v>
      </c>
      <c r="D9" s="1" t="s">
        <v>71</v>
      </c>
      <c r="E9" s="335" t="s">
        <v>1598</v>
      </c>
      <c r="F9" s="47"/>
    </row>
    <row r="10" spans="1:6" ht="15" customHeight="1" x14ac:dyDescent="0.25">
      <c r="B10" s="20"/>
      <c r="C10" s="20">
        <f t="shared" si="0"/>
        <v>0</v>
      </c>
      <c r="D10" s="1" t="s">
        <v>67</v>
      </c>
      <c r="E10" s="354" t="s">
        <v>1596</v>
      </c>
      <c r="F10" s="47"/>
    </row>
    <row r="11" spans="1:6" x14ac:dyDescent="0.25">
      <c r="B11" s="20" t="s">
        <v>146</v>
      </c>
      <c r="C11" s="20">
        <f t="shared" si="0"/>
        <v>0</v>
      </c>
      <c r="D11" s="1" t="s">
        <v>37</v>
      </c>
      <c r="E11" s="335" t="str">
        <f>UPPER('Job &amp; Motor Data'!F6)</f>
        <v>2669</v>
      </c>
      <c r="F11" s="47"/>
    </row>
    <row r="12" spans="1:6" x14ac:dyDescent="0.25">
      <c r="B12" s="20" t="s">
        <v>146</v>
      </c>
      <c r="C12" s="20">
        <f>IF(AND(B12="X",E12=""),1,0)</f>
        <v>0</v>
      </c>
      <c r="D12" s="1" t="s">
        <v>38</v>
      </c>
      <c r="E12" s="335" t="str">
        <f>IF('Job &amp; Motor Data'!F8="","","VEM"&amp;UPPER('Job &amp; Motor Data'!F8))</f>
        <v>VEM0689</v>
      </c>
    </row>
    <row r="13" spans="1:6" x14ac:dyDescent="0.25">
      <c r="B13" s="20"/>
      <c r="C13" s="20">
        <f t="shared" si="0"/>
        <v>0</v>
      </c>
      <c r="D13" s="1" t="s">
        <v>313</v>
      </c>
      <c r="E13" s="335" t="str">
        <f>UPPER('Job &amp; Motor Data'!F10)</f>
        <v/>
      </c>
      <c r="F13" s="47"/>
    </row>
    <row r="14" spans="1:6" x14ac:dyDescent="0.25">
      <c r="B14" s="20" t="s">
        <v>146</v>
      </c>
      <c r="C14" s="20">
        <f t="shared" si="0"/>
        <v>0</v>
      </c>
      <c r="D14" s="1" t="s">
        <v>39</v>
      </c>
      <c r="E14" s="336">
        <f>IF(ISBLANK('Job &amp; Motor Data'!F12),"",'Job &amp; Motor Data'!F12)</f>
        <v>43823</v>
      </c>
      <c r="F14" s="47"/>
    </row>
    <row r="15" spans="1:6" x14ac:dyDescent="0.25">
      <c r="B15" s="20"/>
      <c r="C15" s="20">
        <f t="shared" si="0"/>
        <v>0</v>
      </c>
      <c r="D15" s="1" t="s">
        <v>40</v>
      </c>
      <c r="E15" s="336" t="str">
        <f>IF(ISBLANK('Job &amp; Motor Data'!F14),"",'Job &amp; Motor Data'!F14)</f>
        <v/>
      </c>
      <c r="F15" s="47"/>
    </row>
    <row r="16" spans="1:6" s="545" customFormat="1" x14ac:dyDescent="0.25">
      <c r="B16" s="396"/>
      <c r="C16" s="396"/>
      <c r="D16" s="1"/>
      <c r="E16" s="549"/>
      <c r="F16" s="396"/>
    </row>
    <row r="17" spans="1:12" ht="19.5" thickBot="1" x14ac:dyDescent="0.35">
      <c r="A17" s="1364" t="s">
        <v>34</v>
      </c>
      <c r="B17" s="1364"/>
      <c r="C17" s="1364"/>
      <c r="D17" s="1364"/>
      <c r="E17" s="1364"/>
      <c r="F17" s="1364"/>
      <c r="G17" t="str">
        <f>IFERROR(IF(VLOOKUP(E12,Motorlist,2,FALSE)=0,"VEM# FOUND","!"),"WARNING: VEM# NOT FOUND IN MOTORBASE")</f>
        <v>VEM# FOUND</v>
      </c>
    </row>
    <row r="18" spans="1:12" ht="15.75" thickBot="1" x14ac:dyDescent="0.3">
      <c r="C18" s="17">
        <f>SUM(C19:C42)</f>
        <v>0</v>
      </c>
      <c r="E18" s="37" t="s">
        <v>1332</v>
      </c>
      <c r="F18" s="37" t="s">
        <v>522</v>
      </c>
      <c r="G18" s="37" t="s">
        <v>1165</v>
      </c>
      <c r="I18" s="403" t="s">
        <v>1166</v>
      </c>
      <c r="J18" s="403" t="s">
        <v>1167</v>
      </c>
      <c r="L18" t="str">
        <f>INDEX([1]qryReportExcel!A$1:C$65536,1,2)</f>
        <v>strMotorID</v>
      </c>
    </row>
    <row r="19" spans="1:12" ht="15.75" thickBot="1" x14ac:dyDescent="0.3">
      <c r="B19" s="20" t="s">
        <v>146</v>
      </c>
      <c r="C19" s="345">
        <f>IF(AND(B19="X",E19=""),1,0)</f>
        <v>0</v>
      </c>
      <c r="D19" s="1" t="s">
        <v>75</v>
      </c>
      <c r="E19" s="353" t="str">
        <f>IFERROR(VLOOKUP(F19,Data!I2:J7,2,FALSE),"")</f>
        <v>Vertical</v>
      </c>
      <c r="F19" s="649">
        <f>IF(G19="F1",2,IF(G19="F2",3,IF(G19="F3",4,IF(G19="Vertical",5,IF(G19="Other",6,"0")))))</f>
        <v>5</v>
      </c>
      <c r="G19" s="20" t="str">
        <f>IFERROR(IF(VLOOKUP(E12,Motorlist,26,FALSE)=0,"",VLOOKUP(E12,Motorlist,26,FALSE)),"")</f>
        <v>Vertical</v>
      </c>
      <c r="I19" t="s">
        <v>1183</v>
      </c>
      <c r="J19">
        <f>IF(G19="F1",2,IF(G19="F2",3,IF(G19="F3",4,IF(G19="Vertical",5,IF(G19="Other",6,"!")))))</f>
        <v>5</v>
      </c>
    </row>
    <row r="20" spans="1:12" ht="15.75" thickBot="1" x14ac:dyDescent="0.3">
      <c r="B20" s="20" t="s">
        <v>518</v>
      </c>
      <c r="C20" s="20">
        <f>IF(AND(B20="X",OR(E20="",E20=0)),1,0)</f>
        <v>0</v>
      </c>
      <c r="D20" s="1" t="s">
        <v>46</v>
      </c>
      <c r="E20" s="404" t="str">
        <f>IF(ISBLANK('Job &amp; Motor Data'!J6),"",'Job &amp; Motor Data'!J6)</f>
        <v>Reliance</v>
      </c>
      <c r="F20" s="651"/>
      <c r="G20" s="20" t="str">
        <f>IFERROR(IF(VLOOKUP(E12,Motorlist,5,FALSE)=0,"",VLOOKUP(E12,Motorlist,5,FALSE)),"")</f>
        <v>Reliance</v>
      </c>
      <c r="I20" t="s">
        <v>1330</v>
      </c>
    </row>
    <row r="21" spans="1:12" ht="15.75" thickBot="1" x14ac:dyDescent="0.3">
      <c r="B21" s="20" t="s">
        <v>146</v>
      </c>
      <c r="C21" s="20">
        <f>IF(AND(B21="X",OR(E21="",E21=0)),1,0)</f>
        <v>0</v>
      </c>
      <c r="D21" s="1" t="s">
        <v>51</v>
      </c>
      <c r="E21" s="353" t="str">
        <f>VLOOKUP(F21,Data!A:X,8,FALSE)</f>
        <v>TENV</v>
      </c>
      <c r="F21" s="650">
        <f>IF(G21="ODP",2,IF(G21="TE",3,IF(G21="TEAO",4,IF(G21="TEFC",5,IF(G21="TENV",6,IF(G21="XP",7,IF(G21="SUB",8,IF(G21="WP1",9,IF(G21="WP2",10,IF(G21="Forced Vent",11,1))))))))))</f>
        <v>6</v>
      </c>
      <c r="G21" s="20" t="str">
        <f>IFERROR(IF(VLOOKUP(E12,Motorlist,15,FALSE)=0,"",VLOOKUP(E12,Motorlist,15,FALSE)),"")</f>
        <v>TENV</v>
      </c>
      <c r="J21" s="20">
        <f>IF(G21="ODP",2,IF(G21="TE",3,IF(G21="TEAO",4,IF(G21="TEFC",5,IF(G21="TENV",6,IF(G21="XP",7,IF(G21="SUB",8,IF(G21="WPI",9,IF(G21="WPII",10,IF(G21="Forced Vent",11,1))))))))))</f>
        <v>6</v>
      </c>
    </row>
    <row r="22" spans="1:12" ht="15.75" thickBot="1" x14ac:dyDescent="0.3">
      <c r="B22" s="20"/>
      <c r="C22" s="20">
        <f>IF(AND(B22="X",OR(F22="",F22=0)),1,0)</f>
        <v>0</v>
      </c>
      <c r="D22" s="1" t="s">
        <v>52</v>
      </c>
      <c r="E22" s="353" t="str">
        <f>IF(F22=1,"Continuous",IF(F22=2,"Intermittent",""))</f>
        <v>Continuous</v>
      </c>
      <c r="F22" s="128">
        <f>IF(G22="Continuous",1,IF(G22="Intermittent",2,0))</f>
        <v>1</v>
      </c>
      <c r="G22" s="20" t="str">
        <f>IFERROR(IF(VLOOKUP(E12,Motorlist,17,FALSE)=0,"",VLOOKUP(E12,Motorlist,17,FALSE)),"")</f>
        <v>Continuous</v>
      </c>
    </row>
    <row r="23" spans="1:12" ht="15.75" thickBot="1" x14ac:dyDescent="0.3">
      <c r="B23" s="20" t="s">
        <v>146</v>
      </c>
      <c r="C23" s="20">
        <f t="shared" si="0"/>
        <v>0</v>
      </c>
      <c r="D23" s="1" t="str">
        <f>VLOOKUP(F23,Data!BX2:BY3,2,FALSE)</f>
        <v>Horsepower</v>
      </c>
      <c r="E23" s="353" t="str">
        <f>IF(ISBLANK('Job &amp; Motor Data'!J8),"",'Job &amp; Motor Data'!J8)</f>
        <v>25</v>
      </c>
      <c r="F23" s="128">
        <f>IFERROR(IF(H23="HP",1,2),1)</f>
        <v>1</v>
      </c>
      <c r="G23" s="20" t="str">
        <f>IFERROR(IF(VLOOKUP(E12,Motorlist,10,FALSE)=0,"",VLOOKUP(E12,Motorlist,10,FALSE)),"")</f>
        <v>25</v>
      </c>
      <c r="H23" s="20" t="str">
        <f>IF(VLOOKUP(E12,Motorlist,32,FALSE)="HP","HP",IF(VLOOKUP(E12,Motorlist,32,FALSE)="KW","KW",IF(VLOOKUP(E12,Motorlist,32,FALSE)="","")))</f>
        <v>HP</v>
      </c>
      <c r="I23" s="611" t="str">
        <f>IFERROR(H23,IF(F23=1,"HP",IF(F23=2,"KW",IF(F23=0,"","!"))))</f>
        <v>HP</v>
      </c>
      <c r="J23" t="str">
        <f>SUBSTITUTE(E23,"/","-")</f>
        <v>25</v>
      </c>
    </row>
    <row r="24" spans="1:12" ht="15.75" thickBot="1" x14ac:dyDescent="0.3">
      <c r="B24" s="20" t="s">
        <v>146</v>
      </c>
      <c r="C24" s="20">
        <f t="shared" ref="C24:C31" si="1">IF(AND(B24="X",OR(E24="",E24=0)),1,0)</f>
        <v>0</v>
      </c>
      <c r="D24" s="1" t="s">
        <v>48</v>
      </c>
      <c r="E24" s="353" t="str">
        <f>IF(ISBLANK('Job &amp; Motor Data'!M8),"",'Job &amp; Motor Data'!M8)</f>
        <v>X250TY</v>
      </c>
      <c r="F24" s="402" t="str">
        <f>IF(E48="COMPLETE",IF(ISNUMBER(SEARCH("P",E24,1)),"P",IF(ISNUMBER(SEARCH("C",E24,1)),"C",IF(ISNUMBER(SEARCH("D",E24,1)),"D",""))),"")</f>
        <v/>
      </c>
      <c r="G24" s="20" t="str">
        <f>IFERROR(IF(VLOOKUP(E12,Motorlist,8,FALSE)=0,"",VLOOKUP(E12,Motorlist,8,FALSE)),"")</f>
        <v>X250TY</v>
      </c>
    </row>
    <row r="25" spans="1:12" x14ac:dyDescent="0.25">
      <c r="B25" s="20"/>
      <c r="C25" s="20">
        <f t="shared" si="1"/>
        <v>0</v>
      </c>
      <c r="D25" s="1" t="s">
        <v>53</v>
      </c>
      <c r="E25" s="335" t="str">
        <f>IF(ISBLANK('Job &amp; Motor Data'!Q8),"",'Job &amp; Motor Data'!Q8)</f>
        <v>P</v>
      </c>
      <c r="G25" s="399" t="str">
        <f>IFERROR(IF(VLOOKUP(E12,Motorlist,12,FALSE)=0,"",VLOOKUP(E12,Motorlist,12,FALSE)),"")</f>
        <v>P</v>
      </c>
    </row>
    <row r="26" spans="1:12" x14ac:dyDescent="0.25">
      <c r="B26" s="20" t="s">
        <v>146</v>
      </c>
      <c r="C26" s="20">
        <f t="shared" si="1"/>
        <v>0</v>
      </c>
      <c r="D26" s="1" t="s">
        <v>49</v>
      </c>
      <c r="E26" s="335">
        <f>IF(ISBLANK('Job &amp; Motor Data'!J10),"",'Job &amp; Motor Data'!J10)</f>
        <v>460</v>
      </c>
      <c r="G26" s="20" t="str">
        <f>IFERROR(IF(VLOOKUP(E12,Motorlist,23,FALSE)=0,"",VLOOKUP(E12,Motorlist,23,FALSE)),"")</f>
        <v/>
      </c>
    </row>
    <row r="27" spans="1:12" x14ac:dyDescent="0.25">
      <c r="B27" s="20" t="s">
        <v>146</v>
      </c>
      <c r="C27" s="20">
        <f t="shared" si="1"/>
        <v>0</v>
      </c>
      <c r="D27" s="3" t="s">
        <v>50</v>
      </c>
      <c r="E27" s="339" t="str">
        <f>IF(ISBLANK('Job &amp; Motor Data'!J12),"",'Job &amp; Motor Data'!J12)</f>
        <v>64.2/32.1</v>
      </c>
      <c r="G27" s="20" t="str">
        <f>IFERROR(IF(VLOOKUP(E12,Motorlist,24,FALSE)=0,"",VLOOKUP(E12,Motorlist,24,FALSE)),"")</f>
        <v/>
      </c>
    </row>
    <row r="28" spans="1:12" ht="15.75" thickBot="1" x14ac:dyDescent="0.3">
      <c r="B28" s="20" t="s">
        <v>146</v>
      </c>
      <c r="C28" s="20">
        <f t="shared" si="1"/>
        <v>0</v>
      </c>
      <c r="D28" s="3" t="s">
        <v>2</v>
      </c>
      <c r="E28" s="337" t="str">
        <f>IF(ISBLANK('Job &amp; Motor Data'!J14),"",'Job &amp; Motor Data'!J14)</f>
        <v>1760</v>
      </c>
      <c r="F28" s="337">
        <f>IFERROR(VALUE('Job &amp; Motor Data'!J14),"")</f>
        <v>1760</v>
      </c>
      <c r="G28" s="20" t="str">
        <f>IFERROR(IF(VLOOKUP(E12,Motorlist,11,FALSE)=0,"",VLOOKUP(E12,Motorlist,11,FALSE)),"")</f>
        <v>1760</v>
      </c>
    </row>
    <row r="29" spans="1:12" ht="15.75" thickBot="1" x14ac:dyDescent="0.3">
      <c r="B29" s="20"/>
      <c r="C29" s="20">
        <f t="shared" si="1"/>
        <v>0</v>
      </c>
      <c r="D29" s="3" t="str">
        <f>IFERROR(VLOOKUP(F29,Data!BZ2:CA3,2,FALSE),"Serial #")</f>
        <v>ID #</v>
      </c>
      <c r="E29" s="353" t="str">
        <f>IF(ISBLANK('Job &amp; Motor Data'!J16),"",'Job &amp; Motor Data'!J16)</f>
        <v/>
      </c>
      <c r="F29" s="402">
        <f>IFERROR(IF(H29="Serial #",1,2),1)</f>
        <v>2</v>
      </c>
      <c r="G29" s="20" t="str">
        <f>IFERROR(IF(VLOOKUP(E12,Motorlist,7,FALSE)=0,IF(VLOOKUP(E12,Motorlist,153,FALSE)=0,"",VLOOKUP(E12,Motorlist,153,FALSE)),VLOOKUP(E12,Motorlist,7,FALSE)),"")</f>
        <v/>
      </c>
      <c r="H29" s="20" t="str">
        <f>IF(VLOOKUP(E12,Motorlist,7,FALSE)=0,"ID #","Serial #")</f>
        <v>ID #</v>
      </c>
      <c r="I29" t="s">
        <v>1334</v>
      </c>
    </row>
    <row r="30" spans="1:12" ht="15.75" thickBot="1" x14ac:dyDescent="0.3">
      <c r="B30" s="20"/>
      <c r="C30" s="20">
        <f t="shared" si="1"/>
        <v>0</v>
      </c>
      <c r="D30" s="544" t="str">
        <f>IFERROR(VLOOKUP(F30,Data!CB2:CC7,2,FALSE),"Model #")</f>
        <v>Spec #</v>
      </c>
      <c r="E30" s="353" t="str">
        <f>IF(ISBLANK('Job &amp; Motor Data'!J18),"",'Job &amp; Motor Data'!J18)</f>
        <v/>
      </c>
      <c r="F30" s="128">
        <f>IFERROR(IF(H30="Model",1,4),1)</f>
        <v>4</v>
      </c>
      <c r="G30" s="20" t="str">
        <f>IFERROR(IF(VLOOKUP(E12,Motorlist,6,FALSE)=0,IF(VLOOKUP(E12,Motorlist,46,FALSE)=0,"",VLOOKUP(E12,Motorlist,46,FALSE)),VLOOKUP(E12,Motorlist,6,FALSE)),"")</f>
        <v/>
      </c>
      <c r="H30" s="20" t="str">
        <f>IF(VLOOKUP(E12,Motorlist,6,FALSE)=0,"Spec #","Model")</f>
        <v>Spec #</v>
      </c>
      <c r="I30" t="s">
        <v>1335</v>
      </c>
    </row>
    <row r="31" spans="1:12" ht="15.75" thickBot="1" x14ac:dyDescent="0.3">
      <c r="B31" s="20"/>
      <c r="C31" s="20">
        <f t="shared" si="1"/>
        <v>0</v>
      </c>
      <c r="D31" s="1" t="str">
        <f>IFERROR(VLOOKUP(F31,Data!CB2:CC7,2,FALSE),"Catalog #")</f>
        <v>Style #</v>
      </c>
      <c r="E31" s="353" t="str">
        <f>IF(ISBLANK('Job &amp; Motor Data'!J20),"",'Job &amp; Motor Data'!J20)</f>
        <v/>
      </c>
      <c r="F31" s="128">
        <f>IFERROR(IF(H31="Catalog #", 2,3),2)</f>
        <v>3</v>
      </c>
      <c r="G31" s="20" t="str">
        <f>IFERROR(IF(VLOOKUP(E12,Motorlist,152,FALSE)=0,IF(VLOOKUP(E12,Motorlist,154,FALSE)=0,"",VLOOKUP(E12,Motorlist,154,FALSE)),VLOOKUP(E12,Motorlist,152,FALSE)),"")</f>
        <v/>
      </c>
      <c r="H31" s="20" t="str">
        <f>IF(VLOOKUP(E12,Motorlist,152,FALSE)=0,"Style #","Catalog #")</f>
        <v>Style #</v>
      </c>
      <c r="I31" t="s">
        <v>1336</v>
      </c>
    </row>
    <row r="32" spans="1:12" s="545" customFormat="1" x14ac:dyDescent="0.25">
      <c r="B32" s="20"/>
      <c r="C32" s="20"/>
      <c r="D32" s="1" t="s">
        <v>809</v>
      </c>
      <c r="E32" s="335"/>
      <c r="F32" s="543"/>
      <c r="G32" s="20" t="str">
        <f>IFERROR(IF(VLOOKUP(E12,Motorlist,9,FALSE)=0,"",VLOOKUP(E12,Motorlist,9,FALSE)),"")</f>
        <v/>
      </c>
      <c r="I32" s="545" t="s">
        <v>1333</v>
      </c>
    </row>
    <row r="33" spans="1:9" x14ac:dyDescent="0.25">
      <c r="B33" s="20" t="s">
        <v>146</v>
      </c>
      <c r="C33" s="20">
        <f t="shared" ref="C33:C41" si="2">IF(AND(B33="X",OR(E33="",E33=0)),1,0)</f>
        <v>0</v>
      </c>
      <c r="D33" s="1" t="s">
        <v>55</v>
      </c>
      <c r="E33" s="335" t="str">
        <f>IF(ISBLANK('Job &amp; Motor Data'!P12),"",'Job &amp; Motor Data'!P12)</f>
        <v>3</v>
      </c>
      <c r="G33" s="20" t="str">
        <f>IFERROR(IF(VLOOKUP(E12,Motorlist,21,FALSE)=0,"",VLOOKUP(E12,Motorlist,21,FALSE)),"")</f>
        <v>3</v>
      </c>
      <c r="I33" t="s">
        <v>1331</v>
      </c>
    </row>
    <row r="34" spans="1:9" x14ac:dyDescent="0.25">
      <c r="B34" s="20"/>
      <c r="C34" s="20">
        <f t="shared" si="2"/>
        <v>0</v>
      </c>
      <c r="D34" s="1" t="s">
        <v>57</v>
      </c>
      <c r="E34" s="335" t="str">
        <f>IF(ISBLANK('Job &amp; Motor Data'!P14),"",'Job &amp; Motor Data'!P14)</f>
        <v>60</v>
      </c>
      <c r="G34" s="20" t="str">
        <f>IFERROR(IF(VLOOKUP(E12,Motorlist,22,FALSE)=0,"",VLOOKUP(E12,Motorlist,22,FALSE)),"")</f>
        <v>60</v>
      </c>
    </row>
    <row r="35" spans="1:9" x14ac:dyDescent="0.25">
      <c r="B35" s="20"/>
      <c r="C35" s="20">
        <f t="shared" si="2"/>
        <v>0</v>
      </c>
      <c r="D35" s="1" t="s">
        <v>163</v>
      </c>
      <c r="E35" s="665" t="str">
        <f>IF(ISBLANK('Job &amp; Motor Data'!P16),"",'Job &amp; Motor Data'!P16)</f>
        <v>1.15</v>
      </c>
      <c r="G35" s="20" t="str">
        <f>IFERROR(IF(VLOOKUP(E12,Motorlist,44,FALSE)=0,"",VLOOKUP(E12,Motorlist,44,FALSE)),"")</f>
        <v>1.15</v>
      </c>
    </row>
    <row r="36" spans="1:9" x14ac:dyDescent="0.25">
      <c r="B36" s="20"/>
      <c r="C36" s="20">
        <f t="shared" si="2"/>
        <v>0</v>
      </c>
      <c r="D36" s="1" t="s">
        <v>54</v>
      </c>
      <c r="E36" s="335">
        <f>IF(ISBLANK('Job &amp; Motor Data'!P18),"",'Job &amp; Motor Data'!P18)</f>
        <v>40</v>
      </c>
      <c r="G36" s="20" t="str">
        <f>IFERROR(IF(VLOOKUP(E12,Motorlist,20,FALSE)=0,"",VLOOKUP(E12,Motorlist,20,FALSE)),"")</f>
        <v/>
      </c>
    </row>
    <row r="37" spans="1:9" x14ac:dyDescent="0.25">
      <c r="B37" s="20"/>
      <c r="C37" s="20">
        <f t="shared" si="2"/>
        <v>0</v>
      </c>
      <c r="D37" s="3" t="s">
        <v>72</v>
      </c>
      <c r="E37" s="338" t="str">
        <f>IF(ISBLANK('Job &amp; Motor Data'!P20),"",'Job &amp; Motor Data'!P20)</f>
        <v/>
      </c>
      <c r="G37" s="20" t="str">
        <f>IFERROR(IF(VLOOKUP(E12,Motorlist,13,FALSE)=0,"",VLOOKUP(E12,Motorlist,13,FALSE)),"")</f>
        <v/>
      </c>
    </row>
    <row r="38" spans="1:9" x14ac:dyDescent="0.25">
      <c r="B38" s="20"/>
      <c r="C38" s="20">
        <f t="shared" si="2"/>
        <v>0</v>
      </c>
      <c r="D38" s="1" t="s">
        <v>58</v>
      </c>
      <c r="E38" s="335" t="str">
        <f>IF(ISBLANK('Job &amp; Motor Data'!S12),"",UPPER('Job &amp; Motor Data'!S12))</f>
        <v>B</v>
      </c>
      <c r="G38" s="20" t="str">
        <f>IFERROR(IF(VLOOKUP(E12,Motorlist,40,FALSE)=0,"",VLOOKUP(E12,Motorlist,40,FALSE)),"")</f>
        <v>B</v>
      </c>
    </row>
    <row r="39" spans="1:9" x14ac:dyDescent="0.25">
      <c r="B39" s="20"/>
      <c r="C39" s="20">
        <f t="shared" si="2"/>
        <v>0</v>
      </c>
      <c r="D39" s="1" t="s">
        <v>56</v>
      </c>
      <c r="E39" s="340" t="str">
        <f>IF(ISBLANK('Job &amp; Motor Data'!S14),"",'Job &amp; Motor Data'!S14)</f>
        <v/>
      </c>
      <c r="G39" s="20" t="str">
        <f>IFERROR(IF(VLOOKUP(E12,Motorlist,41,FALSE)=0,"",VLOOKUP(E12,Motorlist,41,FALSE)),"")</f>
        <v/>
      </c>
    </row>
    <row r="40" spans="1:9" x14ac:dyDescent="0.25">
      <c r="B40" s="20"/>
      <c r="C40" s="20">
        <f t="shared" si="2"/>
        <v>0</v>
      </c>
      <c r="D40" s="1" t="s">
        <v>164</v>
      </c>
      <c r="E40" s="335" t="str">
        <f>IF(ISBLANK('Job &amp; Motor Data'!S16),"",'Job &amp; Motor Data'!S16)</f>
        <v/>
      </c>
      <c r="G40" s="20" t="str">
        <f>IFERROR(IF(VLOOKUP(E12,Motorlist,43,FALSE)=0,"",VLOOKUP(E12,Motorlist,43,FALSE)),"")</f>
        <v/>
      </c>
    </row>
    <row r="41" spans="1:9" x14ac:dyDescent="0.25">
      <c r="B41" s="20"/>
      <c r="C41" s="344">
        <f t="shared" si="2"/>
        <v>0</v>
      </c>
      <c r="D41" s="1" t="s">
        <v>378</v>
      </c>
      <c r="E41" s="335" t="str">
        <f>IF(ISBLANK('Job &amp; Motor Data'!S18),"",'Job &amp; Motor Data'!S18)</f>
        <v/>
      </c>
      <c r="G41" s="20" t="str">
        <f>IFERROR(IF(VLOOKUP(E12,Motorlist,45,FALSE)=0,"",VLOOKUP(E12,Motorlist,45,FALSE)),"")</f>
        <v/>
      </c>
    </row>
    <row r="42" spans="1:9" x14ac:dyDescent="0.25">
      <c r="B42" s="20"/>
      <c r="C42" s="344">
        <f>IF(AND(B42="X",OR(E42="",E42=0)),1,0)</f>
        <v>0</v>
      </c>
      <c r="D42" s="3" t="s">
        <v>74</v>
      </c>
      <c r="E42" s="335" t="str">
        <f>IF(ISBLANK('Job &amp; Motor Data'!S20),"",'Job &amp; Motor Data'!S20)</f>
        <v>F</v>
      </c>
      <c r="G42" s="20" t="str">
        <f>IFERROR(IF(VLOOKUP(E12,Motorlist,42,FALSE)=0,"",VLOOKUP(E12,Motorlist,42,FALSE)),"")</f>
        <v>F</v>
      </c>
    </row>
    <row r="43" spans="1:9" s="398" customFormat="1" x14ac:dyDescent="0.25">
      <c r="B43" s="20"/>
      <c r="C43" s="344">
        <f>IF(AND(B43="X",OR(E43="",E43=0)),1,0)</f>
        <v>0</v>
      </c>
      <c r="D43" s="1" t="s">
        <v>1078</v>
      </c>
      <c r="E43" s="335" t="str">
        <f>IF(ISBLANK('Job &amp; Motor Data'!J22),"",'Job &amp; Motor Data'!J22)</f>
        <v/>
      </c>
      <c r="G43" s="20" t="str">
        <f>IFERROR(IF(VLOOKUP(E12,Motorlist,34,FALSE)=0,"",VLOOKUP(E12,Motorlist,34,FALSE)),"")</f>
        <v/>
      </c>
    </row>
    <row r="44" spans="1:9" s="398" customFormat="1" x14ac:dyDescent="0.25">
      <c r="B44" s="20"/>
      <c r="C44" s="20">
        <f>IF(AND(B44="X",OR(E44="",E44=0)),1,0)</f>
        <v>0</v>
      </c>
      <c r="D44" s="1" t="s">
        <v>1173</v>
      </c>
      <c r="E44" s="335" t="str">
        <f>IF(ISBLANK('Job &amp; Motor Data'!P22),"",'Job &amp; Motor Data'!P22)</f>
        <v/>
      </c>
      <c r="G44" s="20" t="str">
        <f>IFERROR(IF(VLOOKUP(E12,Motorlist,35,FALSE)=0,"",VLOOKUP(E12,Motorlist,35,FALSE)),"")</f>
        <v/>
      </c>
    </row>
    <row r="45" spans="1:9" s="545" customFormat="1" x14ac:dyDescent="0.25">
      <c r="B45" s="396"/>
      <c r="C45" s="396"/>
      <c r="D45" s="1"/>
      <c r="E45" s="548"/>
      <c r="G45" s="396"/>
    </row>
    <row r="46" spans="1:9" ht="19.5" thickBot="1" x14ac:dyDescent="0.35">
      <c r="A46" s="1364" t="s">
        <v>138</v>
      </c>
      <c r="B46" s="1364"/>
      <c r="C46" s="1364"/>
      <c r="D46" s="1364"/>
      <c r="E46" s="1364"/>
      <c r="F46" s="1364"/>
      <c r="G46" s="8"/>
    </row>
    <row r="47" spans="1:9" ht="16.5" thickBot="1" x14ac:dyDescent="0.3">
      <c r="C47" s="17">
        <f>SUM(C48:C54)</f>
        <v>1</v>
      </c>
      <c r="D47" s="1017" t="s">
        <v>1174</v>
      </c>
      <c r="E47" s="1057"/>
      <c r="G47" s="8"/>
    </row>
    <row r="48" spans="1:9" ht="15.75" thickBot="1" x14ac:dyDescent="0.3">
      <c r="B48" s="20" t="s">
        <v>518</v>
      </c>
      <c r="C48" s="345">
        <f>IF(AND(B48="X",F48=0),1,0)</f>
        <v>1</v>
      </c>
      <c r="D48" s="1" t="s">
        <v>76</v>
      </c>
      <c r="E48" s="333" t="str">
        <f>IF(F48=1,"COMPLETE",IF(F48=2,"STATOR ONLY",IF(F48=3,"No Motor","N/A")))</f>
        <v>N/A</v>
      </c>
      <c r="F48" s="129">
        <v>0</v>
      </c>
    </row>
    <row r="49" spans="1:8" x14ac:dyDescent="0.25">
      <c r="B49" s="20"/>
      <c r="C49" s="20"/>
      <c r="D49" s="1" t="s">
        <v>165</v>
      </c>
      <c r="E49" s="346" t="b">
        <v>0</v>
      </c>
      <c r="G49" s="8"/>
    </row>
    <row r="50" spans="1:8" x14ac:dyDescent="0.25">
      <c r="B50" s="20"/>
      <c r="C50" s="20"/>
      <c r="D50" s="1" t="s">
        <v>166</v>
      </c>
      <c r="E50" s="346" t="b">
        <v>1</v>
      </c>
      <c r="G50" s="8"/>
    </row>
    <row r="51" spans="1:8" x14ac:dyDescent="0.25">
      <c r="B51" s="20"/>
      <c r="C51" s="20"/>
      <c r="D51" s="1" t="s">
        <v>167</v>
      </c>
      <c r="E51" s="346" t="b">
        <v>0</v>
      </c>
      <c r="G51" s="8"/>
    </row>
    <row r="52" spans="1:8" x14ac:dyDescent="0.25">
      <c r="B52" s="20"/>
      <c r="C52" s="20"/>
      <c r="D52" s="1" t="s">
        <v>543</v>
      </c>
      <c r="E52" s="346" t="b">
        <v>0</v>
      </c>
      <c r="G52" s="8"/>
    </row>
    <row r="53" spans="1:8" s="452" customFormat="1" x14ac:dyDescent="0.25">
      <c r="B53" s="20"/>
      <c r="C53" s="20"/>
      <c r="D53" s="1" t="s">
        <v>1217</v>
      </c>
      <c r="E53" s="347" t="b">
        <v>0</v>
      </c>
      <c r="G53" s="8"/>
    </row>
    <row r="54" spans="1:8" s="452" customFormat="1" ht="15.75" thickBot="1" x14ac:dyDescent="0.3">
      <c r="B54" s="20"/>
      <c r="C54" s="344"/>
      <c r="D54" s="1" t="s">
        <v>1226</v>
      </c>
      <c r="E54" s="453" t="str">
        <f>IF(ISBLANK( 'As Found Equip'!D10),"N/A",'As Found Equip'!D10)</f>
        <v>N/A</v>
      </c>
      <c r="G54" s="8"/>
    </row>
    <row r="55" spans="1:8" s="611" customFormat="1" ht="16.5" thickBot="1" x14ac:dyDescent="0.3">
      <c r="B55" s="609"/>
      <c r="C55" s="17">
        <f>SUM(C56:C59)</f>
        <v>0</v>
      </c>
      <c r="D55" s="1018" t="s">
        <v>458</v>
      </c>
      <c r="E55" s="1057"/>
      <c r="G55" s="8"/>
    </row>
    <row r="56" spans="1:8" ht="15.75" thickBot="1" x14ac:dyDescent="0.3">
      <c r="B56" s="20" t="s">
        <v>518</v>
      </c>
      <c r="C56" s="345">
        <f>IF(AND(B56="X",F56=0),1,0)</f>
        <v>0</v>
      </c>
      <c r="D56" s="1" t="s">
        <v>1324</v>
      </c>
      <c r="E56" s="333" t="str">
        <f>IF(F56=1,"Yes",IF(F56=2,"No",IF(F56=0,"N/A","!")))</f>
        <v>No</v>
      </c>
      <c r="F56" s="669">
        <v>2</v>
      </c>
      <c r="G56" s="17" t="b">
        <f>IF(F56=1,TRUE,FALSE)</f>
        <v>0</v>
      </c>
    </row>
    <row r="57" spans="1:8" s="611" customFormat="1" ht="15.75" thickBot="1" x14ac:dyDescent="0.3">
      <c r="A57" s="611" t="s">
        <v>1176</v>
      </c>
      <c r="B57" s="20" t="s">
        <v>146</v>
      </c>
      <c r="C57" s="345">
        <f>IF(OR(F56=0,F56=2),0,IF(AND(B57="X",F56=1,F57=0),1,0))</f>
        <v>0</v>
      </c>
      <c r="D57" s="1" t="s">
        <v>1477</v>
      </c>
      <c r="E57" s="653" t="str">
        <f>IF(F57=3,"Flush",IF(F57=2,"Off-Shaft by ",IF(F57=1,"On-Shaft by ","N/A")))</f>
        <v>N/A</v>
      </c>
      <c r="F57" s="356">
        <v>0</v>
      </c>
    </row>
    <row r="58" spans="1:8" s="611" customFormat="1" ht="15.75" thickBot="1" x14ac:dyDescent="0.3">
      <c r="B58" s="20" t="s">
        <v>146</v>
      </c>
      <c r="C58" s="345">
        <f>IF(AND(B58="X",F56=1,OR(F57=1,F57=2)),1,0)</f>
        <v>0</v>
      </c>
      <c r="D58" s="1" t="s">
        <v>137</v>
      </c>
      <c r="E58" s="666" t="str">
        <f>IF(ISBLANK('As Found Equip'!M6),"N/A",'As Found Equip'!M6)</f>
        <v>N/A</v>
      </c>
      <c r="F58" s="668"/>
    </row>
    <row r="59" spans="1:8" s="452" customFormat="1" ht="15.75" thickBot="1" x14ac:dyDescent="0.3">
      <c r="B59" s="20"/>
      <c r="C59" s="344"/>
      <c r="D59" s="1" t="s">
        <v>1227</v>
      </c>
      <c r="E59" s="352" t="str">
        <f>IF(ISBLANK('As Found Equip'!K10),"N/A",'As Found Equip'!K10)</f>
        <v>N/A</v>
      </c>
      <c r="F59" s="129"/>
    </row>
    <row r="60" spans="1:8" s="611" customFormat="1" ht="16.5" thickBot="1" x14ac:dyDescent="0.3">
      <c r="B60" s="653"/>
      <c r="C60" s="17">
        <f>SUM(C61:C67)</f>
        <v>1</v>
      </c>
      <c r="D60" s="1018" t="s">
        <v>150</v>
      </c>
      <c r="E60" s="1324"/>
      <c r="F60" s="540"/>
    </row>
    <row r="61" spans="1:8" ht="15.75" thickBot="1" x14ac:dyDescent="0.3">
      <c r="B61" s="20" t="s">
        <v>518</v>
      </c>
      <c r="C61" s="345">
        <f>IF(AND(B61="X",OR(E61="",E61="N/A")),1,0)</f>
        <v>0</v>
      </c>
      <c r="D61" s="1" t="s">
        <v>59</v>
      </c>
      <c r="E61" s="658" t="str">
        <f>IF(F61=1,"Full",IF(F61=2,"Half ",IF(F61=3,"None","N/A")))</f>
        <v>None</v>
      </c>
      <c r="F61" s="540">
        <v>3</v>
      </c>
      <c r="G61" s="8"/>
    </row>
    <row r="62" spans="1:8" s="452" customFormat="1" ht="15.75" thickBot="1" x14ac:dyDescent="0.3">
      <c r="B62" s="20" t="s">
        <v>518</v>
      </c>
      <c r="C62" s="345">
        <f>IF(AND(B62="X",E62="N/A",OR(F61=1,F61=2)),1,0)</f>
        <v>0</v>
      </c>
      <c r="D62" s="1" t="s">
        <v>1222</v>
      </c>
      <c r="E62" s="539" t="str">
        <f>IF(F62=1,"N/A",VLOOKUP(F62,Data!CV2:CW6,2,FALSE))</f>
        <v>N/A</v>
      </c>
      <c r="F62" s="17">
        <v>1</v>
      </c>
      <c r="G62" s="396"/>
      <c r="H62" s="396"/>
    </row>
    <row r="63" spans="1:8" ht="15.75" thickBot="1" x14ac:dyDescent="0.3">
      <c r="B63" s="20" t="s">
        <v>518</v>
      </c>
      <c r="C63" s="20">
        <f>IF(AND(B63="X",AND(F63=FALSE,G63=FALSE,H63=FALSE)),1,0)</f>
        <v>1</v>
      </c>
      <c r="D63" s="1" t="s">
        <v>168</v>
      </c>
      <c r="E63" s="351" t="str">
        <f>IF(AND(F63=TRUE,G63=TRUE),"Stator &amp; Cover",IF(F63=TRUE,"Stator Only",IF(G63=TRUE,"Cover Only",IF(H63,"None","N/A"))))</f>
        <v>N/A</v>
      </c>
      <c r="F63" s="17" t="b">
        <v>0</v>
      </c>
      <c r="G63" s="17" t="b">
        <v>0</v>
      </c>
      <c r="H63" s="17" t="b">
        <v>0</v>
      </c>
    </row>
    <row r="64" spans="1:8" s="452" customFormat="1" ht="15.75" thickBot="1" x14ac:dyDescent="0.3">
      <c r="B64" s="20" t="s">
        <v>518</v>
      </c>
      <c r="C64" s="20">
        <f>IF(AND(B64="X",F64=1,OR(F63=TRUE,G63=TRUE,)),1,0)</f>
        <v>0</v>
      </c>
      <c r="D64" s="1" t="s">
        <v>1218</v>
      </c>
      <c r="E64" s="653" t="str">
        <f>IF(F64=1,"N/A",VLOOKUP(F64,Data!O2:P4,2,FALSE))</f>
        <v>N/A</v>
      </c>
      <c r="F64" s="17">
        <v>1</v>
      </c>
      <c r="G64" s="396"/>
      <c r="H64" s="396"/>
    </row>
    <row r="65" spans="1:7" ht="15.75" thickBot="1" x14ac:dyDescent="0.3">
      <c r="B65" s="20"/>
      <c r="C65" s="20"/>
      <c r="D65" s="1" t="s">
        <v>159</v>
      </c>
      <c r="E65" s="333" t="str">
        <f>IF(F65,"Yes","None")</f>
        <v>None</v>
      </c>
      <c r="F65" s="17" t="b">
        <v>0</v>
      </c>
      <c r="G65" s="8"/>
    </row>
    <row r="66" spans="1:7" s="550" customFormat="1" ht="15.75" thickBot="1" x14ac:dyDescent="0.3">
      <c r="B66" s="20" t="s">
        <v>518</v>
      </c>
      <c r="C66" s="20">
        <f>IF(AND(B66="x",F65,E66="N/A"),1,0)</f>
        <v>0</v>
      </c>
      <c r="D66" s="1" t="s">
        <v>1337</v>
      </c>
      <c r="E66" s="351" t="str">
        <f>IF(ISBLANK('As Found Equip'!E21),"N/A",'As Found Equip'!E21)</f>
        <v>N/A</v>
      </c>
      <c r="F66" s="17"/>
      <c r="G66" s="8"/>
    </row>
    <row r="67" spans="1:7" s="550" customFormat="1" ht="15.75" thickBot="1" x14ac:dyDescent="0.3">
      <c r="B67" s="20" t="s">
        <v>518</v>
      </c>
      <c r="C67" s="20">
        <f>IF(AND(B67="x",F65,E67="N/A"),1,0)</f>
        <v>0</v>
      </c>
      <c r="D67" s="1" t="s">
        <v>1338</v>
      </c>
      <c r="E67" s="667" t="str">
        <f>IF(ISBLANK('As Found Equip'!E23),"N/A",'As Found Equip'!E23)</f>
        <v>N/A</v>
      </c>
      <c r="F67" s="17"/>
      <c r="G67" s="8"/>
    </row>
    <row r="68" spans="1:7" s="611" customFormat="1" ht="16.5" thickBot="1" x14ac:dyDescent="0.3">
      <c r="A68" s="452"/>
      <c r="B68" s="609"/>
      <c r="C68" s="17">
        <f>IF(COUNTIF(E69:E74,TRUE),0,1)</f>
        <v>0</v>
      </c>
      <c r="D68" s="1018" t="s">
        <v>1179</v>
      </c>
      <c r="E68" s="1057"/>
      <c r="F68" s="452"/>
      <c r="G68" s="8"/>
    </row>
    <row r="69" spans="1:7" s="611" customFormat="1" x14ac:dyDescent="0.25">
      <c r="A69"/>
      <c r="B69" s="20"/>
      <c r="C69" s="20"/>
      <c r="D69" s="516" t="s">
        <v>1228</v>
      </c>
      <c r="E69" s="348" t="b">
        <v>0</v>
      </c>
      <c r="F69"/>
      <c r="G69" s="8"/>
    </row>
    <row r="70" spans="1:7" s="611" customFormat="1" x14ac:dyDescent="0.25">
      <c r="A70"/>
      <c r="B70" s="20"/>
      <c r="C70" s="20"/>
      <c r="D70" s="516" t="s">
        <v>1229</v>
      </c>
      <c r="E70" s="348" t="b">
        <v>1</v>
      </c>
      <c r="F70" s="173"/>
      <c r="G70" s="8"/>
    </row>
    <row r="71" spans="1:7" s="611" customFormat="1" x14ac:dyDescent="0.25">
      <c r="A71" s="452"/>
      <c r="B71" s="20"/>
      <c r="C71" s="20"/>
      <c r="D71" s="516" t="s">
        <v>1230</v>
      </c>
      <c r="E71" s="348" t="b">
        <v>0</v>
      </c>
      <c r="F71" s="173"/>
      <c r="G71" s="8"/>
    </row>
    <row r="72" spans="1:7" s="611" customFormat="1" x14ac:dyDescent="0.25">
      <c r="A72" s="452"/>
      <c r="B72" s="20"/>
      <c r="C72" s="20"/>
      <c r="D72" s="516" t="s">
        <v>1231</v>
      </c>
      <c r="E72" s="348" t="b">
        <v>0</v>
      </c>
      <c r="F72" s="173"/>
      <c r="G72" s="8"/>
    </row>
    <row r="73" spans="1:7" s="611" customFormat="1" x14ac:dyDescent="0.25">
      <c r="A73" s="452"/>
      <c r="B73" s="20"/>
      <c r="C73" s="20"/>
      <c r="D73" s="516" t="s">
        <v>1232</v>
      </c>
      <c r="E73" s="348" t="b">
        <v>0</v>
      </c>
      <c r="F73" s="173"/>
      <c r="G73" s="8"/>
    </row>
    <row r="74" spans="1:7" s="611" customFormat="1" ht="15.75" thickBot="1" x14ac:dyDescent="0.3">
      <c r="A74" s="452"/>
      <c r="B74" s="20"/>
      <c r="C74" s="344"/>
      <c r="D74" s="516" t="s">
        <v>1233</v>
      </c>
      <c r="E74" s="348" t="b">
        <v>0</v>
      </c>
      <c r="F74" s="173"/>
      <c r="G74" s="8"/>
    </row>
    <row r="75" spans="1:7" s="611" customFormat="1" ht="16.5" thickBot="1" x14ac:dyDescent="0.3">
      <c r="B75" s="609"/>
      <c r="C75" s="17">
        <f>SUM(C76:C81)</f>
        <v>4</v>
      </c>
      <c r="D75" s="1018" t="s">
        <v>1178</v>
      </c>
      <c r="E75" s="1018"/>
      <c r="F75" s="396"/>
      <c r="G75" s="8"/>
    </row>
    <row r="76" spans="1:7" ht="15.75" thickBot="1" x14ac:dyDescent="0.3">
      <c r="B76" s="20" t="s">
        <v>518</v>
      </c>
      <c r="C76" s="20">
        <f>IF(AND(B76="X",F76=0),1,0)</f>
        <v>1</v>
      </c>
      <c r="D76" s="1" t="s">
        <v>169</v>
      </c>
      <c r="E76" s="653" t="str">
        <f>IF(F76="","",IF(F76=1,"Yes","No"))</f>
        <v>No</v>
      </c>
      <c r="F76" s="356">
        <v>0</v>
      </c>
      <c r="G76" s="8"/>
    </row>
    <row r="77" spans="1:7" ht="15.75" thickBot="1" x14ac:dyDescent="0.3">
      <c r="B77" s="20" t="s">
        <v>518</v>
      </c>
      <c r="C77" s="20">
        <f>IF(AND(B77="X",E77="N/A"),1,0)</f>
        <v>1</v>
      </c>
      <c r="D77" s="1" t="s">
        <v>77</v>
      </c>
      <c r="E77" s="954" t="str">
        <f>IF(ISBLANK('As Found Equip'!N19),"N/A",'As Found Equip'!N19)</f>
        <v>N/A</v>
      </c>
      <c r="F77" s="651"/>
      <c r="G77" s="8"/>
    </row>
    <row r="78" spans="1:7" s="611" customFormat="1" ht="15.75" thickBot="1" x14ac:dyDescent="0.3">
      <c r="B78" s="20"/>
      <c r="C78" s="20"/>
      <c r="D78" s="1" t="s">
        <v>1226</v>
      </c>
      <c r="E78" s="654" t="str">
        <f>IF(ISBLANK('As Found Equip'!K21),"N/A",'As Found Equip'!K21)</f>
        <v>N/A</v>
      </c>
      <c r="F78" s="356"/>
      <c r="G78" s="8"/>
    </row>
    <row r="79" spans="1:7" s="452" customFormat="1" ht="15.75" thickBot="1" x14ac:dyDescent="0.3">
      <c r="B79" s="20" t="s">
        <v>146</v>
      </c>
      <c r="C79" s="20">
        <f>IF(AND(B79="X",F79=1,E79="N/A"),1,0)</f>
        <v>1</v>
      </c>
      <c r="D79" s="1" t="s">
        <v>1112</v>
      </c>
      <c r="E79" s="521" t="str">
        <f>IF(AND(F79=1,'As Found Equip'!L25=""),"N/A",IF(F79&lt;&gt;1,VLOOKUP(F79,Data!CZ2:DA15,2,FALSE),'As Found Equip'!L25))</f>
        <v>N/A</v>
      </c>
      <c r="F79" s="17">
        <v>1</v>
      </c>
      <c r="G79" s="8"/>
    </row>
    <row r="80" spans="1:7" s="452" customFormat="1" ht="15.75" thickBot="1" x14ac:dyDescent="0.3">
      <c r="B80" s="20" t="s">
        <v>518</v>
      </c>
      <c r="C80" s="20">
        <f>IF(AND(B80="X",F80=1),1,0)</f>
        <v>1</v>
      </c>
      <c r="D80" s="1" t="s">
        <v>1223</v>
      </c>
      <c r="E80" s="521" t="str">
        <f>IF(VLOOKUP(F80,Data!CX2:CY6,2,FALSE)="","N/A",VLOOKUP(F80,Data!CX2:CY6,2,FALSE))</f>
        <v>N/A</v>
      </c>
      <c r="F80" s="17">
        <v>1</v>
      </c>
      <c r="G80" s="8"/>
    </row>
    <row r="81" spans="1:7" s="452" customFormat="1" ht="270" x14ac:dyDescent="0.25">
      <c r="B81" s="20"/>
      <c r="C81" s="20"/>
      <c r="D81" s="1" t="s">
        <v>78</v>
      </c>
      <c r="E81" s="349" t="s">
        <v>1600</v>
      </c>
      <c r="F81" s="173"/>
      <c r="G81" s="8"/>
    </row>
    <row r="82" spans="1:7" s="452" customFormat="1" x14ac:dyDescent="0.25">
      <c r="B82" s="396"/>
      <c r="C82" s="396"/>
      <c r="E82" s="515"/>
      <c r="F82" s="173"/>
      <c r="G82" s="8"/>
    </row>
    <row r="83" spans="1:7" s="563" customFormat="1" ht="15" customHeight="1" thickBot="1" x14ac:dyDescent="0.3">
      <c r="A83" s="1432" t="s">
        <v>1348</v>
      </c>
      <c r="B83" s="1432"/>
      <c r="C83" s="1432"/>
      <c r="D83" s="1432"/>
      <c r="E83" s="1432"/>
      <c r="F83" s="1432"/>
    </row>
    <row r="84" spans="1:7" s="611" customFormat="1" ht="15" customHeight="1" thickBot="1" x14ac:dyDescent="0.3">
      <c r="A84" s="663"/>
      <c r="B84" s="663"/>
      <c r="C84" s="17">
        <f>SUM(C85:C97)</f>
        <v>0</v>
      </c>
      <c r="D84" s="267" t="s">
        <v>728</v>
      </c>
      <c r="E84" s="663"/>
      <c r="F84" s="663"/>
    </row>
    <row r="85" spans="1:7" s="523" customFormat="1" ht="15" customHeight="1" thickBot="1" x14ac:dyDescent="0.3">
      <c r="A85"/>
      <c r="B85" s="20"/>
      <c r="C85" s="20">
        <f>IF(AND(B85="X",F85=0),1,0)</f>
        <v>0</v>
      </c>
      <c r="D85" t="s">
        <v>175</v>
      </c>
      <c r="E85" s="657"/>
      <c r="F85" s="17">
        <v>2</v>
      </c>
      <c r="G85" s="523" t="b">
        <f>IF(F85=1,TRUE,FALSE)</f>
        <v>0</v>
      </c>
    </row>
    <row r="86" spans="1:7" s="523" customFormat="1" ht="15" customHeight="1" x14ac:dyDescent="0.25">
      <c r="B86" s="20" t="s">
        <v>518</v>
      </c>
      <c r="C86" s="20">
        <f>IF(AND(B86="X",F85=1,E86="N/A"),1,0)</f>
        <v>0</v>
      </c>
      <c r="D86" t="s">
        <v>142</v>
      </c>
      <c r="E86" s="555" t="str">
        <f>IF(ISBLANK(Accessories!G6),"N/A",Accessories!G6)</f>
        <v>N/A</v>
      </c>
    </row>
    <row r="87" spans="1:7" s="523" customFormat="1" ht="15" customHeight="1" x14ac:dyDescent="0.25">
      <c r="B87" s="20"/>
      <c r="C87" s="20"/>
      <c r="D87" s="523" t="s">
        <v>1283</v>
      </c>
      <c r="E87" s="555" t="str">
        <f>IF(ISBLANK(Accessories!D8),"N/A",Accessories!D8)</f>
        <v>N/A</v>
      </c>
    </row>
    <row r="88" spans="1:7" s="523" customFormat="1" ht="15" customHeight="1" x14ac:dyDescent="0.25">
      <c r="B88" s="20" t="s">
        <v>518</v>
      </c>
      <c r="C88" s="20">
        <f>IF(AND(B88="X",F85=1,E88="N/A"),1,0)</f>
        <v>0</v>
      </c>
      <c r="D88" s="438" t="s">
        <v>1265</v>
      </c>
      <c r="E88" s="349" t="str">
        <f>IF(ISBLANK(Accessories!H8),"N/A",Accessories!H8)</f>
        <v>N/A</v>
      </c>
    </row>
    <row r="89" spans="1:7" ht="15.75" thickBot="1" x14ac:dyDescent="0.3">
      <c r="B89" s="20"/>
      <c r="C89" s="20"/>
      <c r="D89" s="438" t="s">
        <v>1284</v>
      </c>
      <c r="E89" s="555" t="str">
        <f>IF(ISBLANK(Accessories!D10),"N/A",Accessories!D10)</f>
        <v>N/A</v>
      </c>
    </row>
    <row r="90" spans="1:7" s="523" customFormat="1" ht="15.75" thickBot="1" x14ac:dyDescent="0.3">
      <c r="B90" s="20" t="s">
        <v>518</v>
      </c>
      <c r="C90" s="20">
        <f>IF(AND(B90="X",F85=1,E90="N/A"),1,0)</f>
        <v>0</v>
      </c>
      <c r="D90" s="438" t="s">
        <v>1267</v>
      </c>
      <c r="E90" s="556" t="str">
        <f>IF(VLOOKUP(F90,Data!DF2:DG7,2,FALSE)="","N/A",VLOOKUP(F90,Data!DF2:DG7,2,FALSE))</f>
        <v>N/A</v>
      </c>
      <c r="F90" s="129">
        <v>1</v>
      </c>
    </row>
    <row r="91" spans="1:7" s="523" customFormat="1" ht="15.75" thickBot="1" x14ac:dyDescent="0.3">
      <c r="B91" s="20"/>
      <c r="C91" s="20"/>
      <c r="D91" s="438" t="s">
        <v>1285</v>
      </c>
      <c r="E91" s="555" t="str">
        <f>IF(ISBLANK(Accessories!D12),"N/A",Accessories!D12)</f>
        <v>N/A</v>
      </c>
    </row>
    <row r="92" spans="1:7" s="523" customFormat="1" ht="15.75" thickBot="1" x14ac:dyDescent="0.3">
      <c r="B92" s="20"/>
      <c r="C92" s="20">
        <f>IF(AND(B92="X",F85=1,E92="N/A"),1,0)</f>
        <v>0</v>
      </c>
      <c r="D92" s="438" t="s">
        <v>1286</v>
      </c>
      <c r="E92" s="556" t="str">
        <f>IF(VLOOKUP(F92,Data!DH2:DI5,2,FALSE)="","N/A",VLOOKUP(F92,Data!DH2:DI5,2,FALSE))</f>
        <v>N/A</v>
      </c>
      <c r="F92" s="129">
        <v>1</v>
      </c>
    </row>
    <row r="93" spans="1:7" s="523" customFormat="1" ht="15.75" thickBot="1" x14ac:dyDescent="0.3">
      <c r="B93" s="20" t="s">
        <v>518</v>
      </c>
      <c r="C93" s="20">
        <f>IF(AND(B93="X",F85=1,E93="N/A"),1,0)</f>
        <v>0</v>
      </c>
      <c r="D93" s="438" t="s">
        <v>1266</v>
      </c>
      <c r="E93" s="555" t="str">
        <f>IF(ISBLANK(Accessories!D14),"N/A",Accessories!D14)</f>
        <v>N/A</v>
      </c>
    </row>
    <row r="94" spans="1:7" s="523" customFormat="1" ht="15.75" thickBot="1" x14ac:dyDescent="0.3">
      <c r="B94" s="20" t="s">
        <v>518</v>
      </c>
      <c r="C94" s="20">
        <f>IF(AND(B94="X",F85=1,E94="N/A"),1,0)</f>
        <v>0</v>
      </c>
      <c r="D94" s="438" t="s">
        <v>1287</v>
      </c>
      <c r="E94" s="556" t="str">
        <f>IF(VLOOKUP(F94,Data!DJ2:DK5,2,FALSE)="","N/A",VLOOKUP(F94,Data!DJ2:DK5,2,FALSE))</f>
        <v>N/A</v>
      </c>
      <c r="F94" s="129">
        <v>1</v>
      </c>
    </row>
    <row r="95" spans="1:7" s="523" customFormat="1" ht="15.75" thickBot="1" x14ac:dyDescent="0.3">
      <c r="B95" s="20" t="s">
        <v>518</v>
      </c>
      <c r="C95" s="20">
        <f>IF(AND(B95="X",F85=1,E95="N/A"),1,0)</f>
        <v>0</v>
      </c>
      <c r="D95" s="438" t="s">
        <v>1264</v>
      </c>
      <c r="E95" s="555" t="str">
        <f>IF(ISBLANK(Accessories!D16),"N/A",Accessories!D16)</f>
        <v>N/A</v>
      </c>
    </row>
    <row r="96" spans="1:7" s="523" customFormat="1" ht="15.75" thickBot="1" x14ac:dyDescent="0.3">
      <c r="B96" s="20" t="s">
        <v>518</v>
      </c>
      <c r="C96" s="20">
        <f>IF(AND(B96="X",F85=1,F96=1),1,0)</f>
        <v>0</v>
      </c>
      <c r="D96" t="s">
        <v>1274</v>
      </c>
      <c r="E96" s="555" t="str">
        <f>IF(VLOOKUP(F96,Data!O2:P4,2,FALSE)="","N/A",VLOOKUP(F96,Data!O2:P4,2,FALSE))</f>
        <v>N/A</v>
      </c>
      <c r="F96" s="567">
        <v>1</v>
      </c>
    </row>
    <row r="97" spans="2:7" ht="15.75" thickBot="1" x14ac:dyDescent="0.3">
      <c r="B97" s="20"/>
      <c r="C97" s="344">
        <f>IF(AND(B97="X",E97=""),1,0)</f>
        <v>0</v>
      </c>
      <c r="D97" t="s">
        <v>143</v>
      </c>
      <c r="E97" s="555" t="s">
        <v>131</v>
      </c>
      <c r="F97" s="10"/>
    </row>
    <row r="98" spans="2:7" ht="16.5" thickBot="1" x14ac:dyDescent="0.3">
      <c r="C98" s="17">
        <f>SUM(C99:C113)</f>
        <v>0</v>
      </c>
      <c r="D98" s="267" t="s">
        <v>1349</v>
      </c>
      <c r="E98" s="10"/>
      <c r="F98" s="10"/>
    </row>
    <row r="99" spans="2:7" ht="15.75" thickBot="1" x14ac:dyDescent="0.3">
      <c r="B99" s="20" t="s">
        <v>518</v>
      </c>
      <c r="C99" s="345">
        <f>IF(AND(B99="x",F99=0),1,0)</f>
        <v>0</v>
      </c>
      <c r="D99" t="str">
        <f>"RTD  found:"</f>
        <v>RTD  found:</v>
      </c>
      <c r="E99" s="657" t="b">
        <v>0</v>
      </c>
      <c r="F99" s="356">
        <v>2</v>
      </c>
      <c r="G99" t="b">
        <f>IF(OR(F99=1,F106=1),TRUE,FALSE)</f>
        <v>0</v>
      </c>
    </row>
    <row r="100" spans="2:7" x14ac:dyDescent="0.25">
      <c r="B100" s="20" t="s">
        <v>518</v>
      </c>
      <c r="C100" s="20">
        <f>IF(AND(B100="X",F99=1,E100="N/A"),1,0)</f>
        <v>0</v>
      </c>
      <c r="D100" s="523" t="s">
        <v>1271</v>
      </c>
      <c r="E100" s="555" t="str">
        <f>IF(ISBLANK(Accessories!$Q$8),"N/A",Accessories!$Q$8)</f>
        <v>N/A</v>
      </c>
    </row>
    <row r="101" spans="2:7" x14ac:dyDescent="0.25">
      <c r="B101" s="20" t="s">
        <v>518</v>
      </c>
      <c r="C101" s="20">
        <f>IF(AND(B101="X",F99=1,E101="N/A"),1,0)</f>
        <v>0</v>
      </c>
      <c r="D101" s="523" t="s">
        <v>1270</v>
      </c>
      <c r="E101" s="555" t="str">
        <f>IF(ISBLANK(Accessories!$O$10),"N/A",Accessories!$O$10)</f>
        <v>N/A</v>
      </c>
    </row>
    <row r="102" spans="2:7" x14ac:dyDescent="0.25">
      <c r="B102" s="20" t="s">
        <v>518</v>
      </c>
      <c r="C102" s="20">
        <f>IF(AND(B102="X",F99=1,E102="N/A"),1,0)</f>
        <v>0</v>
      </c>
      <c r="D102" s="438" t="s">
        <v>1269</v>
      </c>
      <c r="E102" s="555" t="str">
        <f>IF(ISBLANK(Accessories!S10),"N/A",Accessories!S10)</f>
        <v>N/A</v>
      </c>
    </row>
    <row r="103" spans="2:7" ht="15.75" thickBot="1" x14ac:dyDescent="0.3">
      <c r="B103" s="20" t="s">
        <v>518</v>
      </c>
      <c r="C103" s="20">
        <f>IF(AND(B103="X",F99=1,E103="N/A"),1,0)</f>
        <v>0</v>
      </c>
      <c r="D103" s="438" t="s">
        <v>1268</v>
      </c>
      <c r="E103" s="555" t="str">
        <f>IF(ISBLANK(Accessories!O12),"N/A",Accessories!O12)</f>
        <v>N/A</v>
      </c>
    </row>
    <row r="104" spans="2:7" s="523" customFormat="1" ht="15.75" thickBot="1" x14ac:dyDescent="0.3">
      <c r="B104" s="20" t="s">
        <v>518</v>
      </c>
      <c r="C104" s="20">
        <f>IF(AND(B104="X",F99=1,E104="N/A"),1,0)</f>
        <v>0</v>
      </c>
      <c r="D104" s="438" t="s">
        <v>1272</v>
      </c>
      <c r="E104" s="556" t="str">
        <f>IF(VLOOKUP(F104,Data!DF2:DG7,2,FALSE)="","N/A",VLOOKUP(F104,Data!DF2:DG7,2,FALSE))</f>
        <v>N/A</v>
      </c>
      <c r="F104" s="350">
        <v>1</v>
      </c>
    </row>
    <row r="105" spans="2:7" s="523" customFormat="1" ht="15.75" thickBot="1" x14ac:dyDescent="0.3">
      <c r="B105" s="20" t="s">
        <v>518</v>
      </c>
      <c r="C105" s="20">
        <f>IF(AND(B105="X",F99=1,E105="N/A"),1,0)</f>
        <v>0</v>
      </c>
      <c r="D105" s="523" t="s">
        <v>1273</v>
      </c>
      <c r="E105" s="556" t="str">
        <f>IF(VLOOKUP(F105,Data!O2:P4,2,FALSE)="","N/A",VLOOKUP(F105,Data!O2:P4,2,FALSE))</f>
        <v>N/A</v>
      </c>
      <c r="F105" s="17">
        <v>1</v>
      </c>
    </row>
    <row r="106" spans="2:7" s="523" customFormat="1" ht="15.75" thickBot="1" x14ac:dyDescent="0.3">
      <c r="B106" s="20" t="s">
        <v>518</v>
      </c>
      <c r="C106" s="345">
        <f>IF(AND(B106="x",F106=0),1,0)</f>
        <v>0</v>
      </c>
      <c r="D106" s="523" t="s">
        <v>1275</v>
      </c>
      <c r="E106" s="657"/>
      <c r="F106" s="17">
        <v>2</v>
      </c>
    </row>
    <row r="107" spans="2:7" s="523" customFormat="1" x14ac:dyDescent="0.25">
      <c r="B107" s="20" t="s">
        <v>518</v>
      </c>
      <c r="C107" s="20">
        <f>IF(AND(B107="X",F106=1,E107="N/A"),1,0)</f>
        <v>0</v>
      </c>
      <c r="D107" s="523" t="s">
        <v>1276</v>
      </c>
      <c r="E107" s="555" t="str">
        <f>IF(ISBLANK(Accessories!Q18),"N/A",Accessories!Q18)</f>
        <v>N/A</v>
      </c>
    </row>
    <row r="108" spans="2:7" s="523" customFormat="1" x14ac:dyDescent="0.25">
      <c r="B108" s="20" t="s">
        <v>518</v>
      </c>
      <c r="C108" s="20">
        <f>IF(AND(B108="X",F106=1,E108="N/A"),1,0)</f>
        <v>0</v>
      </c>
      <c r="D108" s="523" t="s">
        <v>1277</v>
      </c>
      <c r="E108" s="555" t="str">
        <f>IF(ISBLANK(Accessories!O20),"N/A",Accessories!O20)</f>
        <v>N/A</v>
      </c>
    </row>
    <row r="109" spans="2:7" s="523" customFormat="1" x14ac:dyDescent="0.25">
      <c r="B109" s="20" t="s">
        <v>518</v>
      </c>
      <c r="C109" s="20">
        <f>IF(AND(B109="X",F106=1,E109="N/A"),1,0)</f>
        <v>0</v>
      </c>
      <c r="D109" s="438" t="s">
        <v>1278</v>
      </c>
      <c r="E109" s="555" t="str">
        <f>IF(ISBLANK(Accessories!S20),"N/A",Accessories!S20)</f>
        <v>N/A</v>
      </c>
    </row>
    <row r="110" spans="2:7" s="523" customFormat="1" ht="15.75" thickBot="1" x14ac:dyDescent="0.3">
      <c r="B110" s="20" t="s">
        <v>518</v>
      </c>
      <c r="C110" s="20">
        <f>IF(AND(B110="X",F106=1,E110="N/A"),1,0)</f>
        <v>0</v>
      </c>
      <c r="D110" s="438" t="s">
        <v>1279</v>
      </c>
      <c r="E110" s="555" t="str">
        <f>IF(ISBLANK(Accessories!O22),"N/A",Accessories!O22)</f>
        <v>N/A</v>
      </c>
    </row>
    <row r="111" spans="2:7" s="523" customFormat="1" ht="15.75" thickBot="1" x14ac:dyDescent="0.3">
      <c r="B111" s="20" t="s">
        <v>518</v>
      </c>
      <c r="C111" s="20">
        <f>IF(AND(B111="X",F106=1,E111="N/A"),1,0)</f>
        <v>0</v>
      </c>
      <c r="D111" s="438" t="s">
        <v>1280</v>
      </c>
      <c r="E111" s="556" t="str">
        <f>IF(VLOOKUP(F111,Data!DF2:DG7,2,FALSE)="","N/A",VLOOKUP(F111,Data!DF2:DG7,2,FALSE))</f>
        <v>N/A</v>
      </c>
      <c r="F111" s="350">
        <v>1</v>
      </c>
    </row>
    <row r="112" spans="2:7" s="523" customFormat="1" ht="15.75" thickBot="1" x14ac:dyDescent="0.3">
      <c r="B112" s="20" t="s">
        <v>518</v>
      </c>
      <c r="C112" s="20">
        <f>IF(AND(B112="X",F106=1,E112="N/A"),1,0)</f>
        <v>0</v>
      </c>
      <c r="D112" s="523" t="s">
        <v>1281</v>
      </c>
      <c r="E112" s="556" t="str">
        <f>IF(VLOOKUP(F112,Data!O2:P4,2,FALSE)="","N/A",VLOOKUP(F112,Data!O2:P4,2,FALSE))</f>
        <v>N/A</v>
      </c>
      <c r="F112" s="17">
        <v>1</v>
      </c>
    </row>
    <row r="113" spans="1:7" s="523" customFormat="1" ht="15.75" thickBot="1" x14ac:dyDescent="0.3">
      <c r="B113" s="20"/>
      <c r="C113" s="20">
        <f>IF(AND(B113="X",F106=1,E113=""),1,0)</f>
        <v>0</v>
      </c>
      <c r="D113" t="s">
        <v>577</v>
      </c>
      <c r="E113" s="555" t="s">
        <v>131</v>
      </c>
      <c r="F113"/>
    </row>
    <row r="114" spans="1:7" s="523" customFormat="1" ht="16.5" thickBot="1" x14ac:dyDescent="0.3">
      <c r="C114" s="17">
        <f>SUM(C115:C123)</f>
        <v>0</v>
      </c>
      <c r="D114" s="267" t="s">
        <v>1197</v>
      </c>
      <c r="E114" s="522"/>
    </row>
    <row r="115" spans="1:7" s="523" customFormat="1" ht="15.75" thickBot="1" x14ac:dyDescent="0.3">
      <c r="B115" s="20"/>
      <c r="C115" s="345"/>
      <c r="D115" s="523" t="s">
        <v>1288</v>
      </c>
      <c r="E115" s="657" t="b">
        <v>0</v>
      </c>
      <c r="F115" s="17">
        <v>0</v>
      </c>
      <c r="G115" s="523" t="b">
        <f>IF(F115=1,TRUE,FALSE)</f>
        <v>0</v>
      </c>
    </row>
    <row r="116" spans="1:7" s="523" customFormat="1" x14ac:dyDescent="0.25">
      <c r="B116" s="20" t="s">
        <v>518</v>
      </c>
      <c r="C116" s="20">
        <f>IF(AND(B116="X",F115=1,E116="N/A"),1,0)</f>
        <v>0</v>
      </c>
      <c r="D116" s="523" t="s">
        <v>1289</v>
      </c>
      <c r="E116" s="555" t="str">
        <f>IF(ISBLANK(Accessories!G29),"N/A",Accessories!G29)</f>
        <v>N/A</v>
      </c>
    </row>
    <row r="117" spans="1:7" s="523" customFormat="1" x14ac:dyDescent="0.25">
      <c r="B117" s="20" t="s">
        <v>518</v>
      </c>
      <c r="C117" s="20">
        <f>IF(AND(B117="X",F115=1,E117="N/A"),1,0)</f>
        <v>0</v>
      </c>
      <c r="D117" s="523" t="s">
        <v>1290</v>
      </c>
      <c r="E117" s="555" t="str">
        <f>IF(ISBLANK(Accessories!D33),"N/A",Accessories!D33)</f>
        <v>N/A</v>
      </c>
    </row>
    <row r="118" spans="1:7" s="523" customFormat="1" x14ac:dyDescent="0.25">
      <c r="B118" s="20" t="s">
        <v>518</v>
      </c>
      <c r="C118" s="20">
        <f>IF(AND(B118="X",F115=1,E118="N/A"),1,0)</f>
        <v>0</v>
      </c>
      <c r="D118" s="523" t="s">
        <v>1291</v>
      </c>
      <c r="E118" s="555" t="str">
        <f>IF(ISBLANK(Accessories!H31),"N/A",Accessories!H31)</f>
        <v>N/A</v>
      </c>
    </row>
    <row r="119" spans="1:7" s="523" customFormat="1" ht="15.75" thickBot="1" x14ac:dyDescent="0.3">
      <c r="B119" s="20" t="s">
        <v>518</v>
      </c>
      <c r="C119" s="20">
        <f>IF(AND(B119="X",F115=1,E119="N/A"),1,0)</f>
        <v>0</v>
      </c>
      <c r="D119" s="523" t="s">
        <v>1292</v>
      </c>
      <c r="E119" s="555" t="str">
        <f>IF(ISBLANK(Accessories!D35),"N/A",Accessories!D35)</f>
        <v>N/A</v>
      </c>
    </row>
    <row r="120" spans="1:7" s="523" customFormat="1" ht="15.75" thickBot="1" x14ac:dyDescent="0.3">
      <c r="B120" s="20" t="s">
        <v>518</v>
      </c>
      <c r="C120" s="20">
        <f>IF(AND(B120="X",F115=1,E120="N/A"),1,0)</f>
        <v>0</v>
      </c>
      <c r="D120" s="523" t="s">
        <v>1293</v>
      </c>
      <c r="E120" s="556" t="str">
        <f>IF(VLOOKUP(F120,Data!DF2:DG7,2,FALSE)="","N/A",VLOOKUP(F120,Data!DF2:DG7,2,FALSE))</f>
        <v>N/A</v>
      </c>
      <c r="F120" s="17">
        <v>1</v>
      </c>
    </row>
    <row r="121" spans="1:7" s="523" customFormat="1" ht="15.75" thickBot="1" x14ac:dyDescent="0.3">
      <c r="B121" s="20" t="s">
        <v>518</v>
      </c>
      <c r="C121" s="20">
        <f>IF(AND(B121="X",F115=1,E121="N/A"),1,0)</f>
        <v>0</v>
      </c>
      <c r="D121" s="523" t="s">
        <v>1294</v>
      </c>
      <c r="E121" s="556" t="str">
        <f>IF(VLOOKUP(F121,Data!DL2:DM4,2,FALSE)="","N/A",VLOOKUP(F121,Data!DL2:DM4,2,FALSE))</f>
        <v>N/A</v>
      </c>
      <c r="F121" s="17">
        <v>1</v>
      </c>
    </row>
    <row r="122" spans="1:7" s="523" customFormat="1" ht="15.75" thickBot="1" x14ac:dyDescent="0.3">
      <c r="B122" s="20" t="s">
        <v>518</v>
      </c>
      <c r="C122" s="20">
        <f>IF(AND(B122="X",F115=1,E122="N/A"),1,0)</f>
        <v>0</v>
      </c>
      <c r="D122" s="523" t="s">
        <v>1295</v>
      </c>
      <c r="E122" s="556" t="str">
        <f>IF(VLOOKUP(F122,Data!O2:P5,2,FALSE)="","N/A",VLOOKUP(F122,Data!O2:P5,2,FALSE))</f>
        <v>N/A</v>
      </c>
      <c r="F122" s="514">
        <v>1</v>
      </c>
    </row>
    <row r="123" spans="1:7" s="523" customFormat="1" x14ac:dyDescent="0.25">
      <c r="B123" s="20"/>
      <c r="C123" s="20">
        <f>IF(AND(B123="X",F122=1,E123=""),1,0)</f>
        <v>0</v>
      </c>
      <c r="D123" s="523" t="s">
        <v>1296</v>
      </c>
      <c r="E123" s="555" t="s">
        <v>131</v>
      </c>
    </row>
    <row r="124" spans="1:7" s="611" customFormat="1" x14ac:dyDescent="0.25">
      <c r="B124" s="396"/>
      <c r="C124" s="396"/>
      <c r="E124" s="515"/>
      <c r="F124" s="173"/>
      <c r="G124" s="8"/>
    </row>
    <row r="125" spans="1:7" ht="18.75" x14ac:dyDescent="0.3">
      <c r="A125" s="1364" t="s">
        <v>129</v>
      </c>
      <c r="B125" s="1364"/>
      <c r="C125" s="1364"/>
      <c r="D125" s="1364"/>
      <c r="E125" s="1364"/>
      <c r="F125" s="1364"/>
      <c r="G125" s="8"/>
    </row>
    <row r="126" spans="1:7" ht="15.75" thickBot="1" x14ac:dyDescent="0.3">
      <c r="B126" s="20"/>
      <c r="C126" s="20">
        <f>SUM(C127:C153)</f>
        <v>8</v>
      </c>
    </row>
    <row r="127" spans="1:7" ht="15.75" thickBot="1" x14ac:dyDescent="0.3">
      <c r="B127" s="20" t="s">
        <v>518</v>
      </c>
      <c r="C127" s="20">
        <f>IF(AND(B127="X",OR(E127="",F127=1)),1,0)</f>
        <v>1</v>
      </c>
      <c r="D127" t="s">
        <v>171</v>
      </c>
      <c r="E127" s="333" t="str">
        <f>IF(F127=1,"N/A",IF(F127=2,"3",IF(F127=3,"6",IF(F127=4,"9",IF(F127=5,"12","!")))))</f>
        <v>N/A</v>
      </c>
      <c r="F127" s="670">
        <v>1</v>
      </c>
    </row>
    <row r="128" spans="1:7" ht="15.75" thickBot="1" x14ac:dyDescent="0.3">
      <c r="B128" s="20" t="s">
        <v>518</v>
      </c>
      <c r="C128" s="20">
        <f>IF(AND(B128="X",F128=0),1,0)</f>
        <v>1</v>
      </c>
      <c r="D128" t="s">
        <v>172</v>
      </c>
      <c r="E128" s="333" t="str">
        <f>IF(F128=1,"NEMA",IF(F128=2,"IEC","N/A"))</f>
        <v>N/A</v>
      </c>
      <c r="F128" s="356">
        <v>0</v>
      </c>
    </row>
    <row r="129" spans="2:12" ht="15.75" thickBot="1" x14ac:dyDescent="0.3">
      <c r="B129" s="20" t="s">
        <v>518</v>
      </c>
      <c r="C129" s="20">
        <f>IF(AND(B129="X",OR(E129="",F129=1)),1,0)</f>
        <v>1</v>
      </c>
      <c r="D129" t="s">
        <v>173</v>
      </c>
      <c r="E129" s="333" t="str">
        <f>IF(F129=1,"N/A",VLOOKUP(F129,Data!Q2:R6,2))</f>
        <v>N/A</v>
      </c>
      <c r="F129" s="356">
        <v>1</v>
      </c>
    </row>
    <row r="130" spans="2:12" ht="15.75" thickBot="1" x14ac:dyDescent="0.3">
      <c r="B130" s="20" t="s">
        <v>518</v>
      </c>
      <c r="C130" s="20">
        <f>IF(AND(B130="X",OR(E130="",F130=1)),1,0)</f>
        <v>1</v>
      </c>
      <c r="D130" t="s">
        <v>506</v>
      </c>
      <c r="E130" s="657" t="str">
        <f>IF(F130=1,"N/A",IF(F130=2,Data!T3,IF(F130=3,Data!T4,IF(F130=4,Data!T5,IF(F130=5,Data!T6)))))</f>
        <v>N/A</v>
      </c>
      <c r="F130" s="356">
        <v>1</v>
      </c>
    </row>
    <row r="131" spans="2:12" ht="15.75" thickBot="1" x14ac:dyDescent="0.3">
      <c r="B131" s="20"/>
      <c r="C131" s="20"/>
      <c r="D131" t="s">
        <v>130</v>
      </c>
      <c r="F131" s="356">
        <f>IF(AND(E128&lt;&gt;"N/A",E127&lt;&gt;"N/A"),IF(E128="IEC",IF(E127="3",1,IF(E127="6",2,IF(E127="9",3,IF(E127="12",4,0)))),IF(E127="3",1,IF(E127="6",6,IF(E127="9",3,4)))),0)</f>
        <v>0</v>
      </c>
    </row>
    <row r="132" spans="2:12" ht="15.75" thickBot="1" x14ac:dyDescent="0.3">
      <c r="B132" s="20" t="s">
        <v>146</v>
      </c>
      <c r="C132" s="20">
        <f>IF(AND(B132="X",F132=0),1,0)</f>
        <v>1</v>
      </c>
      <c r="D132" t="s">
        <v>132</v>
      </c>
      <c r="F132" s="356">
        <v>0</v>
      </c>
    </row>
    <row r="133" spans="2:12" x14ac:dyDescent="0.25">
      <c r="B133" s="20"/>
      <c r="C133" s="20"/>
      <c r="D133" t="s">
        <v>133</v>
      </c>
      <c r="E133" s="671">
        <v>1</v>
      </c>
      <c r="F133" s="669">
        <v>2</v>
      </c>
      <c r="G133" s="669">
        <v>3</v>
      </c>
      <c r="H133" s="10"/>
      <c r="I133" s="669">
        <v>1</v>
      </c>
      <c r="J133" s="669">
        <v>2</v>
      </c>
      <c r="K133" s="669">
        <v>3</v>
      </c>
      <c r="L133" s="669">
        <v>4</v>
      </c>
    </row>
    <row r="134" spans="2:12" x14ac:dyDescent="0.25">
      <c r="B134" s="20"/>
      <c r="C134" s="20"/>
      <c r="D134" t="s">
        <v>174</v>
      </c>
      <c r="E134" s="658">
        <v>1</v>
      </c>
      <c r="F134" s="658">
        <v>1</v>
      </c>
      <c r="G134" s="658">
        <v>1</v>
      </c>
      <c r="H134" s="10"/>
      <c r="I134" s="658">
        <v>1</v>
      </c>
      <c r="J134" s="658">
        <v>1</v>
      </c>
      <c r="K134" s="658">
        <v>1</v>
      </c>
      <c r="L134" s="658">
        <v>1</v>
      </c>
    </row>
    <row r="135" spans="2:12" x14ac:dyDescent="0.25">
      <c r="B135" s="20"/>
      <c r="C135" s="20"/>
      <c r="D135" t="s">
        <v>125</v>
      </c>
      <c r="E135" s="345" t="str">
        <f>IF(E134=1,"",IF(E134=2,"Red",IF(E134=3,"Blue",IF(E134=4,"Brown",IF(E134=5,"Orange",IF(E134=6,"Yellow",IF(E134=7,"Black",IF(E134=8,"Purple"))))))))</f>
        <v/>
      </c>
      <c r="F135" s="345" t="str">
        <f t="shared" ref="F135:L135" si="3">IF(F134=1,"",IF(F134=2,"Red",IF(F134=3,"Blue",IF(F134=4,"Brown",IF(F134=5,"Orange",IF(F134=6,"Yellow",IF(F134=7,"Black",IF(F134=8,"Purple"))))))))</f>
        <v/>
      </c>
      <c r="G135" s="345" t="str">
        <f t="shared" si="3"/>
        <v/>
      </c>
      <c r="I135" s="345" t="str">
        <f t="shared" si="3"/>
        <v/>
      </c>
      <c r="J135" s="345" t="str">
        <f t="shared" si="3"/>
        <v/>
      </c>
      <c r="K135" s="345" t="str">
        <f t="shared" si="3"/>
        <v/>
      </c>
      <c r="L135" s="345" t="str">
        <f t="shared" si="3"/>
        <v/>
      </c>
    </row>
    <row r="136" spans="2:12" x14ac:dyDescent="0.25">
      <c r="B136" s="20"/>
      <c r="C136" s="20"/>
      <c r="D136" t="str">
        <f>E127 &amp; " wire " &amp; E128 &amp; IF(F132&lt;=F131," X","")</f>
        <v>N/A wire N/A X</v>
      </c>
      <c r="E136" s="20" t="str">
        <f>IF(ISNA(VLOOKUP($D$136,Data!$Z$4:$AH$34,2,FALSE))=FALSE,VLOOKUP($D$136,Data!$Z$4:$AH$34,2,FALSE),"")</f>
        <v/>
      </c>
      <c r="F136" s="20" t="str">
        <f>IF(ISNA(VLOOKUP($D$136,Data!$Z$4:$AH$34,3,FALSE))=FALSE,VLOOKUP($D$136,Data!$Z$4:$AH$34,3,FALSE),"")</f>
        <v/>
      </c>
      <c r="G136" s="20" t="str">
        <f>IF(ISNA(VLOOKUP($D$136,Data!$Z$4:$AH$34,4,FALSE))=FALSE,VLOOKUP($D$136,Data!$Z$4:$AH$34,4,FALSE),"")</f>
        <v/>
      </c>
      <c r="I136" s="20" t="str">
        <f>IF(ISNA(VLOOKUP($D$136,Data!$Z$4:$AH$34,6,FALSE))=FALSE,VLOOKUP($D$136,Data!$Z$4:$AH$34,6,FALSE),"")</f>
        <v/>
      </c>
      <c r="J136" s="20" t="str">
        <f>IF(ISNA(VLOOKUP($D$136,Data!$Z$4:$AH$34,7,FALSE))=FALSE,VLOOKUP($D$136,Data!$Z$4:$AH$34,7,FALSE),"")</f>
        <v/>
      </c>
      <c r="K136" s="20" t="str">
        <f>IF(ISNA(VLOOKUP($D$136,Data!$Z$4:$AH$34,8,FALSE))=FALSE,VLOOKUP($D$136,Data!$Z$4:$AH$34,8,FALSE),"")</f>
        <v/>
      </c>
      <c r="L136" s="20" t="str">
        <f>IF(ISNA(VLOOKUP($D$136,Data!$Z$4:$AH$34,9,FALSE))=FALSE,VLOOKUP($D$136,Data!$Z$4:$AH$34,9,FALSE),"")</f>
        <v/>
      </c>
    </row>
    <row r="137" spans="2:12" x14ac:dyDescent="0.25">
      <c r="B137" s="20"/>
      <c r="C137" s="20"/>
      <c r="D137" t="s">
        <v>320</v>
      </c>
      <c r="E137" s="20" t="str">
        <f>IF(E136&lt;&gt;"", E136 &amp; IF(E135&lt;&gt;""," ("&amp;E135&amp;")",""),"N/A")</f>
        <v>N/A</v>
      </c>
      <c r="F137" s="20" t="str">
        <f>IF(F136&lt;&gt;"",F136 &amp; IF(F135&lt;&gt;""," ("&amp;F135&amp;")",""),"N/A")</f>
        <v>N/A</v>
      </c>
      <c r="G137" s="20" t="str">
        <f>IF(G136&lt;&gt;"",G136 &amp; IF(G135&lt;&gt;""," ("&amp;G135&amp;")",""),"N/A")</f>
        <v>N/A</v>
      </c>
      <c r="I137" s="20" t="str">
        <f>IF(I136&lt;&gt;"",I136 &amp; IF(I135&lt;&gt;""," ("&amp;I135&amp;")",""),"N/A")</f>
        <v>N/A</v>
      </c>
      <c r="J137" s="20" t="str">
        <f>IF(J136&lt;&gt;"",J136 &amp; IF(J135&lt;&gt;""," ("&amp;J135&amp;")",""),"N/A")</f>
        <v>N/A</v>
      </c>
      <c r="K137" s="20" t="str">
        <f>IF(K136&lt;&gt;"",K136 &amp; IF(K135&lt;&gt;""," ("&amp;K135&amp;")",""),"N/A")</f>
        <v>N/A</v>
      </c>
      <c r="L137" s="20" t="str">
        <f>IF(L136&lt;&gt;"",L136 &amp; IF(L135&lt;&gt;""," ("&amp;L135&amp;")",""),"N/A")</f>
        <v>N/A</v>
      </c>
    </row>
    <row r="138" spans="2:12" s="523" customFormat="1" x14ac:dyDescent="0.25">
      <c r="B138" s="20" t="s">
        <v>518</v>
      </c>
      <c r="C138" s="20">
        <f>IF(AND(B138="X",E138="N/A"),1,0)</f>
        <v>1</v>
      </c>
      <c r="D138" t="s">
        <v>437</v>
      </c>
      <c r="E138" s="348" t="str">
        <f>IFERROR(VALUE(IF(ISBLANK('Stator Leads'!E20),"",'Stator Leads'!E20)),"N/A")</f>
        <v>N/A</v>
      </c>
      <c r="F138" s="396"/>
      <c r="G138" s="396"/>
      <c r="I138" s="396"/>
      <c r="J138" s="396"/>
      <c r="K138" s="396"/>
      <c r="L138" s="396"/>
    </row>
    <row r="139" spans="2:12" s="523" customFormat="1" ht="15.75" thickBot="1" x14ac:dyDescent="0.3">
      <c r="B139" s="20" t="s">
        <v>518</v>
      </c>
      <c r="C139" s="20">
        <f>IF(AND(B139="X",E139="N/A"),1,0)</f>
        <v>1</v>
      </c>
      <c r="D139" s="523" t="s">
        <v>1245</v>
      </c>
      <c r="E139" s="348" t="str">
        <f>IF(ISBLANK('Stator Leads'!E22),"N/A",'Stator Leads'!E22)</f>
        <v>N/A</v>
      </c>
      <c r="F139" s="396"/>
      <c r="G139" s="396"/>
      <c r="I139" s="396"/>
      <c r="J139" s="396"/>
      <c r="K139" s="396"/>
      <c r="L139" s="396"/>
    </row>
    <row r="140" spans="2:12" s="523" customFormat="1" ht="15.75" thickBot="1" x14ac:dyDescent="0.3">
      <c r="B140" s="20"/>
      <c r="C140" s="20"/>
      <c r="D140" s="438" t="s">
        <v>1246</v>
      </c>
      <c r="E140" s="672" t="str">
        <f>IF(VLOOKUP(F140,Data!DB2:DC15,2,FALSE)="","N/A",VLOOKUP(F140,Data!DB2:DC15,2,FALSE))</f>
        <v>N/A</v>
      </c>
      <c r="F140" s="17">
        <v>1</v>
      </c>
      <c r="G140" s="396"/>
      <c r="I140" s="396"/>
      <c r="J140" s="396"/>
      <c r="K140" s="396"/>
      <c r="L140" s="396"/>
    </row>
    <row r="141" spans="2:12" s="523" customFormat="1" ht="15.75" thickBot="1" x14ac:dyDescent="0.3">
      <c r="B141" s="20" t="s">
        <v>518</v>
      </c>
      <c r="C141" s="20">
        <f>IF(AND(B141="X",F141=0),1,0)</f>
        <v>1</v>
      </c>
      <c r="D141" s="438" t="s">
        <v>1247</v>
      </c>
      <c r="E141" s="672" t="str">
        <f>IF(F141=0,"N/A",IF(F141=1,"Yes","No"))</f>
        <v>N/A</v>
      </c>
      <c r="F141" s="17">
        <v>0</v>
      </c>
      <c r="G141" s="396"/>
      <c r="I141" s="396"/>
      <c r="J141" s="396"/>
      <c r="K141" s="396"/>
      <c r="L141" s="396"/>
    </row>
    <row r="142" spans="2:12" s="523" customFormat="1" ht="15.75" thickBot="1" x14ac:dyDescent="0.3">
      <c r="B142" s="20" t="s">
        <v>518</v>
      </c>
      <c r="C142" s="20">
        <f>IF(AND(B142="X",F141=1,F142=1),1,0)</f>
        <v>0</v>
      </c>
      <c r="D142" s="438" t="s">
        <v>1248</v>
      </c>
      <c r="E142" s="672" t="str">
        <f>IF(VLOOKUP(F142,Data!DD2:DE10,2,FALSE)="","N/A",VLOOKUP(F142,Data!DD2:DE10,2,FALSE))</f>
        <v>N/A</v>
      </c>
      <c r="F142" s="17">
        <v>1</v>
      </c>
      <c r="G142" s="396"/>
      <c r="I142" s="396"/>
      <c r="J142" s="396"/>
      <c r="K142" s="396"/>
      <c r="L142" s="396"/>
    </row>
    <row r="143" spans="2:12" s="611" customFormat="1" ht="15.75" thickBot="1" x14ac:dyDescent="0.3">
      <c r="B143" s="20"/>
      <c r="C143" s="20"/>
      <c r="D143" s="438" t="s">
        <v>1480</v>
      </c>
      <c r="E143" s="672" t="str">
        <f>IF(F143=TRUE,"Soldered",IF(F143=FALSE,"Unsoldered","N/A"))</f>
        <v>Unsoldered</v>
      </c>
      <c r="F143" s="17" t="b">
        <v>0</v>
      </c>
      <c r="G143" s="396"/>
      <c r="I143" s="396"/>
      <c r="J143" s="396"/>
      <c r="K143" s="396"/>
      <c r="L143" s="396"/>
    </row>
    <row r="144" spans="2:12" s="523" customFormat="1" ht="15.75" thickBot="1" x14ac:dyDescent="0.3">
      <c r="B144" s="20"/>
      <c r="C144" s="20"/>
      <c r="D144" s="438" t="s">
        <v>1249</v>
      </c>
      <c r="E144" s="672"/>
      <c r="F144" s="17" t="b">
        <v>0</v>
      </c>
      <c r="G144" s="396"/>
      <c r="I144" s="396"/>
      <c r="J144" s="396"/>
      <c r="K144" s="396"/>
      <c r="L144" s="396"/>
    </row>
    <row r="145" spans="1:12" s="523" customFormat="1" x14ac:dyDescent="0.25">
      <c r="B145" s="20"/>
      <c r="C145" s="20"/>
      <c r="D145" s="523" t="s">
        <v>942</v>
      </c>
      <c r="E145" s="555" t="b">
        <v>0</v>
      </c>
      <c r="L145" s="396"/>
    </row>
    <row r="146" spans="1:12" s="523" customFormat="1" x14ac:dyDescent="0.25">
      <c r="B146" s="20"/>
      <c r="C146" s="20"/>
      <c r="D146" s="523" t="s">
        <v>744</v>
      </c>
      <c r="E146" s="555" t="b">
        <v>0</v>
      </c>
      <c r="L146" s="396"/>
    </row>
    <row r="147" spans="1:12" s="523" customFormat="1" x14ac:dyDescent="0.25">
      <c r="B147" s="20"/>
      <c r="C147" s="20"/>
      <c r="D147" s="523" t="s">
        <v>944</v>
      </c>
      <c r="E147" s="555" t="b">
        <v>0</v>
      </c>
      <c r="F147" s="396"/>
      <c r="G147" s="396"/>
      <c r="I147" s="396"/>
      <c r="J147" s="396"/>
      <c r="K147" s="396"/>
      <c r="L147" s="396"/>
    </row>
    <row r="148" spans="1:12" s="523" customFormat="1" x14ac:dyDescent="0.25">
      <c r="B148" s="20"/>
      <c r="C148" s="20"/>
      <c r="D148" s="523" t="s">
        <v>1551</v>
      </c>
      <c r="E148" s="555" t="b">
        <v>0</v>
      </c>
      <c r="F148" s="396"/>
      <c r="G148" s="396"/>
      <c r="I148" s="396"/>
      <c r="J148" s="396"/>
      <c r="K148" s="396"/>
      <c r="L148" s="396"/>
    </row>
    <row r="149" spans="1:12" s="523" customFormat="1" x14ac:dyDescent="0.25">
      <c r="B149" s="20"/>
      <c r="C149" s="20"/>
      <c r="D149" s="523" t="s">
        <v>943</v>
      </c>
      <c r="E149" s="555" t="b">
        <v>0</v>
      </c>
      <c r="F149" s="396"/>
      <c r="G149" s="396"/>
      <c r="I149" s="396"/>
      <c r="J149" s="396"/>
      <c r="K149" s="396"/>
      <c r="L149" s="396"/>
    </row>
    <row r="150" spans="1:12" s="523" customFormat="1" x14ac:dyDescent="0.25">
      <c r="B150" s="20"/>
      <c r="C150" s="20"/>
      <c r="D150" s="523" t="s">
        <v>745</v>
      </c>
      <c r="E150" s="555" t="b">
        <v>0</v>
      </c>
      <c r="F150" s="396"/>
      <c r="G150" s="396"/>
      <c r="I150" s="396"/>
      <c r="J150" s="396"/>
      <c r="K150" s="396"/>
      <c r="L150" s="396"/>
    </row>
    <row r="151" spans="1:12" s="523" customFormat="1" x14ac:dyDescent="0.25">
      <c r="B151" s="20"/>
      <c r="C151" s="20"/>
      <c r="D151" s="523" t="s">
        <v>945</v>
      </c>
      <c r="E151" s="555" t="b">
        <v>0</v>
      </c>
      <c r="F151" s="396"/>
      <c r="G151" s="396"/>
      <c r="I151" s="396"/>
      <c r="J151" s="396"/>
      <c r="K151" s="396"/>
      <c r="L151" s="396"/>
    </row>
    <row r="152" spans="1:12" s="523" customFormat="1" x14ac:dyDescent="0.25">
      <c r="B152" s="20"/>
      <c r="C152" s="20"/>
      <c r="D152" s="523" t="s">
        <v>946</v>
      </c>
      <c r="E152" s="555" t="b">
        <v>0</v>
      </c>
      <c r="F152" s="396"/>
      <c r="G152" s="396"/>
      <c r="I152" s="396"/>
      <c r="J152" s="396"/>
      <c r="K152" s="396"/>
      <c r="L152" s="396"/>
    </row>
    <row r="153" spans="1:12" ht="15" customHeight="1" x14ac:dyDescent="0.25">
      <c r="B153" s="20"/>
      <c r="C153" s="20"/>
      <c r="D153" t="s">
        <v>141</v>
      </c>
      <c r="E153" s="582" t="s">
        <v>131</v>
      </c>
    </row>
    <row r="154" spans="1:12" s="523" customFormat="1" x14ac:dyDescent="0.25">
      <c r="A154" s="523" t="s">
        <v>1282</v>
      </c>
      <c r="E154" s="522"/>
    </row>
    <row r="155" spans="1:12" ht="18.75" x14ac:dyDescent="0.3">
      <c r="A155" s="1364" t="s">
        <v>233</v>
      </c>
      <c r="B155" s="1364"/>
      <c r="C155" s="1364"/>
      <c r="D155" s="1364"/>
      <c r="E155" s="1364"/>
      <c r="F155" s="1364"/>
    </row>
    <row r="156" spans="1:12" x14ac:dyDescent="0.25">
      <c r="C156">
        <f>SUM(C157:C162)</f>
        <v>4</v>
      </c>
      <c r="D156" t="s">
        <v>259</v>
      </c>
      <c r="E156" t="s">
        <v>123</v>
      </c>
      <c r="F156" t="s">
        <v>362</v>
      </c>
      <c r="G156" t="s">
        <v>521</v>
      </c>
      <c r="H156" t="s">
        <v>235</v>
      </c>
      <c r="I156" t="s">
        <v>522</v>
      </c>
    </row>
    <row r="157" spans="1:12" x14ac:dyDescent="0.25">
      <c r="B157" t="s">
        <v>146</v>
      </c>
      <c r="C157" s="20">
        <f>IF(AND(B157="X",F157=""),1,0)</f>
        <v>1</v>
      </c>
      <c r="E157" t="s">
        <v>573</v>
      </c>
      <c r="F157" s="357" t="str">
        <f>IF(ISBLANK('As Found Tests'!E8),"",'As Found Tests'!E8)</f>
        <v/>
      </c>
      <c r="G157" s="20">
        <f>VLOOKUP(I157,Data!AK2:AL7,2,FALSE)</f>
        <v>0</v>
      </c>
      <c r="H157" s="358" t="str">
        <f>IF(ISBLANK('As Found Tests'!E8),"",'As Found Tests'!E8*IF(I157=3,1000,IF(I157=4,1000000,IF(I157=5,1000000000,IF(I157=6,1000000000000,1)))))</f>
        <v/>
      </c>
      <c r="I157" s="20">
        <v>1</v>
      </c>
    </row>
    <row r="158" spans="1:12" x14ac:dyDescent="0.25">
      <c r="D158" t="s">
        <v>606</v>
      </c>
      <c r="E158" s="20" t="str">
        <f>IF(AND(E138&gt;=MIN(0),E138&lt;MAX(250)),250,IF(AND(E138&gt;=MIN(250),E138&lt;MAX(500)),500,IF(AND(E138&gt;=MIN(500),E138&lt;MAX(1000)),1000,IF(AND(E138&gt;=MIN(1000),E138&lt;MAX(2500)),2500,IF(AND(E138&gt;=MIN(2500),E138&lt;MAX(5000)),7000,"")))))</f>
        <v/>
      </c>
      <c r="F158" s="357"/>
      <c r="G158" s="20"/>
      <c r="H158" s="358"/>
      <c r="I158" s="20"/>
    </row>
    <row r="159" spans="1:12" x14ac:dyDescent="0.25">
      <c r="D159" t="s">
        <v>258</v>
      </c>
      <c r="E159" s="20"/>
      <c r="F159" s="20"/>
      <c r="G159" s="13" t="s">
        <v>542</v>
      </c>
      <c r="H159" t="s">
        <v>235</v>
      </c>
      <c r="J159" s="13" t="s">
        <v>222</v>
      </c>
      <c r="K159" t="s">
        <v>705</v>
      </c>
    </row>
    <row r="160" spans="1:12" x14ac:dyDescent="0.25">
      <c r="B160" t="s">
        <v>146</v>
      </c>
      <c r="C160" s="20">
        <f>IF(F157="&lt;20",0,IF(H157&lt;=20000,0,IF(AND(B160="X",F160=""),1,0)))</f>
        <v>1</v>
      </c>
      <c r="E160" s="10" t="s">
        <v>240</v>
      </c>
      <c r="F160" s="20" t="str">
        <f>IF(ISBLANK('As Found Tests'!E16),"",'As Found Tests'!E16)</f>
        <v/>
      </c>
      <c r="G160" s="20" t="str">
        <f>IF(I160=2,"Ohms",IF(I160=3,"K-Ohms",IF(I160=4,"M-Ohms",IF(I160=5,"G-Ohms",IF(I160=6,"T-Ohms","")))))</f>
        <v/>
      </c>
      <c r="H160" s="361" t="e">
        <f>F160*IF(I160=2,1,IF(I160=3,1000,IF(I160=4,1000000,IF(I160=5,1000000000,IF(I160=6,1000000000000,0)))))</f>
        <v>#VALUE!</v>
      </c>
      <c r="I160" s="20">
        <v>1</v>
      </c>
      <c r="J160" s="362" t="e">
        <f>MAX(H160:H162)</f>
        <v>#VALUE!</v>
      </c>
      <c r="K160" s="363" t="e">
        <f>IF(J160&gt;0,(J160-J162)/J160,0)</f>
        <v>#VALUE!</v>
      </c>
    </row>
    <row r="161" spans="1:12" x14ac:dyDescent="0.25">
      <c r="B161" t="s">
        <v>146</v>
      </c>
      <c r="C161" s="20">
        <f>IF(F157="&lt;20",0,IF(H157&lt;=20000,0,IF(AND(B161="X",F161=""),1,0)))</f>
        <v>1</v>
      </c>
      <c r="E161" s="10" t="s">
        <v>241</v>
      </c>
      <c r="F161" s="359" t="str">
        <f>IF(ISBLANK('As Found Tests'!E18),"",'As Found Tests'!E18)</f>
        <v/>
      </c>
      <c r="G161" s="20" t="str">
        <f>IF(I161=2,"Ohms",IF(I161=3,"K-Ohms",IF(I161=4,"M-Ohms",IF(I161=5,"G-Ohms",IF(I161=6,"T-Ohms","")))))</f>
        <v/>
      </c>
      <c r="H161" s="360" t="e">
        <f>F161*IF(I161=2,1,IF(I161=3,1000,IF(I161=4,1000000,IF(I161=5,1000000000,IF(I161=6,1000000000000,0)))))</f>
        <v>#VALUE!</v>
      </c>
      <c r="I161" s="20">
        <v>1</v>
      </c>
      <c r="J161" s="13" t="s">
        <v>221</v>
      </c>
      <c r="K161" s="33"/>
    </row>
    <row r="162" spans="1:12" x14ac:dyDescent="0.25">
      <c r="B162" t="s">
        <v>146</v>
      </c>
      <c r="C162" s="20">
        <f>IF(F157="&lt;20",0,IF(H157&lt;=20000,0,IF(AND(B162="X",F162=""),1,0)))</f>
        <v>1</v>
      </c>
      <c r="E162" s="10" t="s">
        <v>242</v>
      </c>
      <c r="F162" s="360" t="str">
        <f>IF(ISBLANK('As Found Tests'!E20),"",'As Found Tests'!E20)</f>
        <v/>
      </c>
      <c r="G162" s="20" t="str">
        <f>IF(I162=2,"Ohms",IF(I162=3,"K-Ohms",IF(I162=4,"M-Ohms",IF(I162=5,"G-Ohms",IF(I162=6,"T-Ohms","")))))</f>
        <v/>
      </c>
      <c r="H162" s="360" t="e">
        <f>F162*IF(I162=2,1,IF(I162=3,1000,IF(I162=4,1000000,IF(I162=5,1000000000,IF(I162=6,1000000000000,0)))))</f>
        <v>#VALUE!</v>
      </c>
      <c r="I162" s="20">
        <v>1</v>
      </c>
      <c r="J162" s="362" t="e">
        <f>MIN(H160:H162)</f>
        <v>#VALUE!</v>
      </c>
      <c r="K162" s="33"/>
    </row>
    <row r="163" spans="1:12" x14ac:dyDescent="0.25">
      <c r="A163" t="s">
        <v>243</v>
      </c>
      <c r="C163">
        <f>SUM(C165:C172)</f>
        <v>2</v>
      </c>
      <c r="E163" s="10"/>
      <c r="F163" s="106"/>
      <c r="H163" s="102"/>
      <c r="K163" s="33"/>
    </row>
    <row r="164" spans="1:12" x14ac:dyDescent="0.25">
      <c r="B164" t="s">
        <v>146</v>
      </c>
      <c r="C164">
        <f>IF(AND(B164="X",OR(E164="",E164="N/A")),1,0)</f>
        <v>1</v>
      </c>
      <c r="D164" t="s">
        <v>183</v>
      </c>
      <c r="E164" s="20" t="str">
        <f>IF(F164=2,"Yes",IF(F164=3,"Binds",IF(F164=4,"Frozen","N/A")))</f>
        <v>N/A</v>
      </c>
      <c r="F164" s="355">
        <v>1</v>
      </c>
    </row>
    <row r="165" spans="1:12" x14ac:dyDescent="0.25">
      <c r="B165" t="s">
        <v>146</v>
      </c>
      <c r="C165">
        <f>IF(AND(B165="X",OR(E165="N/A")),1,0)</f>
        <v>1</v>
      </c>
      <c r="D165" s="9" t="str">
        <f>IF(F165=1,"Face to End of Shaft (in):","Face to End of Coupling (in):")</f>
        <v>Face to End of Shaft (in):</v>
      </c>
      <c r="E165" s="364" t="str">
        <f>IF(ISBLANK('As Found Tests'!N8),"N/A",'As Found Tests'!N8)</f>
        <v>N/A</v>
      </c>
      <c r="F165">
        <v>1</v>
      </c>
    </row>
    <row r="166" spans="1:12" x14ac:dyDescent="0.25">
      <c r="B166" t="s">
        <v>146</v>
      </c>
      <c r="C166">
        <f>IF(AND(B166="X",OR(E166="",E166="N/A")),1,0)</f>
        <v>1</v>
      </c>
      <c r="D166" s="10" t="s">
        <v>236</v>
      </c>
      <c r="E166" s="364" t="str">
        <f>IF(ISBLANK('As Found Tests'!N13),"N/A",'As Found Tests'!N13)</f>
        <v>N/A</v>
      </c>
    </row>
    <row r="167" spans="1:12" x14ac:dyDescent="0.25">
      <c r="B167" t="s">
        <v>518</v>
      </c>
      <c r="C167">
        <f>IF(AND(B167="X",E167="N/A",OR(F24="P",F24="D",F24="C")),1,0)</f>
        <v>0</v>
      </c>
      <c r="D167" s="10" t="s">
        <v>237</v>
      </c>
      <c r="E167" s="364" t="str">
        <f>IF(ISBLANK('As Found Tests'!N18),"N/A",'As Found Tests'!N18)</f>
        <v>N/A</v>
      </c>
      <c r="F167" t="str">
        <f>IF(F24&lt;&gt;0,F24&amp;"-","")</f>
        <v>-</v>
      </c>
    </row>
    <row r="168" spans="1:12" x14ac:dyDescent="0.25">
      <c r="B168" t="s">
        <v>518</v>
      </c>
      <c r="C168" s="611">
        <f>IF(AND(B168="X",E168="N/A",OR(F24="P",F24="D",F24="C")),1,0)</f>
        <v>0</v>
      </c>
      <c r="D168" s="10" t="s">
        <v>435</v>
      </c>
      <c r="E168" s="364" t="str">
        <f>IF(ISBLANK('As Found Tests'!P18),"N/A",'As Found Tests'!P18)</f>
        <v>N/A</v>
      </c>
    </row>
    <row r="169" spans="1:12" x14ac:dyDescent="0.25">
      <c r="B169" t="s">
        <v>518</v>
      </c>
      <c r="C169">
        <f>IF(AND(B169="X",F56=1,F169="N/A"),1,0)</f>
        <v>0</v>
      </c>
      <c r="D169" s="10" t="s">
        <v>238</v>
      </c>
      <c r="E169" t="s">
        <v>261</v>
      </c>
      <c r="F169" s="364" t="str">
        <f>IF(ISBLANK('As Found Tests'!N20),"N/A",'As Found Tests'!N20)</f>
        <v>N/A</v>
      </c>
    </row>
    <row r="170" spans="1:12" s="611" customFormat="1" x14ac:dyDescent="0.25">
      <c r="B170" s="611" t="s">
        <v>518</v>
      </c>
      <c r="C170" s="611">
        <f>IF(AND(B170="X",F56=1,F170="N/A"),1,0)</f>
        <v>0</v>
      </c>
      <c r="D170" s="952"/>
      <c r="E170" t="s">
        <v>262</v>
      </c>
      <c r="F170" s="364" t="str">
        <f>IF(ISBLANK('As Found Tests'!P20),"N/A",'As Found Tests'!P20)</f>
        <v>N/A</v>
      </c>
      <c r="H170" s="955"/>
    </row>
    <row r="171" spans="1:12" x14ac:dyDescent="0.25">
      <c r="D171" t="s">
        <v>260</v>
      </c>
      <c r="E171" s="364" t="str">
        <f>IF(ISBLANK('As Found Tests'!R13),"N/A",'As Found Tests'!R13)</f>
        <v>N/A</v>
      </c>
      <c r="F171" s="55"/>
      <c r="H171" s="55"/>
      <c r="J171" s="1055" t="s">
        <v>630</v>
      </c>
      <c r="K171" s="1055"/>
      <c r="L171" s="1055"/>
    </row>
    <row r="172" spans="1:12" x14ac:dyDescent="0.25">
      <c r="D172" t="s">
        <v>244</v>
      </c>
      <c r="E172" s="74" t="s">
        <v>131</v>
      </c>
      <c r="J172" s="341" t="e">
        <f>VALUE(LEFT(E26,FIND("/",E26)-1))</f>
        <v>#VALUE!</v>
      </c>
      <c r="K172" s="342" t="e">
        <f>VALUE(REPLACE(E26,1,FIND("/",E26),""))</f>
        <v>#VALUE!</v>
      </c>
      <c r="L172" s="343">
        <f>VALUE(IF(COUNTIF(E26,"*/*"),"N/A",E26))</f>
        <v>460</v>
      </c>
    </row>
    <row r="173" spans="1:12" x14ac:dyDescent="0.25">
      <c r="E173" s="74"/>
      <c r="J173" s="20">
        <f>IFERROR(VALUE(LEFT(E27,FIND("/",E27)-1)),"ERROR")</f>
        <v>64.2</v>
      </c>
      <c r="K173" s="20">
        <f>IFERROR(VALUE(REPLACE(E27,1,FIND("/",E27),"")),"ERROR")</f>
        <v>32.1</v>
      </c>
      <c r="L173" s="20" t="str">
        <f>IFERROR(VALUE(IF(COUNTIF(E26,"*/*"),"N/A",E27)),"ERROR")</f>
        <v>ERROR</v>
      </c>
    </row>
    <row r="174" spans="1:12" x14ac:dyDescent="0.25">
      <c r="A174" t="s">
        <v>234</v>
      </c>
      <c r="C174">
        <f>IF(AND(Unformatted!H157&gt;99999999,Unformatted!F164=2),SUM(C176:C187),0)</f>
        <v>0</v>
      </c>
    </row>
    <row r="175" spans="1:12" s="611" customFormat="1" x14ac:dyDescent="0.25">
      <c r="D175" s="1" t="s">
        <v>1490</v>
      </c>
      <c r="E175" s="611" t="b">
        <v>0</v>
      </c>
    </row>
    <row r="176" spans="1:12" x14ac:dyDescent="0.25">
      <c r="B176" t="s">
        <v>518</v>
      </c>
      <c r="C176">
        <f>IF(AND(B176="X",E176=""),1,0)</f>
        <v>0</v>
      </c>
      <c r="D176" s="1" t="s">
        <v>228</v>
      </c>
      <c r="E176" s="675" t="str">
        <f>IF(E26="","N/A",IF(COUNTIF(E26,"*/*"),IF(E138=J172,J172,IF(E138=K172,K172,"ERROR")),IF(L172=E138,L172,"ERROR")))</f>
        <v>ERROR</v>
      </c>
    </row>
    <row r="177" spans="1:13" x14ac:dyDescent="0.25">
      <c r="B177" t="s">
        <v>518</v>
      </c>
      <c r="C177">
        <f>IF(AND(B177="X",E177=""),1,0)</f>
        <v>0</v>
      </c>
      <c r="D177" s="1" t="s">
        <v>453</v>
      </c>
      <c r="E177" s="245" t="str">
        <f>IF(E26="","N/A",IF(COUNTIF(E26,"*/*"),IF(E138=J172,J173,IF(E138=K172,K173,"ERROR")),IF(L172=E138,L173,"ERROR")))</f>
        <v>ERROR</v>
      </c>
    </row>
    <row r="178" spans="1:13" x14ac:dyDescent="0.25">
      <c r="D178" s="1" t="s">
        <v>605</v>
      </c>
      <c r="E178" s="245" t="b">
        <v>0</v>
      </c>
    </row>
    <row r="179" spans="1:13" x14ac:dyDescent="0.25">
      <c r="D179" s="1" t="s">
        <v>263</v>
      </c>
      <c r="E179" s="937" t="b">
        <v>0</v>
      </c>
      <c r="I179" t="s">
        <v>553</v>
      </c>
      <c r="J179" t="s">
        <v>554</v>
      </c>
      <c r="K179" t="s">
        <v>552</v>
      </c>
      <c r="L179" t="s">
        <v>272</v>
      </c>
    </row>
    <row r="180" spans="1:13" x14ac:dyDescent="0.25">
      <c r="D180" s="1" t="s">
        <v>377</v>
      </c>
      <c r="E180" s="922" t="str">
        <f>IF(I180,"Electrical","")</f>
        <v/>
      </c>
      <c r="F180" s="20" t="str">
        <f>IF(J180,"Rubbing","")</f>
        <v/>
      </c>
      <c r="G180" s="20" t="str">
        <f>IF(K180,"Bearings","")</f>
        <v/>
      </c>
      <c r="H180" s="20" t="str">
        <f>IF(L180,"Other","")</f>
        <v/>
      </c>
      <c r="I180" s="20" t="b">
        <v>0</v>
      </c>
      <c r="J180" s="20" t="b">
        <v>0</v>
      </c>
      <c r="K180" s="20" t="b">
        <v>0</v>
      </c>
      <c r="L180" s="20" t="b">
        <v>0</v>
      </c>
      <c r="M180" s="20">
        <f>IF(OR(I180,J180,K180,L180),1,0)</f>
        <v>0</v>
      </c>
    </row>
    <row r="181" spans="1:13" x14ac:dyDescent="0.25">
      <c r="B181" t="s">
        <v>518</v>
      </c>
      <c r="C181">
        <f>IF(AND(B181="X",OR(E182="",F182="",G182="")),1,0)</f>
        <v>1</v>
      </c>
      <c r="D181" s="1" t="s">
        <v>369</v>
      </c>
      <c r="E181" s="938" t="s">
        <v>225</v>
      </c>
      <c r="H181" t="s">
        <v>229</v>
      </c>
      <c r="I181" t="s">
        <v>230</v>
      </c>
      <c r="J181" t="s">
        <v>231</v>
      </c>
      <c r="K181" t="s">
        <v>232</v>
      </c>
    </row>
    <row r="182" spans="1:13" x14ac:dyDescent="0.25">
      <c r="E182" s="24" t="str">
        <f>IF(ISBLANK('As Found Tests'!X10),"",'As Found Tests'!X10)</f>
        <v/>
      </c>
      <c r="F182" s="24" t="str">
        <f>IF(ISBLANK('As Found Tests'!Z10),"",'As Found Tests'!Z10)</f>
        <v/>
      </c>
      <c r="G182" s="24" t="str">
        <f>IF(ISBLANK('As Found Tests'!AB10),"",'As Found Tests'!AB10)</f>
        <v/>
      </c>
      <c r="H182" s="359" t="str">
        <f>IFERROR(LARGE(E182:G182,1),"")</f>
        <v/>
      </c>
      <c r="I182" s="359" t="str">
        <f>IFERROR(SMALL(F182:H182,1),"")</f>
        <v/>
      </c>
      <c r="J182" s="359" t="str">
        <f>IF(OR(H182="",I182=""),"",IF(H182&gt;0,(H182-I182)/H182,0))</f>
        <v/>
      </c>
      <c r="K182" s="359" t="str">
        <f>IF(OR(E177="",H182=""),"",IF(AND(E177&gt;0,H182&gt;0),H182/E177,0))</f>
        <v/>
      </c>
    </row>
    <row r="183" spans="1:13" x14ac:dyDescent="0.25">
      <c r="D183" s="10" t="s">
        <v>266</v>
      </c>
      <c r="E183" t="s">
        <v>370</v>
      </c>
      <c r="F183" t="s">
        <v>69</v>
      </c>
    </row>
    <row r="184" spans="1:13" x14ac:dyDescent="0.25">
      <c r="B184" t="s">
        <v>518</v>
      </c>
      <c r="C184">
        <f>IF(AND(Unformatted!H157&gt;99999999,Unformatted!F164=2),IF(AND(B184="X",OR(E184="N/A",E185="N/A")),1,0),0)</f>
        <v>0</v>
      </c>
      <c r="D184" s="1" t="s">
        <v>264</v>
      </c>
      <c r="E184" s="939" t="str">
        <f>IF(ISBLANK('As Found Tests'!X20),"N/A",'As Found Tests'!X20)</f>
        <v>N/A</v>
      </c>
      <c r="F184" s="923" t="str">
        <f>IF(ISBLANK('As Found Tests'!X22),"N/A",'As Found Tests'!X22)</f>
        <v>N/A</v>
      </c>
      <c r="H184" s="652"/>
      <c r="I184" s="8"/>
    </row>
    <row r="185" spans="1:13" x14ac:dyDescent="0.25">
      <c r="B185" t="s">
        <v>518</v>
      </c>
      <c r="C185">
        <f>IF(AND(Unformatted!H157&gt;99999999,Unformatted!F164=2),IF(AND(B184="X",OR(F184="N/A",F185="N/A")),1,0),0)</f>
        <v>0</v>
      </c>
      <c r="D185" s="1" t="s">
        <v>265</v>
      </c>
      <c r="E185" s="923" t="str">
        <f>IF(ISBLANK('As Found Tests'!Z20),"N/A",'As Found Tests'!Z20)</f>
        <v>N/A</v>
      </c>
      <c r="F185" s="923" t="str">
        <f>IF(ISBLANK('As Found Tests'!Z22),"N/A",'As Found Tests'!Z22)</f>
        <v>N/A</v>
      </c>
      <c r="H185" s="652"/>
      <c r="I185" s="8"/>
    </row>
    <row r="186" spans="1:13" s="611" customFormat="1" x14ac:dyDescent="0.25">
      <c r="B186" s="611" t="s">
        <v>146</v>
      </c>
      <c r="C186" s="611">
        <f>IF(AND(Unformatted!H157&gt;99999999,Unformatted!F164=2),IF(AND(B185="X",E186="N/A"),1,0),0)</f>
        <v>0</v>
      </c>
      <c r="D186" s="1" t="s">
        <v>70</v>
      </c>
      <c r="E186" s="923" t="str">
        <f>IF(ISBLANK('As Found Tests'!AB22),"N/A",'As Found Tests'!AB22)</f>
        <v>N/A</v>
      </c>
      <c r="F186" s="174"/>
      <c r="H186" s="648"/>
      <c r="I186" s="8"/>
    </row>
    <row r="187" spans="1:13" x14ac:dyDescent="0.25">
      <c r="D187" s="1" t="s">
        <v>245</v>
      </c>
      <c r="E187" s="74" t="s">
        <v>131</v>
      </c>
    </row>
    <row r="189" spans="1:13" x14ac:dyDescent="0.25">
      <c r="A189" t="s">
        <v>273</v>
      </c>
      <c r="C189">
        <f>SUM(C190:C223)</f>
        <v>9</v>
      </c>
    </row>
    <row r="190" spans="1:13" x14ac:dyDescent="0.25">
      <c r="D190" t="s">
        <v>334</v>
      </c>
      <c r="E190" s="20" t="b">
        <v>0</v>
      </c>
    </row>
    <row r="191" spans="1:13" x14ac:dyDescent="0.25">
      <c r="D191" t="s">
        <v>335</v>
      </c>
      <c r="E191" s="20" t="b">
        <v>0</v>
      </c>
    </row>
    <row r="192" spans="1:13" x14ac:dyDescent="0.25">
      <c r="D192" t="s">
        <v>336</v>
      </c>
      <c r="E192" s="20" t="b">
        <v>0</v>
      </c>
    </row>
    <row r="193" spans="2:12" x14ac:dyDescent="0.25">
      <c r="D193" t="s">
        <v>337</v>
      </c>
      <c r="E193" s="20" t="b">
        <v>0</v>
      </c>
    </row>
    <row r="194" spans="2:12" x14ac:dyDescent="0.25">
      <c r="D194" t="s">
        <v>532</v>
      </c>
      <c r="E194" s="20" t="b">
        <v>0</v>
      </c>
    </row>
    <row r="195" spans="2:12" x14ac:dyDescent="0.25">
      <c r="D195" t="s">
        <v>533</v>
      </c>
      <c r="E195" s="20" t="b">
        <v>0</v>
      </c>
    </row>
    <row r="196" spans="2:12" x14ac:dyDescent="0.25">
      <c r="B196" t="s">
        <v>518</v>
      </c>
      <c r="C196">
        <f>IF(AND(B196="X",F196=1),1,0)</f>
        <v>1</v>
      </c>
      <c r="D196" t="s">
        <v>170</v>
      </c>
      <c r="E196" t="str">
        <f>IF(F196=2,"Good",IF(F196=3,"Damaged",IF(F196=4,"None","N/A")))</f>
        <v>N/A</v>
      </c>
      <c r="F196">
        <v>1</v>
      </c>
      <c r="G196" s="8"/>
    </row>
    <row r="197" spans="2:12" x14ac:dyDescent="0.25">
      <c r="B197" t="s">
        <v>146</v>
      </c>
      <c r="C197">
        <f>IF(AND(B197="X",F197=1),1,0)</f>
        <v>1</v>
      </c>
      <c r="D197" t="s">
        <v>65</v>
      </c>
      <c r="E197" t="str">
        <f>IF(F197=2,"Good",IF(F197=3,"Damaged","N/A"))</f>
        <v>N/A</v>
      </c>
      <c r="F197">
        <v>1</v>
      </c>
      <c r="G197" s="8"/>
    </row>
    <row r="198" spans="2:12" x14ac:dyDescent="0.25">
      <c r="B198" t="s">
        <v>146</v>
      </c>
      <c r="C198">
        <f>IF(AND(B198="X",F198=0),1,0)</f>
        <v>1</v>
      </c>
      <c r="D198" t="s">
        <v>60</v>
      </c>
      <c r="E198" t="str">
        <f>IF(F198=1,"Metal",IF(F198=2,"Plastic",IF(F198=3,"None","N/A")))</f>
        <v>N/A</v>
      </c>
      <c r="F198">
        <v>0</v>
      </c>
      <c r="G198" s="8"/>
    </row>
    <row r="199" spans="2:12" x14ac:dyDescent="0.25">
      <c r="B199" t="s">
        <v>146</v>
      </c>
      <c r="C199">
        <f>IF(AND(B199="X",F199=1),1,0)</f>
        <v>1</v>
      </c>
      <c r="D199" t="s">
        <v>528</v>
      </c>
      <c r="E199" t="str">
        <f>IF(VLOOKUP(F199,Data!AO2:AP6,2,FALSE)="","N/A",VLOOKUP(F199,Data!AO2:AP6,2,FALSE))</f>
        <v>N/A</v>
      </c>
      <c r="F199">
        <v>1</v>
      </c>
      <c r="G199" s="8"/>
    </row>
    <row r="200" spans="2:12" s="10" customFormat="1" x14ac:dyDescent="0.25">
      <c r="B200" s="10" t="s">
        <v>146</v>
      </c>
      <c r="C200" s="10">
        <f>IF(AND(B200="X",F200=1),1,0)</f>
        <v>1</v>
      </c>
      <c r="D200" s="10" t="s">
        <v>443</v>
      </c>
      <c r="E200" s="10" t="str">
        <f>IF(F200=2,"IB",IF(F200=3,"OB",IF(F200=4,"NONE","N/A")))</f>
        <v>N/A</v>
      </c>
      <c r="F200" s="10">
        <v>1</v>
      </c>
      <c r="G200" s="35"/>
    </row>
    <row r="201" spans="2:12" x14ac:dyDescent="0.25">
      <c r="G201" s="8"/>
    </row>
    <row r="202" spans="2:12" x14ac:dyDescent="0.25">
      <c r="D202" s="1" t="s">
        <v>285</v>
      </c>
      <c r="E202">
        <f>'Mechanical Inspections'!D14</f>
        <v>0</v>
      </c>
      <c r="F202" s="1" t="s">
        <v>286</v>
      </c>
      <c r="G202" s="10">
        <f>'Mechanical Inspections'!D22</f>
        <v>0</v>
      </c>
    </row>
    <row r="203" spans="2:12" x14ac:dyDescent="0.25">
      <c r="D203" s="1" t="s">
        <v>388</v>
      </c>
      <c r="E203" t="str">
        <f>IF(LEFT(E202,1)="N","Roller","Radial")</f>
        <v>Radial</v>
      </c>
      <c r="F203" s="1" t="s">
        <v>389</v>
      </c>
      <c r="G203" t="str">
        <f>IF(LEFT(G202,1)="N","Roller","Radial")</f>
        <v>Radial</v>
      </c>
    </row>
    <row r="204" spans="2:12" x14ac:dyDescent="0.25">
      <c r="D204" s="1"/>
      <c r="E204" t="s">
        <v>217</v>
      </c>
      <c r="F204" t="s">
        <v>205</v>
      </c>
      <c r="G204" s="13" t="s">
        <v>223</v>
      </c>
      <c r="H204" s="13" t="s">
        <v>224</v>
      </c>
      <c r="I204" s="13" t="s">
        <v>546</v>
      </c>
      <c r="J204" s="13" t="s">
        <v>547</v>
      </c>
      <c r="L204" s="13" t="s">
        <v>582</v>
      </c>
    </row>
    <row r="205" spans="2:12" x14ac:dyDescent="0.25">
      <c r="C205">
        <f>IF('Mechanical Inspections'!D14="",1,0)</f>
        <v>1</v>
      </c>
      <c r="D205" s="1" t="s">
        <v>383</v>
      </c>
      <c r="E205" s="8" t="str">
        <f>LEFT(RIGHT(E202,3),1)&amp;"00"</f>
        <v>000</v>
      </c>
      <c r="F205" s="8" t="str">
        <f>RIGHT(E202,2)</f>
        <v>0</v>
      </c>
      <c r="G205" s="55" t="e">
        <f>VLOOKUP($F205,IF($E$203="Radial",Tolerances!$B$2:$E$35,Tolerances!$M$2:$P$35),3,FALSE)</f>
        <v>#N/A</v>
      </c>
      <c r="H205" s="55" t="e">
        <f>VLOOKUP($F205,IF($E$203="Radial",Tolerances!$B$2:$E$35,Tolerances!$M$2:$P$35),4,FALSE)</f>
        <v>#N/A</v>
      </c>
      <c r="I205" s="55" t="e">
        <f>VLOOKUP(F205,IF(E205="200",Tolerances!B2:F35,Tolerances!B2:J35),IF(E205="200",5,8),FALSE)</f>
        <v>#N/A</v>
      </c>
      <c r="J205" s="953" t="e">
        <f>VLOOKUP(F205,IF(E205="200",Tolerances!B2:G35,Tolerances!B2:J35),IF(E205="200",6,9),FALSE)</f>
        <v>#N/A</v>
      </c>
      <c r="K205" t="s">
        <v>583</v>
      </c>
      <c r="L205" t="e">
        <f>ABS(H205-G205)</f>
        <v>#N/A</v>
      </c>
    </row>
    <row r="206" spans="2:12" x14ac:dyDescent="0.25">
      <c r="B206" t="s">
        <v>146</v>
      </c>
      <c r="C206">
        <f>IF(AND(B206="X",OR(G206="",H206="")),1,0)</f>
        <v>0</v>
      </c>
      <c r="D206" s="1" t="s">
        <v>339</v>
      </c>
      <c r="G206" s="105" t="str">
        <f>IF(ISBLANK('Mechanical Inspections'!F14),"N/A",'Mechanical Inspections'!F14)</f>
        <v>N/A</v>
      </c>
      <c r="H206" s="55" t="str">
        <f>IF(ISBLANK('Mechanical Inspections'!H14),"N/A",'Mechanical Inspections'!H14)</f>
        <v>N/A</v>
      </c>
      <c r="I206" s="55" t="str">
        <f>IF(ISBLANK('Mechanical Inspections'!N14),"N/A",'Mechanical Inspections'!N14)</f>
        <v>N/A</v>
      </c>
      <c r="J206" s="55" t="str">
        <f>IF(ISBLANK('Mechanical Inspections'!P14),"N/A",'Mechanical Inspections'!P14)</f>
        <v>N/A</v>
      </c>
      <c r="K206" t="s">
        <v>584</v>
      </c>
      <c r="L206" t="str">
        <f>IFERROR(ABS(H206-G206),"N/A")</f>
        <v>N/A</v>
      </c>
    </row>
    <row r="207" spans="2:12" x14ac:dyDescent="0.25">
      <c r="B207" t="s">
        <v>146</v>
      </c>
      <c r="C207">
        <f>IF(AND(B207="X",OR(I206="",J206="")),1,0)</f>
        <v>0</v>
      </c>
      <c r="D207" s="1" t="s">
        <v>385</v>
      </c>
      <c r="G207" s="55" t="str">
        <f>IFERROR(IF(K212=TRUE,"WIPED",IF(OR(G206=0,G206="#NA"),"",IF(G206&lt;G205,G206-G205,IF(G206&gt;H205,G206-H205,"OK")))),"")</f>
        <v/>
      </c>
      <c r="H207" s="55" t="str">
        <f>IFERROR(IF(K212=TRUE,"WIPED",IF(OR(H206=0,H206="#NA"),"",IF(H206&lt;G205,H206-G205,IF(H206&gt;H205,H206-H205,"OK")))),"")</f>
        <v/>
      </c>
      <c r="I207" s="55" t="str">
        <f>IFERROR(IF(K213=TRUE,"WIPED",IF(OR(I206=0,I206="#NA"),"",IF(I206&lt;I205,I206-I205,IF(I206&gt;J205,I206-J205,"OK")))),"")</f>
        <v/>
      </c>
      <c r="J207" s="55" t="str">
        <f>IFERROR(IF(K213=TRUE,"WIPED",IF(OR(J206=0,J206="#NA"),"",IF(J206&lt;I205,J206-I205,IF(J206&gt;J205,J206-J205,"OK")))),"")</f>
        <v/>
      </c>
    </row>
    <row r="208" spans="2:12" x14ac:dyDescent="0.25">
      <c r="B208" t="s">
        <v>146</v>
      </c>
      <c r="C208">
        <f>IF('Mechanical Inspections'!D22="",1,0)</f>
        <v>1</v>
      </c>
      <c r="D208" s="1" t="s">
        <v>384</v>
      </c>
      <c r="E208" s="8" t="str">
        <f>LEFT(RIGHT(G202,3),1)&amp;"00"</f>
        <v>000</v>
      </c>
      <c r="F208" s="8" t="str">
        <f>RIGHT(G202,2)</f>
        <v>0</v>
      </c>
      <c r="G208" s="55" t="e">
        <f>VLOOKUP($F208,IF($G$203="Radial",Tolerances!$B$2:$E$35,Tolerances!$M$2:$P$35),3,FALSE)</f>
        <v>#N/A</v>
      </c>
      <c r="H208" s="55" t="e">
        <f>VLOOKUP($F208,IF($G$203="Radial",Tolerances!$B$2:$E$35,Tolerances!$M$2:$P$35),4,FALSE)</f>
        <v>#N/A</v>
      </c>
      <c r="I208" t="e">
        <f>VLOOKUP($F208,IF(E208="200",Tolerances!$B$2:$F$35,Tolerances!$B$2:$J$35),IF(E208="200",5,8),FALSE)</f>
        <v>#N/A</v>
      </c>
      <c r="J208" t="e">
        <f>VLOOKUP($F208,IF(E208="200",Tolerances!$B$2:$G$35,Tolerances!$B$2:$J$35),IF(E208="200",6,9),FALSE)</f>
        <v>#N/A</v>
      </c>
      <c r="K208" t="s">
        <v>583</v>
      </c>
      <c r="L208" t="e">
        <f>ABS(H208-G208)</f>
        <v>#N/A</v>
      </c>
    </row>
    <row r="209" spans="2:19" x14ac:dyDescent="0.25">
      <c r="B209" t="s">
        <v>146</v>
      </c>
      <c r="C209">
        <f>IF(AND(B209="X",OR(I209="",J209="")),1,0)</f>
        <v>0</v>
      </c>
      <c r="D209" s="1" t="s">
        <v>340</v>
      </c>
      <c r="G209" s="55" t="str">
        <f>IF(ISBLANK('Mechanical Inspections'!F22),"N/A",'Mechanical Inspections'!F22)</f>
        <v>N/A</v>
      </c>
      <c r="H209" s="55" t="str">
        <f>IF(ISBLANK('Mechanical Inspections'!H22),"N/A",'Mechanical Inspections'!H22)</f>
        <v>N/A</v>
      </c>
      <c r="I209" s="55" t="str">
        <f>IF(ISBLANK('Mechanical Inspections'!N22),"N/A",'Mechanical Inspections'!N22)</f>
        <v>N/A</v>
      </c>
      <c r="J209" s="55" t="str">
        <f>IF(ISBLANK('Mechanical Inspections'!P22),"N/A",'Mechanical Inspections'!P22)</f>
        <v>N/A</v>
      </c>
      <c r="K209" t="s">
        <v>584</v>
      </c>
      <c r="L209" t="str">
        <f>IFERROR(ABS(H209-G209),"N/A")</f>
        <v>N/A</v>
      </c>
    </row>
    <row r="210" spans="2:19" x14ac:dyDescent="0.25">
      <c r="D210" s="1" t="s">
        <v>386</v>
      </c>
      <c r="G210" s="55" t="str">
        <f>IFERROR(IF(K214=TRUE,"WIPED",IF(OR(G209=0,G209="#NA"),"",IF(G209&lt;G208,G209-G208,IF(G209&gt;H208,G209-H208,"OK")))),"")</f>
        <v/>
      </c>
      <c r="H210" s="55" t="str">
        <f>IFERROR(IF(K214=TRUE,"WIPED",IF(OR(H209=0,H209="#NA"),"",IF(H209&lt;G208,H209-G208,IF(H209&gt;H208,H209-H208,"OK")))),"")</f>
        <v/>
      </c>
      <c r="I210" t="str">
        <f>IFERROR(IF(K215=TRUE,"WIPED",IF(OR(I209=0,I209="#NA"),"",IF(I209&lt;I208,I209-I208,IF(I209&gt;J208,I209-J208,"OK")))),"")</f>
        <v/>
      </c>
      <c r="J210" t="str">
        <f>IFERROR(IF(K215=TRUE,"WIPED",IF(OR(J209=0,J209="#NA"),"",IF(J209&lt;I208,J209-I208,IF(J209&gt;J208,J209-J208,"OK")))),"")</f>
        <v/>
      </c>
      <c r="N210" s="1354" t="s">
        <v>576</v>
      </c>
      <c r="O210" s="1354"/>
      <c r="P210" s="1354"/>
      <c r="Q210" s="1354"/>
      <c r="R210" s="1354"/>
      <c r="S210" s="1354"/>
    </row>
    <row r="211" spans="2:19" x14ac:dyDescent="0.25">
      <c r="D211" s="1"/>
      <c r="F211" t="s">
        <v>541</v>
      </c>
      <c r="G211" s="55" t="s">
        <v>557</v>
      </c>
      <c r="H211" s="55" t="s">
        <v>558</v>
      </c>
      <c r="I211" t="s">
        <v>374</v>
      </c>
      <c r="J211" t="s">
        <v>276</v>
      </c>
      <c r="K211" t="s">
        <v>277</v>
      </c>
      <c r="L211" s="1354" t="s">
        <v>559</v>
      </c>
      <c r="M211" s="1354"/>
      <c r="N211" t="s">
        <v>541</v>
      </c>
      <c r="O211" s="55" t="s">
        <v>557</v>
      </c>
      <c r="P211" s="55" t="s">
        <v>558</v>
      </c>
      <c r="Q211" t="s">
        <v>374</v>
      </c>
      <c r="R211" t="s">
        <v>276</v>
      </c>
      <c r="S211" t="s">
        <v>277</v>
      </c>
    </row>
    <row r="212" spans="2:19" x14ac:dyDescent="0.25">
      <c r="D212" s="1"/>
      <c r="E212" t="s">
        <v>555</v>
      </c>
      <c r="F212" t="b">
        <v>0</v>
      </c>
      <c r="G212" t="b">
        <v>0</v>
      </c>
      <c r="H212" t="b">
        <v>0</v>
      </c>
      <c r="I212" t="b">
        <v>0</v>
      </c>
      <c r="J212" t="b">
        <v>0</v>
      </c>
      <c r="K212" t="b">
        <v>0</v>
      </c>
      <c r="L212">
        <v>0</v>
      </c>
      <c r="M212" t="str">
        <f>IF(L212=1,"GOOD",IF(L212=2,"BAD",""))</f>
        <v/>
      </c>
      <c r="N212" t="str">
        <f>IF(F212=TRUE,"Tapered, ","")</f>
        <v/>
      </c>
      <c r="O212" s="55" t="str">
        <f>IF(G212=TRUE,"Fretted, ","")</f>
        <v/>
      </c>
      <c r="P212" s="55" t="str">
        <f>IF(H212=TRUE,"Out of Round, ","")</f>
        <v/>
      </c>
      <c r="Q212" t="str">
        <f>IF(I212=TRUE,"Galled, ","")</f>
        <v/>
      </c>
      <c r="R212" t="str">
        <f>IF(J212=TRUE,"Loose Material, ","")</f>
        <v/>
      </c>
      <c r="S212" t="str">
        <f>IF(K212=TRUE,"Wiped, ","")</f>
        <v/>
      </c>
    </row>
    <row r="213" spans="2:19" x14ac:dyDescent="0.25">
      <c r="D213" s="1"/>
      <c r="E213" t="s">
        <v>561</v>
      </c>
      <c r="F213" t="b">
        <v>0</v>
      </c>
      <c r="G213" t="b">
        <v>0</v>
      </c>
      <c r="H213" t="b">
        <v>0</v>
      </c>
      <c r="I213" t="b">
        <v>0</v>
      </c>
      <c r="J213" t="b">
        <v>0</v>
      </c>
      <c r="K213" t="b">
        <v>0</v>
      </c>
      <c r="L213">
        <v>0</v>
      </c>
      <c r="M213" t="str">
        <f>IF(L213=1,"GOOD",IF(L213=2,"BAD",""))</f>
        <v/>
      </c>
      <c r="N213" t="str">
        <f>IF(F213=TRUE,"Tapered, ","")</f>
        <v/>
      </c>
      <c r="O213" s="55" t="str">
        <f>IF(G213=TRUE,"Fretted, ","")</f>
        <v/>
      </c>
      <c r="P213" s="55" t="str">
        <f>IF(H213=TRUE,"Out of Round, ","")</f>
        <v/>
      </c>
      <c r="Q213" t="str">
        <f>IF(I213=TRUE,"Galled, ","")</f>
        <v/>
      </c>
      <c r="R213" t="str">
        <f>IF(J213=TRUE,"Loose Material, ","")</f>
        <v/>
      </c>
      <c r="S213" t="str">
        <f>IF(K213=TRUE,"Wiped, ","")</f>
        <v/>
      </c>
    </row>
    <row r="214" spans="2:19" x14ac:dyDescent="0.25">
      <c r="D214" s="1"/>
      <c r="E214" t="s">
        <v>560</v>
      </c>
      <c r="F214" t="b">
        <v>0</v>
      </c>
      <c r="G214" t="b">
        <v>0</v>
      </c>
      <c r="H214" t="b">
        <v>0</v>
      </c>
      <c r="I214" t="b">
        <v>0</v>
      </c>
      <c r="J214" t="b">
        <v>0</v>
      </c>
      <c r="K214" t="b">
        <v>0</v>
      </c>
      <c r="L214">
        <v>0</v>
      </c>
      <c r="M214" t="str">
        <f>IF(L214=1,"GOOD",IF(L214=2,"BAD",""))</f>
        <v/>
      </c>
      <c r="N214" t="str">
        <f>IF(F214=TRUE,"Tapered, ","")</f>
        <v/>
      </c>
      <c r="O214" s="55" t="str">
        <f>IF(G214=TRUE,"Fretted, ","")</f>
        <v/>
      </c>
      <c r="P214" s="55" t="str">
        <f>IF(H214=TRUE,"Out of Round, ","")</f>
        <v/>
      </c>
      <c r="Q214" t="str">
        <f>IF(I214=TRUE,"Galled, ","")</f>
        <v/>
      </c>
      <c r="R214" t="str">
        <f>IF(J214=TRUE,"Loose Material, ","")</f>
        <v/>
      </c>
      <c r="S214" t="str">
        <f>IF(K214=TRUE,"Wiped, ","")</f>
        <v/>
      </c>
    </row>
    <row r="215" spans="2:19" x14ac:dyDescent="0.25">
      <c r="D215" s="1"/>
      <c r="E215" t="s">
        <v>556</v>
      </c>
      <c r="F215" t="b">
        <v>0</v>
      </c>
      <c r="G215" t="b">
        <v>0</v>
      </c>
      <c r="H215" t="b">
        <v>0</v>
      </c>
      <c r="I215" t="b">
        <v>0</v>
      </c>
      <c r="J215" t="b">
        <v>0</v>
      </c>
      <c r="K215" t="b">
        <v>0</v>
      </c>
      <c r="L215">
        <v>0</v>
      </c>
      <c r="M215" t="str">
        <f>IF(L215=1,"GOOD",IF(L215=2,"BAD",""))</f>
        <v/>
      </c>
      <c r="N215" t="str">
        <f>IF(F215=TRUE,"Tapered, ","")</f>
        <v/>
      </c>
      <c r="O215" s="55" t="str">
        <f>IF(G215=TRUE,"Fretted, ","")</f>
        <v/>
      </c>
      <c r="P215" s="55" t="str">
        <f>IF(H215=TRUE,"Out of Round, ","")</f>
        <v/>
      </c>
      <c r="Q215" t="str">
        <f>IF(I215=TRUE,"Galled, ","")</f>
        <v/>
      </c>
      <c r="R215" t="str">
        <f>IF(J215=TRUE,"Loose Material, ","")</f>
        <v/>
      </c>
      <c r="S215" t="str">
        <f>IF(K215=TRUE,"Wiped, ","")</f>
        <v/>
      </c>
    </row>
    <row r="216" spans="2:19" x14ac:dyDescent="0.25">
      <c r="B216" t="s">
        <v>146</v>
      </c>
      <c r="C216">
        <f>IF(G216=4,0,IF(AND(B216="X",OR(G216=1,J216=1)),1,0))</f>
        <v>1</v>
      </c>
      <c r="D216" s="1" t="s">
        <v>1587</v>
      </c>
      <c r="E216" s="1" t="s">
        <v>562</v>
      </c>
      <c r="F216" t="str">
        <f>IF(G216=2,"Rubber",IF(G216=3,"Steel",IF(G216=4,"None","N/A")))</f>
        <v>N/A</v>
      </c>
      <c r="G216">
        <v>1</v>
      </c>
      <c r="H216" s="1" t="s">
        <v>550</v>
      </c>
      <c r="I216" t="str">
        <f>IF(J216=2,"Inside",IF(J216=3,"Outside",IF(J216=4,"Both",IF(J216=5,"None","N/A"))))</f>
        <v>N/A</v>
      </c>
      <c r="J216">
        <v>1</v>
      </c>
    </row>
    <row r="217" spans="2:19" x14ac:dyDescent="0.25">
      <c r="B217" t="s">
        <v>146</v>
      </c>
      <c r="C217">
        <f>IF(G217=4,0,IF(AND(B217="X",OR(G217=1,J217=1)),1,0))</f>
        <v>1</v>
      </c>
      <c r="D217" s="1"/>
      <c r="E217" s="1" t="s">
        <v>563</v>
      </c>
      <c r="F217" t="str">
        <f>IF(G217=2,"Rubber",IF(G217=3,"Steel",IF(G217=4,"None","N/A")))</f>
        <v>N/A</v>
      </c>
      <c r="G217">
        <v>1</v>
      </c>
      <c r="H217" s="1" t="s">
        <v>551</v>
      </c>
      <c r="I217" t="str">
        <f>IF(J217=2,"Inside",IF(J217=3,"Outside",IF(J217=4,"Both",IF(J217=5,"None","N/A"))))</f>
        <v>N/A</v>
      </c>
      <c r="J217">
        <v>1</v>
      </c>
    </row>
    <row r="218" spans="2:19" x14ac:dyDescent="0.25">
      <c r="D218" s="1" t="s">
        <v>523</v>
      </c>
      <c r="E218" t="b">
        <f>IF(ISNUMBER(SEARCH("7",G202,1)),TRUE,IF(ISNUMBER(SEARCH("7",E202,1)),TRUE,FALSE))</f>
        <v>0</v>
      </c>
      <c r="F218" t="s">
        <v>527</v>
      </c>
    </row>
    <row r="219" spans="2:19" x14ac:dyDescent="0.25">
      <c r="B219" t="s">
        <v>146</v>
      </c>
      <c r="C219">
        <f>IF(AND(B219="X",E218,OR(E219=0,E219="")),1,0)</f>
        <v>0</v>
      </c>
      <c r="D219" s="1" t="s">
        <v>524</v>
      </c>
      <c r="E219" t="str">
        <f>IF(ISBLANK('Mechanical Inspections'!J29),"N/A",'Mechanical Inspections'!J29)</f>
        <v>N/A</v>
      </c>
      <c r="F219" s="55" t="str">
        <f>IFERROR(IF(F223&lt;4,(G221*2)-(E219-E220),G221-(E219-E220)),"N/A")</f>
        <v>N/A</v>
      </c>
    </row>
    <row r="220" spans="2:19" x14ac:dyDescent="0.25">
      <c r="B220" t="s">
        <v>146</v>
      </c>
      <c r="C220">
        <f>IF(AND(B220="X",E218,E220=""),1,0)</f>
        <v>0</v>
      </c>
      <c r="D220" s="1" t="s">
        <v>525</v>
      </c>
      <c r="E220" t="str">
        <f>IF(ISBLANK('Mechanical Inspections'!J31),"N/A",'Mechanical Inspections'!J31)</f>
        <v>N/A</v>
      </c>
    </row>
    <row r="221" spans="2:19" x14ac:dyDescent="0.25">
      <c r="C221">
        <f>IF(AND(B221="X",E218,OR(G221=0,G221="")),1,0)</f>
        <v>0</v>
      </c>
      <c r="D221" s="1" t="s">
        <v>1161</v>
      </c>
      <c r="E221" t="str">
        <f>IF(E218=TRUE,VLOOKUP(F205,IF(E205="200",Tolerances!B2:H35,Tolerances!B2:K35),IF(E205="200",7,10),FALSE),"N/A")</f>
        <v>N/A</v>
      </c>
      <c r="F221" t="b">
        <f>ISNUMBER(SEARCH("7",E202))</f>
        <v>0</v>
      </c>
      <c r="G221" t="str">
        <f>IF(ISNUMBER(SEARCH("7",G202,1)),E222,IF(ISNUMBER(SEARCH("7",E202,1)),E221,"N/A"))</f>
        <v>N/A</v>
      </c>
    </row>
    <row r="222" spans="2:19" x14ac:dyDescent="0.25">
      <c r="D222" s="1" t="s">
        <v>1162</v>
      </c>
      <c r="E222" t="str">
        <f>IF(E218=TRUE,VLOOKUP(F208,IF(E208="200",Tolerances!B2:H35,Tolerances!B2:K35),IF(E208="200",7,10),FALSE),"N/A")</f>
        <v>N/A</v>
      </c>
      <c r="F222" s="523" t="b">
        <f>ISNUMBER(SEARCH("7",G202))</f>
        <v>0</v>
      </c>
    </row>
    <row r="223" spans="2:19" x14ac:dyDescent="0.25">
      <c r="B223" t="s">
        <v>518</v>
      </c>
      <c r="C223">
        <f>IF(AND(B223="X",E218,OR(E223=0,E223="")),1,0)</f>
        <v>0</v>
      </c>
      <c r="D223" t="s">
        <v>565</v>
      </c>
      <c r="E223" t="str">
        <f>IF(F223=1,"Back-to-Back",IF(F223=2,"Face-to-Face",IF(F223=3,"Tandem",IF(F223=4,"Single","N/A"))))</f>
        <v>N/A</v>
      </c>
      <c r="F223">
        <v>0</v>
      </c>
    </row>
    <row r="224" spans="2:19" x14ac:dyDescent="0.25">
      <c r="C224">
        <f>SUM(C225:C232)</f>
        <v>1</v>
      </c>
      <c r="D224" s="1" t="s">
        <v>267</v>
      </c>
    </row>
    <row r="225" spans="1:12" x14ac:dyDescent="0.25">
      <c r="C225">
        <f>IF(AND(B225="X",OR(E225="")),1,0)</f>
        <v>0</v>
      </c>
      <c r="D225" s="13" t="s">
        <v>282</v>
      </c>
      <c r="E225" s="101" t="str">
        <f>IF(ISBLANK('Mechanical Inspections'!X13),"N/A",'Mechanical Inspections'!X13)</f>
        <v>N/A</v>
      </c>
    </row>
    <row r="226" spans="1:12" x14ac:dyDescent="0.25">
      <c r="B226" t="s">
        <v>518</v>
      </c>
      <c r="C226">
        <f>IF(AND(B226="X",OR(E226="")),1,0)</f>
        <v>0</v>
      </c>
      <c r="D226" s="1" t="s">
        <v>349</v>
      </c>
      <c r="E226" s="101" t="str">
        <f>IF(ISBLANK('Mechanical Inspections'!Z13),"N/A",'Mechanical Inspections'!Z13)</f>
        <v>N/A</v>
      </c>
      <c r="F226" s="14"/>
    </row>
    <row r="227" spans="1:12" x14ac:dyDescent="0.25">
      <c r="E227" s="13" t="s">
        <v>278</v>
      </c>
      <c r="F227" s="13" t="s">
        <v>279</v>
      </c>
      <c r="G227" s="13" t="s">
        <v>280</v>
      </c>
      <c r="H227" s="13" t="s">
        <v>350</v>
      </c>
      <c r="I227" s="13" t="s">
        <v>353</v>
      </c>
      <c r="J227" s="13" t="s">
        <v>229</v>
      </c>
      <c r="K227" s="13" t="s">
        <v>608</v>
      </c>
      <c r="L227" s="13" t="s">
        <v>582</v>
      </c>
    </row>
    <row r="228" spans="1:12" x14ac:dyDescent="0.25">
      <c r="B228" t="s">
        <v>518</v>
      </c>
      <c r="C228">
        <f>IF(AND(B228="X",OR(E228="",F228="",G228="")),1,0)</f>
        <v>0</v>
      </c>
      <c r="D228" s="1" t="s">
        <v>289</v>
      </c>
      <c r="E228" s="101" t="str">
        <f>IF(ISBLANK('Mechanical Inspections'!X18),"N/A",'Mechanical Inspections'!X18)</f>
        <v>N/A</v>
      </c>
      <c r="F228" s="101" t="str">
        <f>IF(ISBLANK('Mechanical Inspections'!Z18),"N/A",'Mechanical Inspections'!Z18)</f>
        <v>N/A</v>
      </c>
      <c r="G228" s="101" t="str">
        <f>IF(ISBLANK('Mechanical Inspections'!AB18),"N/A",'Mechanical Inspections'!AB18)</f>
        <v>N/A</v>
      </c>
      <c r="H228" s="101" t="str">
        <f>IFERROR(IF(AVERAGE(E228:G228)=0,"N/A",AVERAGE(E228:G228)),"N/A")</f>
        <v>N/A</v>
      </c>
      <c r="I228" s="101" t="str">
        <f>IFERROR(IF(H229="N/A","N/A",(H229-H228)),"N/A")</f>
        <v>N/A</v>
      </c>
      <c r="J228" s="55" t="str">
        <f>IFERROR(LARGE(E228:G228,1),"N/A")</f>
        <v>N/A</v>
      </c>
      <c r="K228" s="55" t="str">
        <f>IFERROR(SMALL(E228:G228,1),"N/A")</f>
        <v>N/A</v>
      </c>
      <c r="L228" s="55" t="str">
        <f>IFERROR(J228-K228,"N/A")</f>
        <v>N/A</v>
      </c>
    </row>
    <row r="229" spans="1:12" x14ac:dyDescent="0.25">
      <c r="B229" t="s">
        <v>518</v>
      </c>
      <c r="C229">
        <f>IF(AND(B229="X",F56,OR(E229="",F229="",G229="")),1,0)</f>
        <v>0</v>
      </c>
      <c r="D229" s="1" t="s">
        <v>288</v>
      </c>
      <c r="E229" s="101" t="str">
        <f>IF(ISBLANK('Mechanical Inspections'!X20),"N/A",'Mechanical Inspections'!X20)</f>
        <v>N/A</v>
      </c>
      <c r="F229" s="101" t="str">
        <f>IF(ISBLANK('Mechanical Inspections'!Z20),"N/A",'Mechanical Inspections'!Z20)</f>
        <v>N/A</v>
      </c>
      <c r="G229" s="101" t="str">
        <f>IF(ISBLANK('Mechanical Inspections'!AB20),"N/A",'Mechanical Inspections'!AB20)</f>
        <v>N/A</v>
      </c>
      <c r="H229" s="101" t="str">
        <f>IFERROR(IF(AVERAGE(E229:G229)=0,"N/A",AVERAGE(E229:G229)),"N/A")</f>
        <v>N/A</v>
      </c>
      <c r="I229" s="13" t="str">
        <f>IF(I228="N/A","",IF(H228&gt;H229,"Interference Fit","Clearance Fit"))</f>
        <v/>
      </c>
      <c r="J229" s="55" t="str">
        <f>IFERROR(LARGE(E229:G229,1),"N/A")</f>
        <v>N/A</v>
      </c>
      <c r="K229" s="55" t="str">
        <f>IFERROR(SMALL(E229:G229,1),"N/A")</f>
        <v>N/A</v>
      </c>
      <c r="L229" s="55" t="str">
        <f>IFERROR(J229-K229,"N/A")</f>
        <v>N/A</v>
      </c>
    </row>
    <row r="230" spans="1:12" x14ac:dyDescent="0.25">
      <c r="D230" s="1" t="s">
        <v>401</v>
      </c>
      <c r="E230" s="101" t="s">
        <v>541</v>
      </c>
      <c r="F230" s="101" t="s">
        <v>557</v>
      </c>
      <c r="G230" s="101" t="s">
        <v>558</v>
      </c>
      <c r="H230" s="101" t="s">
        <v>374</v>
      </c>
      <c r="I230" s="13" t="s">
        <v>276</v>
      </c>
      <c r="J230" s="101" t="s">
        <v>277</v>
      </c>
    </row>
    <row r="231" spans="1:12" x14ac:dyDescent="0.25">
      <c r="D231" s="1"/>
      <c r="E231" s="101" t="b">
        <v>0</v>
      </c>
      <c r="F231" s="101" t="b">
        <v>0</v>
      </c>
      <c r="G231" s="101" t="b">
        <v>0</v>
      </c>
      <c r="H231" s="101" t="b">
        <v>0</v>
      </c>
      <c r="I231" s="13" t="b">
        <v>0</v>
      </c>
      <c r="J231" s="101" t="b">
        <v>0</v>
      </c>
    </row>
    <row r="232" spans="1:12" x14ac:dyDescent="0.25">
      <c r="B232" t="s">
        <v>518</v>
      </c>
      <c r="C232">
        <f>IF(AND(B232="X",F232=0),1,0)</f>
        <v>1</v>
      </c>
      <c r="D232" s="1" t="s">
        <v>579</v>
      </c>
      <c r="E232" t="str">
        <f>IF(F232=1,"GOOD",IF(F232=2,"BAD",""))</f>
        <v/>
      </c>
      <c r="F232">
        <v>0</v>
      </c>
      <c r="G232" s="101"/>
      <c r="H232" s="101"/>
      <c r="I232" s="13"/>
      <c r="J232" s="101"/>
    </row>
    <row r="233" spans="1:12" x14ac:dyDescent="0.25">
      <c r="C233">
        <v>1</v>
      </c>
      <c r="D233" s="1" t="s">
        <v>589</v>
      </c>
      <c r="E233" s="165">
        <f>'Mechanical Inspections'!AF8</f>
        <v>0</v>
      </c>
      <c r="F233" s="101" t="str">
        <f>IF(ISBLANK('Mechanical Inspections'!AF8),"",'Mechanical Inspections'!AF8)</f>
        <v/>
      </c>
      <c r="H233" s="101"/>
      <c r="I233" s="13"/>
      <c r="J233" s="101"/>
    </row>
    <row r="234" spans="1:12" ht="15" customHeight="1" x14ac:dyDescent="0.25">
      <c r="D234" s="3" t="s">
        <v>512</v>
      </c>
      <c r="E234" s="74" t="s">
        <v>131</v>
      </c>
      <c r="F234" s="13"/>
      <c r="G234" s="38"/>
      <c r="H234" s="13"/>
    </row>
    <row r="235" spans="1:12" s="588" customFormat="1" ht="15" customHeight="1" x14ac:dyDescent="0.25">
      <c r="D235" s="587"/>
      <c r="E235" s="74"/>
      <c r="F235" s="586"/>
      <c r="G235" s="38"/>
      <c r="H235" s="586"/>
    </row>
    <row r="236" spans="1:12" s="588" customFormat="1" ht="15" customHeight="1" x14ac:dyDescent="0.25">
      <c r="A236" s="588" t="s">
        <v>1354</v>
      </c>
      <c r="D236" s="587"/>
      <c r="E236" s="74"/>
      <c r="F236" s="586"/>
      <c r="G236" s="38"/>
      <c r="H236" s="586"/>
    </row>
    <row r="237" spans="1:12" s="588" customFormat="1" ht="15" customHeight="1" x14ac:dyDescent="0.25">
      <c r="D237" s="587"/>
      <c r="E237" s="74"/>
      <c r="F237" s="586"/>
      <c r="G237" s="38"/>
      <c r="H237" s="586"/>
    </row>
    <row r="238" spans="1:12" s="588" customFormat="1" ht="15" customHeight="1" x14ac:dyDescent="0.25">
      <c r="D238" s="587" t="s">
        <v>1355</v>
      </c>
      <c r="E238" s="74">
        <v>3</v>
      </c>
      <c r="F238" s="586"/>
      <c r="G238" s="38"/>
      <c r="H238" s="586"/>
    </row>
    <row r="239" spans="1:12" x14ac:dyDescent="0.25">
      <c r="C239" s="523" t="s">
        <v>1306</v>
      </c>
    </row>
    <row r="240" spans="1:12" s="523" customFormat="1" x14ac:dyDescent="0.25">
      <c r="D240" s="1" t="s">
        <v>1307</v>
      </c>
      <c r="E240" s="245" t="str">
        <f>IF('Mechanical Inspections 2'!D8="","N/A",'Mechanical Inspections 2'!D8)</f>
        <v>N/A</v>
      </c>
    </row>
    <row r="241" spans="4:6" s="523" customFormat="1" x14ac:dyDescent="0.25">
      <c r="D241" s="1" t="s">
        <v>984</v>
      </c>
      <c r="E241" s="245" t="str">
        <f>IF('Mechanical Inspections 2'!D10="","N/A",'Mechanical Inspections 2'!D10)</f>
        <v>N/A</v>
      </c>
    </row>
    <row r="242" spans="4:6" s="523" customFormat="1" ht="15.75" thickBot="1" x14ac:dyDescent="0.3">
      <c r="D242" s="1" t="s">
        <v>985</v>
      </c>
      <c r="E242" s="245" t="str">
        <f>IF('Mechanical Inspections 2'!F10="","N/A",'Mechanical Inspections 2'!F10)</f>
        <v>N/A</v>
      </c>
    </row>
    <row r="243" spans="4:6" s="523" customFormat="1" ht="15.75" thickBot="1" x14ac:dyDescent="0.3">
      <c r="D243" s="1" t="s">
        <v>134</v>
      </c>
      <c r="E243" s="245" t="str">
        <f>IF(F243=1,"Good",IF(F243=2,"Bad","N/A"))</f>
        <v>N/A</v>
      </c>
      <c r="F243" s="591">
        <v>0</v>
      </c>
    </row>
    <row r="244" spans="4:6" s="523" customFormat="1" x14ac:dyDescent="0.25">
      <c r="D244" s="1" t="s">
        <v>1308</v>
      </c>
      <c r="E244" s="245" t="str">
        <f>IF('Mechanical Inspections 2'!I8="","N/A",'Mechanical Inspections 2'!I8)</f>
        <v>N/A</v>
      </c>
    </row>
    <row r="245" spans="4:6" s="523" customFormat="1" x14ac:dyDescent="0.25">
      <c r="D245" s="1" t="s">
        <v>984</v>
      </c>
      <c r="E245" s="245" t="str">
        <f>IF('Mechanical Inspections 2'!I10="","N/A",'Mechanical Inspections 2'!I10)</f>
        <v>N/A</v>
      </c>
    </row>
    <row r="246" spans="4:6" s="523" customFormat="1" ht="15.75" thickBot="1" x14ac:dyDescent="0.3">
      <c r="D246" s="1" t="s">
        <v>985</v>
      </c>
      <c r="E246" s="245" t="str">
        <f>IF('Mechanical Inspections 2'!K10="","N/A",'Mechanical Inspections 2'!K10)</f>
        <v>N/A</v>
      </c>
    </row>
    <row r="247" spans="4:6" s="523" customFormat="1" ht="15.75" thickBot="1" x14ac:dyDescent="0.3">
      <c r="D247" s="1" t="s">
        <v>134</v>
      </c>
      <c r="E247" s="245" t="str">
        <f>IF(F247=1,"Good",IF(F247=2,"Bad","N/A"))</f>
        <v>N/A</v>
      </c>
      <c r="F247" s="591">
        <v>0</v>
      </c>
    </row>
    <row r="248" spans="4:6" s="523" customFormat="1" x14ac:dyDescent="0.25">
      <c r="D248" s="1" t="s">
        <v>1309</v>
      </c>
      <c r="E248" s="245" t="str">
        <f>IF('Mechanical Inspections 2'!D16="","N/A",'Mechanical Inspections 2'!D16)</f>
        <v>N/A</v>
      </c>
    </row>
    <row r="249" spans="4:6" s="523" customFormat="1" x14ac:dyDescent="0.25">
      <c r="D249" s="1" t="s">
        <v>984</v>
      </c>
      <c r="E249" s="245" t="str">
        <f>IF('Mechanical Inspections 2'!D18="","N/A",'Mechanical Inspections 2'!D18)</f>
        <v>N/A</v>
      </c>
    </row>
    <row r="250" spans="4:6" s="523" customFormat="1" ht="15.75" thickBot="1" x14ac:dyDescent="0.3">
      <c r="D250" s="1" t="s">
        <v>985</v>
      </c>
      <c r="E250" s="245" t="str">
        <f>IF('Mechanical Inspections 2'!F18="","N/A",'Mechanical Inspections 2'!F18)</f>
        <v>N/A</v>
      </c>
    </row>
    <row r="251" spans="4:6" s="523" customFormat="1" ht="15.75" thickBot="1" x14ac:dyDescent="0.3">
      <c r="D251" s="1" t="s">
        <v>134</v>
      </c>
      <c r="E251" s="245" t="str">
        <f>IF(F251=1,"Good",IF(F251=2,"Bad","N/A"))</f>
        <v>N/A</v>
      </c>
      <c r="F251" s="591">
        <v>0</v>
      </c>
    </row>
    <row r="252" spans="4:6" s="523" customFormat="1" x14ac:dyDescent="0.25">
      <c r="D252" s="1" t="s">
        <v>1310</v>
      </c>
      <c r="E252" s="245" t="str">
        <f>IF('Mechanical Inspections 2'!I16="","N/A",'Mechanical Inspections 2'!I16)</f>
        <v>N/A</v>
      </c>
    </row>
    <row r="253" spans="4:6" s="523" customFormat="1" x14ac:dyDescent="0.25">
      <c r="D253" s="1" t="s">
        <v>984</v>
      </c>
      <c r="E253" s="245" t="str">
        <f>IF('Mechanical Inspections 2'!I18="","N/A",'Mechanical Inspections 2'!I18)</f>
        <v>N/A</v>
      </c>
    </row>
    <row r="254" spans="4:6" s="523" customFormat="1" ht="15.75" thickBot="1" x14ac:dyDescent="0.3">
      <c r="D254" s="1" t="s">
        <v>985</v>
      </c>
      <c r="E254" s="245" t="str">
        <f>IF('Mechanical Inspections 2'!K18="","N/A",'Mechanical Inspections 2'!K18)</f>
        <v>N/A</v>
      </c>
    </row>
    <row r="255" spans="4:6" s="523" customFormat="1" ht="15.75" thickBot="1" x14ac:dyDescent="0.3">
      <c r="D255" s="1" t="s">
        <v>134</v>
      </c>
      <c r="E255" s="245" t="str">
        <f>IF(F255=1,"Good",IF(F255=2,"Bad","N/A"))</f>
        <v>N/A</v>
      </c>
      <c r="F255" s="591">
        <v>0</v>
      </c>
    </row>
    <row r="256" spans="4:6" s="523" customFormat="1" x14ac:dyDescent="0.25">
      <c r="D256" s="1" t="s">
        <v>1311</v>
      </c>
      <c r="E256" s="245" t="str">
        <f>IF('Mechanical Inspections 2'!D24="","N/A",'Mechanical Inspections 2'!D24)</f>
        <v>N/A</v>
      </c>
    </row>
    <row r="257" spans="4:7" s="523" customFormat="1" x14ac:dyDescent="0.25">
      <c r="D257" s="1" t="s">
        <v>984</v>
      </c>
      <c r="E257" s="245" t="str">
        <f>IF('Mechanical Inspections 2'!D26="","N/A",'Mechanical Inspections 2'!D26)</f>
        <v>N/A</v>
      </c>
    </row>
    <row r="258" spans="4:7" s="523" customFormat="1" ht="15.75" thickBot="1" x14ac:dyDescent="0.3">
      <c r="D258" s="1" t="s">
        <v>985</v>
      </c>
      <c r="E258" s="245" t="str">
        <f>IF('Mechanical Inspections 2'!F26="","N/A",'Mechanical Inspections 2'!F26)</f>
        <v>N/A</v>
      </c>
    </row>
    <row r="259" spans="4:7" s="523" customFormat="1" ht="15.75" thickBot="1" x14ac:dyDescent="0.3">
      <c r="D259" s="1" t="s">
        <v>134</v>
      </c>
      <c r="E259" s="245" t="str">
        <f>IF(F259=1,"Good",IF(F259=2,"Bad","N/A"))</f>
        <v>N/A</v>
      </c>
      <c r="F259" s="591">
        <v>0</v>
      </c>
    </row>
    <row r="260" spans="4:7" s="523" customFormat="1" x14ac:dyDescent="0.25">
      <c r="D260" s="1" t="s">
        <v>1312</v>
      </c>
      <c r="E260" s="245" t="str">
        <f>IF('Mechanical Inspections 2'!I24="","N/A",'Mechanical Inspections 2'!I24)</f>
        <v>N/A</v>
      </c>
    </row>
    <row r="261" spans="4:7" s="523" customFormat="1" x14ac:dyDescent="0.25">
      <c r="D261" s="1" t="s">
        <v>984</v>
      </c>
      <c r="E261" s="245" t="str">
        <f>IF('Mechanical Inspections 2'!I26="","N/A",'Mechanical Inspections 2'!I26)</f>
        <v>N/A</v>
      </c>
    </row>
    <row r="262" spans="4:7" s="523" customFormat="1" ht="15.75" thickBot="1" x14ac:dyDescent="0.3">
      <c r="D262" s="1" t="s">
        <v>985</v>
      </c>
      <c r="E262" s="245" t="str">
        <f>IF('Mechanical Inspections 2'!K26="","N/A",'Mechanical Inspections 2'!K26)</f>
        <v>N/A</v>
      </c>
    </row>
    <row r="263" spans="4:7" s="523" customFormat="1" ht="15.75" thickBot="1" x14ac:dyDescent="0.3">
      <c r="D263" s="1" t="s">
        <v>134</v>
      </c>
      <c r="E263" s="245" t="str">
        <f>IF(F263=1,"Good",IF(F263=2,"Bad","N/A"))</f>
        <v>N/A</v>
      </c>
      <c r="F263" s="591">
        <v>0</v>
      </c>
    </row>
    <row r="264" spans="4:7" s="602" customFormat="1" x14ac:dyDescent="0.25">
      <c r="D264" s="1" t="s">
        <v>1422</v>
      </c>
      <c r="E264" s="245" t="str">
        <f>IF('Mechanical Inspections 2'!D32="","N/A",'Mechanical Inspections 2'!D32)</f>
        <v>N/A</v>
      </c>
      <c r="G264" s="602" t="s">
        <v>1524</v>
      </c>
    </row>
    <row r="265" spans="4:7" s="602" customFormat="1" x14ac:dyDescent="0.25">
      <c r="D265" s="1" t="s">
        <v>984</v>
      </c>
      <c r="E265" s="245" t="str">
        <f>IF('Mechanical Inspections 2'!D34="","N/A",'Mechanical Inspections 2'!D34)</f>
        <v>N/A</v>
      </c>
      <c r="G265" s="602">
        <v>0</v>
      </c>
    </row>
    <row r="266" spans="4:7" s="602" customFormat="1" ht="15.75" thickBot="1" x14ac:dyDescent="0.3">
      <c r="D266" s="1" t="s">
        <v>985</v>
      </c>
      <c r="E266" s="245" t="str">
        <f>IF('Mechanical Inspections 2'!F34="","N/A",'Mechanical Inspections 2'!F34)</f>
        <v>N/A</v>
      </c>
    </row>
    <row r="267" spans="4:7" s="602" customFormat="1" ht="15.75" thickBot="1" x14ac:dyDescent="0.3">
      <c r="D267" s="1" t="s">
        <v>134</v>
      </c>
      <c r="E267" s="245" t="str">
        <f>IF(F267=1,"Good",IF(F267=2,"Bad","N/A"))</f>
        <v>N/A</v>
      </c>
      <c r="F267" s="591">
        <v>0</v>
      </c>
    </row>
    <row r="268" spans="4:7" s="602" customFormat="1" x14ac:dyDescent="0.25">
      <c r="D268" s="1" t="s">
        <v>1423</v>
      </c>
      <c r="E268" s="245" t="str">
        <f>IF('Mechanical Inspections 2'!I32="","N/A",'Mechanical Inspections 2'!I32)</f>
        <v>N/A</v>
      </c>
    </row>
    <row r="269" spans="4:7" s="602" customFormat="1" x14ac:dyDescent="0.25">
      <c r="D269" s="1" t="s">
        <v>984</v>
      </c>
      <c r="E269" s="245" t="str">
        <f>IF('Mechanical Inspections 2'!I34="","N/A",'Mechanical Inspections 2'!I34)</f>
        <v>N/A</v>
      </c>
    </row>
    <row r="270" spans="4:7" s="602" customFormat="1" ht="15.75" thickBot="1" x14ac:dyDescent="0.3">
      <c r="D270" s="1" t="s">
        <v>985</v>
      </c>
      <c r="E270" s="245" t="str">
        <f>IF('Mechanical Inspections 2'!K34="","N/A",'Mechanical Inspections 2'!K34)</f>
        <v>N/A</v>
      </c>
    </row>
    <row r="271" spans="4:7" s="602" customFormat="1" ht="15.75" thickBot="1" x14ac:dyDescent="0.3">
      <c r="D271" s="1" t="s">
        <v>134</v>
      </c>
      <c r="E271" s="245" t="str">
        <f>IF(F271=1,"Good",IF(F271=2,"Bad","N/A"))</f>
        <v>N/A</v>
      </c>
      <c r="F271" s="591">
        <v>0</v>
      </c>
    </row>
    <row r="272" spans="4:7" s="602" customFormat="1" x14ac:dyDescent="0.25">
      <c r="D272" s="1" t="s">
        <v>1424</v>
      </c>
      <c r="E272" s="245" t="str">
        <f>IF('Mechanical Inspections 2'!D40="","N/A",'Mechanical Inspections 2'!D40)</f>
        <v>N/A</v>
      </c>
    </row>
    <row r="273" spans="1:6" s="602" customFormat="1" x14ac:dyDescent="0.25">
      <c r="D273" s="1" t="s">
        <v>984</v>
      </c>
      <c r="E273" s="245" t="str">
        <f>IF('Mechanical Inspections 2'!D42="","N/A",'Mechanical Inspections 2'!D42)</f>
        <v>N/A</v>
      </c>
    </row>
    <row r="274" spans="1:6" s="602" customFormat="1" ht="15.75" thickBot="1" x14ac:dyDescent="0.3">
      <c r="D274" s="1" t="s">
        <v>985</v>
      </c>
      <c r="E274" s="245" t="str">
        <f>IF('Mechanical Inspections 2'!F42="","N/A",'Mechanical Inspections 2'!F42)</f>
        <v>N/A</v>
      </c>
    </row>
    <row r="275" spans="1:6" s="602" customFormat="1" ht="15.75" thickBot="1" x14ac:dyDescent="0.3">
      <c r="D275" s="1" t="s">
        <v>134</v>
      </c>
      <c r="E275" s="245" t="str">
        <f>IF(F275=1,"Good",IF(F275=2,"Bad","N/A"))</f>
        <v>N/A</v>
      </c>
      <c r="F275" s="591">
        <v>0</v>
      </c>
    </row>
    <row r="276" spans="1:6" s="602" customFormat="1" x14ac:dyDescent="0.25">
      <c r="D276" s="1" t="s">
        <v>1425</v>
      </c>
      <c r="E276" s="245" t="str">
        <f>IF('Mechanical Inspections 2'!I40="","N/A",'Mechanical Inspections 2'!I40)</f>
        <v>N/A</v>
      </c>
    </row>
    <row r="277" spans="1:6" s="602" customFormat="1" x14ac:dyDescent="0.25">
      <c r="D277" s="1" t="s">
        <v>984</v>
      </c>
      <c r="E277" s="245" t="str">
        <f>IF('Mechanical Inspections 2'!I42="","N/A",'Mechanical Inspections 2'!I42)</f>
        <v>N/A</v>
      </c>
    </row>
    <row r="278" spans="1:6" s="602" customFormat="1" ht="15.75" thickBot="1" x14ac:dyDescent="0.3">
      <c r="D278" s="1" t="s">
        <v>985</v>
      </c>
      <c r="E278" s="245" t="str">
        <f>IF('Mechanical Inspections 2'!K42="","N/A",'Mechanical Inspections 2'!K42)</f>
        <v>N/A</v>
      </c>
    </row>
    <row r="279" spans="1:6" s="602" customFormat="1" ht="15.75" thickBot="1" x14ac:dyDescent="0.3">
      <c r="D279" s="1" t="s">
        <v>134</v>
      </c>
      <c r="E279" s="245" t="str">
        <f>IF(F279=1,"Good",IF(F279=2,"Bad","N/A"))</f>
        <v>N/A</v>
      </c>
      <c r="F279" s="591">
        <v>0</v>
      </c>
    </row>
    <row r="280" spans="1:6" s="602" customFormat="1" x14ac:dyDescent="0.25">
      <c r="D280" s="1"/>
    </row>
    <row r="281" spans="1:6" s="523" customFormat="1" x14ac:dyDescent="0.25">
      <c r="D281" s="1" t="s">
        <v>1313</v>
      </c>
      <c r="E281" s="523" t="s">
        <v>131</v>
      </c>
    </row>
    <row r="282" spans="1:6" s="523" customFormat="1" x14ac:dyDescent="0.25">
      <c r="D282" s="1"/>
    </row>
    <row r="283" spans="1:6" s="523" customFormat="1" x14ac:dyDescent="0.25">
      <c r="A283" s="523" t="s">
        <v>1314</v>
      </c>
      <c r="D283" s="1"/>
    </row>
    <row r="284" spans="1:6" s="523" customFormat="1" ht="15.75" thickBot="1" x14ac:dyDescent="0.3">
      <c r="D284" s="1" t="s">
        <v>1426</v>
      </c>
      <c r="E284" s="245" t="str">
        <f>IF('Mechanical Inspections 2'!O20="","N/A",'Mechanical Inspections 2'!O20)</f>
        <v>N/A</v>
      </c>
    </row>
    <row r="285" spans="1:6" s="523" customFormat="1" ht="15.75" thickBot="1" x14ac:dyDescent="0.3">
      <c r="D285" s="1" t="s">
        <v>1316</v>
      </c>
      <c r="E285" s="593" t="str">
        <f>IF(F285=2,"Reusable",IF(F285=3,"Damaged","N/A"))</f>
        <v>N/A</v>
      </c>
      <c r="F285" s="538">
        <v>1</v>
      </c>
    </row>
    <row r="286" spans="1:6" s="523" customFormat="1" ht="15.75" thickBot="1" x14ac:dyDescent="0.3">
      <c r="D286" s="1" t="s">
        <v>1315</v>
      </c>
      <c r="E286" s="245" t="str">
        <f>IF('Mechanical Inspections 2'!O26="","N/A",'Mechanical Inspections 2'!O26)</f>
        <v>N/A</v>
      </c>
    </row>
    <row r="287" spans="1:6" s="523" customFormat="1" ht="15.75" thickBot="1" x14ac:dyDescent="0.3">
      <c r="D287" s="1" t="s">
        <v>1427</v>
      </c>
      <c r="E287" s="593" t="str">
        <f>IF(F287=1,"Good",IF(F287=2,"Bad","N/A"))</f>
        <v>N/A</v>
      </c>
      <c r="F287" s="538">
        <v>0</v>
      </c>
    </row>
    <row r="288" spans="1:6" s="602" customFormat="1" x14ac:dyDescent="0.25">
      <c r="D288" s="1" t="s">
        <v>1421</v>
      </c>
      <c r="E288" s="245" t="str">
        <f>IF('Mechanical Inspections 2'!O22="","N/A",'Mechanical Inspections 2'!O22)</f>
        <v>N/A</v>
      </c>
    </row>
    <row r="289" spans="4:6" s="523" customFormat="1" ht="15.75" thickBot="1" x14ac:dyDescent="0.3">
      <c r="D289" s="1" t="s">
        <v>1428</v>
      </c>
      <c r="E289" s="245" t="str">
        <f>IF('Mechanical Inspections 2'!T20="","N/A",'Mechanical Inspections 2'!T20)</f>
        <v>N/A</v>
      </c>
    </row>
    <row r="290" spans="4:6" s="523" customFormat="1" ht="15.75" thickBot="1" x14ac:dyDescent="0.3">
      <c r="D290" s="1" t="s">
        <v>1316</v>
      </c>
      <c r="E290" s="593" t="str">
        <f>IF(F290=2,"Reusable",IF(F290=3,"Damaged","N/A"))</f>
        <v>N/A</v>
      </c>
      <c r="F290" s="538">
        <v>1</v>
      </c>
    </row>
    <row r="291" spans="4:6" s="523" customFormat="1" ht="15.75" thickBot="1" x14ac:dyDescent="0.3">
      <c r="D291" s="1" t="s">
        <v>1315</v>
      </c>
      <c r="E291" s="245" t="str">
        <f>IF('Mechanical Inspections 2'!T26="","N/A",'Mechanical Inspections 2'!T26)</f>
        <v>N/A</v>
      </c>
    </row>
    <row r="292" spans="4:6" s="523" customFormat="1" ht="15.75" thickBot="1" x14ac:dyDescent="0.3">
      <c r="D292" s="1" t="s">
        <v>1427</v>
      </c>
      <c r="E292" s="593" t="str">
        <f>IF(F292=1,"Good",IF(F292=2,"Bad","N/A"))</f>
        <v>N/A</v>
      </c>
      <c r="F292" s="538">
        <v>0</v>
      </c>
    </row>
    <row r="293" spans="4:6" s="602" customFormat="1" x14ac:dyDescent="0.25">
      <c r="D293" s="1" t="s">
        <v>1421</v>
      </c>
      <c r="E293" s="245" t="str">
        <f>IF('Mechanical Inspections 2'!T22="","N/A",'Mechanical Inspections 2'!T22)</f>
        <v>N/A</v>
      </c>
    </row>
    <row r="294" spans="4:6" s="523" customFormat="1" ht="15.75" thickBot="1" x14ac:dyDescent="0.3">
      <c r="D294" s="1" t="s">
        <v>1429</v>
      </c>
      <c r="E294" s="245" t="str">
        <f>IF('Mechanical Inspections 2'!O30="","N/A",'Mechanical Inspections 2'!O30)</f>
        <v>N/A</v>
      </c>
    </row>
    <row r="295" spans="4:6" s="523" customFormat="1" ht="15.75" thickBot="1" x14ac:dyDescent="0.3">
      <c r="D295" s="1" t="s">
        <v>1316</v>
      </c>
      <c r="E295" s="593" t="str">
        <f>IF(F295=2,"Reusable",IF(F295=3,"Damaged","N/A"))</f>
        <v>N/A</v>
      </c>
      <c r="F295" s="538">
        <v>1</v>
      </c>
    </row>
    <row r="296" spans="4:6" s="523" customFormat="1" ht="15.75" thickBot="1" x14ac:dyDescent="0.3">
      <c r="D296" s="1" t="s">
        <v>1315</v>
      </c>
      <c r="E296" s="245" t="str">
        <f>IF('Mechanical Inspections 2'!O36="","N/A",'Mechanical Inspections 2'!O36)</f>
        <v>N/A</v>
      </c>
    </row>
    <row r="297" spans="4:6" s="523" customFormat="1" ht="15.75" thickBot="1" x14ac:dyDescent="0.3">
      <c r="D297" s="1" t="s">
        <v>1316</v>
      </c>
      <c r="E297" s="593" t="str">
        <f>IF(F297=1,"Good",IF(F297=2,"Bad","N/A"))</f>
        <v>N/A</v>
      </c>
      <c r="F297" s="538">
        <v>0</v>
      </c>
    </row>
    <row r="298" spans="4:6" s="602" customFormat="1" x14ac:dyDescent="0.25">
      <c r="D298" s="1" t="s">
        <v>1421</v>
      </c>
      <c r="E298" s="245" t="str">
        <f>IF('Mechanical Inspections 2'!O32="","N/A",'Mechanical Inspections 2'!O32)</f>
        <v>N/A</v>
      </c>
    </row>
    <row r="299" spans="4:6" s="523" customFormat="1" ht="15.75" thickBot="1" x14ac:dyDescent="0.3">
      <c r="D299" s="1" t="s">
        <v>1430</v>
      </c>
      <c r="E299" s="245" t="str">
        <f>IF('Mechanical Inspections 2'!T30="","N/A",'Mechanical Inspections 2'!T30)</f>
        <v>N/A</v>
      </c>
    </row>
    <row r="300" spans="4:6" s="523" customFormat="1" ht="15.75" thickBot="1" x14ac:dyDescent="0.3">
      <c r="D300" s="1" t="s">
        <v>1316</v>
      </c>
      <c r="E300" s="593" t="str">
        <f>IF(F300=2,"Reusable",IF(F300=3,"Damaged","N/A"))</f>
        <v>N/A</v>
      </c>
      <c r="F300" s="538">
        <v>1</v>
      </c>
    </row>
    <row r="301" spans="4:6" s="523" customFormat="1" ht="15.75" thickBot="1" x14ac:dyDescent="0.3">
      <c r="D301" s="1" t="s">
        <v>1315</v>
      </c>
      <c r="E301" s="245" t="str">
        <f>IF('Mechanical Inspections 2'!T36="","N/A",'Mechanical Inspections 2'!T36)</f>
        <v>N/A</v>
      </c>
    </row>
    <row r="302" spans="4:6" s="523" customFormat="1" ht="15.75" thickBot="1" x14ac:dyDescent="0.3">
      <c r="D302" s="1" t="s">
        <v>1316</v>
      </c>
      <c r="E302" s="593" t="str">
        <f>IF(F302=1,"Good",IF(F302=2,"Bad","N/A"))</f>
        <v>N/A</v>
      </c>
      <c r="F302" s="538">
        <v>0</v>
      </c>
    </row>
    <row r="303" spans="4:6" s="602" customFormat="1" x14ac:dyDescent="0.25">
      <c r="D303" s="1" t="s">
        <v>1421</v>
      </c>
      <c r="E303" s="245" t="str">
        <f>IF('Mechanical Inspections 2'!T32="","N/A",'Mechanical Inspections 2'!T32)</f>
        <v>N/A</v>
      </c>
    </row>
    <row r="304" spans="4:6" s="523" customFormat="1" x14ac:dyDescent="0.25">
      <c r="D304" s="1" t="s">
        <v>1317</v>
      </c>
      <c r="E304" s="606" t="s">
        <v>131</v>
      </c>
    </row>
    <row r="305" spans="1:7" s="523" customFormat="1" x14ac:dyDescent="0.25">
      <c r="D305" s="1"/>
    </row>
    <row r="306" spans="1:7" x14ac:dyDescent="0.25">
      <c r="A306" t="s">
        <v>356</v>
      </c>
      <c r="C306">
        <f>SUM(C307:C318)</f>
        <v>4</v>
      </c>
    </row>
    <row r="307" spans="1:7" x14ac:dyDescent="0.25">
      <c r="B307" t="s">
        <v>518</v>
      </c>
      <c r="C307">
        <f>IF(AND(B307="X",F307&lt;=2,F307=1),1,0)</f>
        <v>0</v>
      </c>
      <c r="D307" s="1" t="s">
        <v>357</v>
      </c>
      <c r="E307" t="str">
        <f>VLOOKUP(F307,Data!BE2:BF8,2,FALSE)</f>
        <v>No issues observed</v>
      </c>
      <c r="F307">
        <v>2</v>
      </c>
    </row>
    <row r="308" spans="1:7" x14ac:dyDescent="0.25">
      <c r="B308" t="s">
        <v>518</v>
      </c>
      <c r="C308">
        <f>IF(AND(B308="X",F308=1),1,0)</f>
        <v>1</v>
      </c>
      <c r="D308" s="1" t="s">
        <v>306</v>
      </c>
      <c r="E308">
        <f>VLOOKUP(F308,Data!BG2:BH7,2,FALSE)</f>
        <v>0</v>
      </c>
      <c r="F308">
        <v>1</v>
      </c>
    </row>
    <row r="309" spans="1:7" x14ac:dyDescent="0.25">
      <c r="E309" s="1" t="s">
        <v>297</v>
      </c>
      <c r="F309" t="s">
        <v>294</v>
      </c>
    </row>
    <row r="310" spans="1:7" x14ac:dyDescent="0.25">
      <c r="B310" t="s">
        <v>518</v>
      </c>
      <c r="C310">
        <f>IF(OR(F157="&lt;20",H157&lt;=20000),0,IF(AND(B310="X",OR(E310="",F310="")),1,0))</f>
        <v>0</v>
      </c>
      <c r="D310" s="1" t="s">
        <v>295</v>
      </c>
      <c r="E310" s="102" t="str">
        <f>IFERROR(IF(E138=0,"",(2*E138+1000)),"N/A")</f>
        <v>N/A</v>
      </c>
      <c r="F310" s="102" t="str">
        <f>IFERROR(IF(E138=0,"",(2*E138+1000)),"N/A")</f>
        <v>N/A</v>
      </c>
    </row>
    <row r="311" spans="1:7" x14ac:dyDescent="0.25">
      <c r="B311" t="s">
        <v>518</v>
      </c>
      <c r="C311">
        <f>IF(AND(B311="X",F307&lt;=2,F311=""),1,0)</f>
        <v>1</v>
      </c>
      <c r="D311" s="1"/>
      <c r="E311" s="1" t="s">
        <v>359</v>
      </c>
      <c r="F311" t="str">
        <f>IF(ISBLANK('Electrical Inspections'!I14),"",'Electrical Inspections'!I14)</f>
        <v/>
      </c>
      <c r="G311" s="1"/>
    </row>
    <row r="312" spans="1:7" x14ac:dyDescent="0.25">
      <c r="B312" t="s">
        <v>518</v>
      </c>
      <c r="C312">
        <f>IF(AND(B312="X",F307&lt;=2,E312=1),1,0)</f>
        <v>1</v>
      </c>
      <c r="D312" s="1459" t="s">
        <v>298</v>
      </c>
      <c r="E312">
        <v>1</v>
      </c>
      <c r="F312">
        <v>1</v>
      </c>
    </row>
    <row r="313" spans="1:7" x14ac:dyDescent="0.25">
      <c r="B313" t="s">
        <v>518</v>
      </c>
      <c r="C313" s="611">
        <f>IF(AND(B313="X",F307&lt;=2,F312=1),1,0)</f>
        <v>1</v>
      </c>
      <c r="D313" s="1459"/>
      <c r="E313" s="1" t="str">
        <f>IF(E312=1,"N/A",IF(E312=2,"Pass","Fail"))</f>
        <v>N/A</v>
      </c>
      <c r="F313" s="1" t="str">
        <f>IF(F312=1,"N/A",IF(F312=2,"Pass","Fail"))</f>
        <v>N/A</v>
      </c>
    </row>
    <row r="314" spans="1:7" x14ac:dyDescent="0.25">
      <c r="B314" t="s">
        <v>146</v>
      </c>
      <c r="C314">
        <f>IF(AND(B314="X",F307&lt;=2,F314=FALSE,OR(F307&gt;2,E312=3,F312=3)),1,0)</f>
        <v>0</v>
      </c>
      <c r="D314" s="3" t="s">
        <v>381</v>
      </c>
      <c r="E314" s="1" t="str">
        <f>IF(F314,"YES","NO")</f>
        <v>NO</v>
      </c>
      <c r="F314" s="1" t="b">
        <v>0</v>
      </c>
    </row>
    <row r="315" spans="1:7" x14ac:dyDescent="0.25">
      <c r="B315" t="s">
        <v>518</v>
      </c>
      <c r="C315" s="611">
        <f>IF(AND(B315="X",F307&lt;=2,OR(E315="",E316="",E317="")),1,0)</f>
        <v>0</v>
      </c>
      <c r="D315" s="145" t="s">
        <v>1150</v>
      </c>
      <c r="E315" s="1" t="str">
        <f>IF('Electrical Inspections'!H19="","N/A",'Electrical Inspections'!H19)</f>
        <v>N/A</v>
      </c>
      <c r="F315" s="1"/>
    </row>
    <row r="316" spans="1:7" x14ac:dyDescent="0.25">
      <c r="D316" s="145" t="s">
        <v>1151</v>
      </c>
      <c r="E316" s="1" t="str">
        <f>IF('Electrical Inspections'!H21="","N/A",'Electrical Inspections'!H21)</f>
        <v>N/A</v>
      </c>
      <c r="F316" s="1"/>
    </row>
    <row r="317" spans="1:7" x14ac:dyDescent="0.25">
      <c r="D317" s="145" t="s">
        <v>1152</v>
      </c>
      <c r="E317" s="1" t="str">
        <f>IF('Electrical Inspections'!H23="","N/A",'Electrical Inspections'!H23)</f>
        <v>N/A</v>
      </c>
      <c r="F317" s="1"/>
    </row>
    <row r="318" spans="1:7" s="523" customFormat="1" x14ac:dyDescent="0.25">
      <c r="C318" s="611">
        <f>IF(AND(B318="X",F307&lt;=2,F318=1),1,0)</f>
        <v>0</v>
      </c>
      <c r="D318" s="145" t="s">
        <v>1318</v>
      </c>
      <c r="E318" s="523" t="str">
        <f>IF(F318=2,"Pass",IF(F318=3,"Fail","N/A"))</f>
        <v>N/A</v>
      </c>
      <c r="F318" s="1">
        <v>1</v>
      </c>
    </row>
    <row r="319" spans="1:7" x14ac:dyDescent="0.25">
      <c r="D319" s="145" t="s">
        <v>1147</v>
      </c>
      <c r="E319" s="1" t="str">
        <f>IF('Electrical Inspections'!J19="","N/A",'Electrical Inspections'!J19)</f>
        <v>N/A</v>
      </c>
      <c r="F319" s="1"/>
    </row>
    <row r="320" spans="1:7" x14ac:dyDescent="0.25">
      <c r="D320" s="145" t="s">
        <v>1148</v>
      </c>
      <c r="E320" s="1" t="str">
        <f>IF('Electrical Inspections'!J21="","N/A",'Electrical Inspections'!J21)</f>
        <v>N/A</v>
      </c>
      <c r="F320" s="1"/>
    </row>
    <row r="321" spans="1:6" x14ac:dyDescent="0.25">
      <c r="D321" s="145" t="s">
        <v>1149</v>
      </c>
      <c r="E321" s="1" t="str">
        <f>IF('Electrical Inspections'!J23="","N/A",'Electrical Inspections'!J23)</f>
        <v>N/A</v>
      </c>
      <c r="F321" s="1"/>
    </row>
    <row r="322" spans="1:6" s="523" customFormat="1" x14ac:dyDescent="0.25">
      <c r="D322" s="145" t="s">
        <v>1318</v>
      </c>
      <c r="E322" s="602" t="str">
        <f>IF(F322=2,"Pass",IF(F322=3,"Fail","N/A"))</f>
        <v>N/A</v>
      </c>
      <c r="F322" s="1">
        <v>1</v>
      </c>
    </row>
    <row r="323" spans="1:6" s="611" customFormat="1" x14ac:dyDescent="0.25">
      <c r="D323" s="145" t="s">
        <v>1491</v>
      </c>
      <c r="E323" s="611" t="b">
        <v>0</v>
      </c>
      <c r="F323" s="1"/>
    </row>
    <row r="324" spans="1:6" x14ac:dyDescent="0.25">
      <c r="D324" s="3" t="s">
        <v>376</v>
      </c>
      <c r="E324" s="75" t="s">
        <v>131</v>
      </c>
      <c r="F324" s="1"/>
    </row>
    <row r="326" spans="1:6" x14ac:dyDescent="0.25">
      <c r="A326" t="s">
        <v>468</v>
      </c>
      <c r="D326" t="s">
        <v>469</v>
      </c>
      <c r="E326" t="b">
        <v>1</v>
      </c>
    </row>
    <row r="327" spans="1:6" x14ac:dyDescent="0.25">
      <c r="D327" t="s">
        <v>470</v>
      </c>
      <c r="E327" t="b">
        <v>1</v>
      </c>
    </row>
    <row r="328" spans="1:6" x14ac:dyDescent="0.25">
      <c r="D328" t="s">
        <v>471</v>
      </c>
      <c r="E328" t="b">
        <v>1</v>
      </c>
    </row>
    <row r="329" spans="1:6" x14ac:dyDescent="0.25">
      <c r="D329" t="s">
        <v>472</v>
      </c>
      <c r="E329" t="b">
        <v>1</v>
      </c>
    </row>
    <row r="330" spans="1:6" x14ac:dyDescent="0.25">
      <c r="D330" t="s">
        <v>473</v>
      </c>
      <c r="E330" t="b">
        <v>1</v>
      </c>
    </row>
    <row r="331" spans="1:6" x14ac:dyDescent="0.25">
      <c r="D331" t="s">
        <v>474</v>
      </c>
      <c r="E331" t="b">
        <v>0</v>
      </c>
    </row>
    <row r="332" spans="1:6" x14ac:dyDescent="0.25">
      <c r="D332" t="s">
        <v>475</v>
      </c>
      <c r="E332" t="b">
        <v>1</v>
      </c>
    </row>
    <row r="333" spans="1:6" x14ac:dyDescent="0.25">
      <c r="D333" t="s">
        <v>476</v>
      </c>
      <c r="E333" t="b">
        <v>1</v>
      </c>
    </row>
    <row r="334" spans="1:6" x14ac:dyDescent="0.25">
      <c r="D334" t="s">
        <v>477</v>
      </c>
      <c r="E334" t="b">
        <v>1</v>
      </c>
    </row>
    <row r="335" spans="1:6" x14ac:dyDescent="0.25">
      <c r="D335" t="s">
        <v>478</v>
      </c>
      <c r="E335" t="b">
        <v>1</v>
      </c>
    </row>
    <row r="336" spans="1:6" x14ac:dyDescent="0.25">
      <c r="D336" t="s">
        <v>479</v>
      </c>
      <c r="E336" t="b">
        <v>1</v>
      </c>
    </row>
    <row r="337" spans="4:5" x14ac:dyDescent="0.25">
      <c r="D337" t="s">
        <v>1591</v>
      </c>
      <c r="E337" t="b">
        <f>IF(OR(E146,E148),TRUE,FALSE)</f>
        <v>0</v>
      </c>
    </row>
    <row r="338" spans="4:5" x14ac:dyDescent="0.25">
      <c r="D338" t="s">
        <v>818</v>
      </c>
      <c r="E338" t="b">
        <f>IF(F64=1,FALSE,IF(F64=2,FALSE,IF(F64=3,TRUE,"")))</f>
        <v>0</v>
      </c>
    </row>
    <row r="339" spans="4:5" x14ac:dyDescent="0.25">
      <c r="D339" t="s">
        <v>480</v>
      </c>
      <c r="E339" t="b">
        <v>1</v>
      </c>
    </row>
    <row r="340" spans="4:5" x14ac:dyDescent="0.25">
      <c r="D340" t="s">
        <v>481</v>
      </c>
      <c r="E340" t="b">
        <v>1</v>
      </c>
    </row>
    <row r="341" spans="4:5" x14ac:dyDescent="0.25">
      <c r="D341" t="s">
        <v>492</v>
      </c>
      <c r="E341" t="s">
        <v>131</v>
      </c>
    </row>
    <row r="342" spans="4:5" x14ac:dyDescent="0.25">
      <c r="D342" t="s">
        <v>482</v>
      </c>
      <c r="E342" t="b">
        <f>IF(L212=0,FALSE,IF(L212=1,FALSE,IF(L212=2,TRUE,FALSE)))</f>
        <v>0</v>
      </c>
    </row>
    <row r="343" spans="4:5" x14ac:dyDescent="0.25">
      <c r="D343" t="s">
        <v>483</v>
      </c>
      <c r="E343" t="b">
        <f>IF(L214=0,FALSE,IF(L214=1,FALSE,IF(L214=2,TRUE,FALSE)))</f>
        <v>0</v>
      </c>
    </row>
    <row r="344" spans="4:5" x14ac:dyDescent="0.25">
      <c r="D344" t="s">
        <v>484</v>
      </c>
      <c r="E344" t="b">
        <f>IF(L213=0,FALSE,IF(L213=1,FALSE,IF(L213=2,TRUE,FALSE)))</f>
        <v>0</v>
      </c>
    </row>
    <row r="345" spans="4:5" x14ac:dyDescent="0.25">
      <c r="D345" t="s">
        <v>485</v>
      </c>
      <c r="E345" t="b">
        <f>IF(L215=0,FALSE,IF(L215=1,FALSE,IF(L215=2,TRUE,FALSE)))</f>
        <v>0</v>
      </c>
    </row>
    <row r="346" spans="4:5" x14ac:dyDescent="0.25">
      <c r="D346" t="s">
        <v>486</v>
      </c>
      <c r="E346" t="b">
        <f>IF(F232=2,TRUE,FALSE)</f>
        <v>0</v>
      </c>
    </row>
    <row r="347" spans="4:5" s="602" customFormat="1" x14ac:dyDescent="0.25">
      <c r="D347" s="602" t="s">
        <v>1454</v>
      </c>
      <c r="E347" s="602" t="b">
        <f>IF(F196=3,TRUE,FALSE)</f>
        <v>0</v>
      </c>
    </row>
    <row r="348" spans="4:5" x14ac:dyDescent="0.25">
      <c r="D348" t="s">
        <v>487</v>
      </c>
      <c r="E348" t="b">
        <v>0</v>
      </c>
    </row>
    <row r="349" spans="4:5" x14ac:dyDescent="0.25">
      <c r="D349" t="s">
        <v>488</v>
      </c>
      <c r="E349" t="b">
        <v>0</v>
      </c>
    </row>
    <row r="350" spans="4:5" x14ac:dyDescent="0.25">
      <c r="D350" t="s">
        <v>1088</v>
      </c>
      <c r="E350" t="b">
        <v>0</v>
      </c>
    </row>
    <row r="351" spans="4:5" x14ac:dyDescent="0.25">
      <c r="D351" t="s">
        <v>489</v>
      </c>
      <c r="E351" t="b">
        <v>0</v>
      </c>
    </row>
    <row r="352" spans="4:5" x14ac:dyDescent="0.25">
      <c r="D352" t="s">
        <v>1086</v>
      </c>
      <c r="E352" t="b">
        <f>IF(E167="N/A",FALSE,IF(E167&gt;Tolerances!Z3,TRUE,FALSE))</f>
        <v>0</v>
      </c>
    </row>
    <row r="353" spans="1:6" x14ac:dyDescent="0.25">
      <c r="D353" t="s">
        <v>1087</v>
      </c>
      <c r="E353" t="b">
        <f>IF(E168="N/A",FALSE,IF(E168&gt;Tolerances!Z3,TRUE,FALSE))</f>
        <v>0</v>
      </c>
    </row>
    <row r="354" spans="1:6" s="602" customFormat="1" x14ac:dyDescent="0.25">
      <c r="D354" s="602" t="s">
        <v>1455</v>
      </c>
      <c r="E354" s="602" t="b">
        <f>IF(OR(F287=2,F292=2,F297=2,F302=2),TRUE,FALSE)</f>
        <v>0</v>
      </c>
    </row>
    <row r="355" spans="1:6" x14ac:dyDescent="0.25">
      <c r="D355" t="s">
        <v>493</v>
      </c>
      <c r="E355" t="s">
        <v>131</v>
      </c>
    </row>
    <row r="356" spans="1:6" x14ac:dyDescent="0.25">
      <c r="D356" t="s">
        <v>490</v>
      </c>
      <c r="E356" t="b">
        <v>0</v>
      </c>
    </row>
    <row r="357" spans="1:6" x14ac:dyDescent="0.25">
      <c r="D357" t="s">
        <v>491</v>
      </c>
      <c r="E357" t="b">
        <v>0</v>
      </c>
    </row>
    <row r="358" spans="1:6" x14ac:dyDescent="0.25">
      <c r="D358" t="s">
        <v>494</v>
      </c>
      <c r="E358" t="s">
        <v>131</v>
      </c>
    </row>
    <row r="360" spans="1:6" x14ac:dyDescent="0.25">
      <c r="A360" t="s">
        <v>465</v>
      </c>
      <c r="C360" s="68" t="s">
        <v>456</v>
      </c>
      <c r="D360" s="69" t="s">
        <v>459</v>
      </c>
      <c r="E360" s="69" t="s">
        <v>161</v>
      </c>
      <c r="F360" s="70" t="s">
        <v>457</v>
      </c>
    </row>
    <row r="361" spans="1:6" x14ac:dyDescent="0.25">
      <c r="C361" s="71">
        <f>Required!G6</f>
        <v>0</v>
      </c>
      <c r="D361" s="71">
        <f>Required!H6</f>
        <v>0</v>
      </c>
      <c r="E361" s="71" t="str">
        <f>Required!I6</f>
        <v>Bearing</v>
      </c>
      <c r="F361" s="71" t="str">
        <f>IF(Required!L6=0,"",Required!L6)</f>
        <v/>
      </c>
    </row>
    <row r="362" spans="1:6" x14ac:dyDescent="0.25">
      <c r="C362" s="71">
        <f>Required!G7</f>
        <v>0</v>
      </c>
      <c r="D362" s="71">
        <f>Required!H7</f>
        <v>0</v>
      </c>
      <c r="E362" s="71" t="str">
        <f>Required!I7</f>
        <v>Bearing</v>
      </c>
      <c r="F362" s="71" t="str">
        <f>IF(Required!L7=0,"",Required!L7)</f>
        <v/>
      </c>
    </row>
    <row r="363" spans="1:6" x14ac:dyDescent="0.25">
      <c r="C363" s="71">
        <f>Required!G8</f>
        <v>0</v>
      </c>
      <c r="D363" s="71">
        <f>Required!H8</f>
        <v>0</v>
      </c>
      <c r="E363" s="71" t="str">
        <f>Required!I8</f>
        <v>Bearing</v>
      </c>
      <c r="F363" s="71" t="str">
        <f>IF(Required!L8=0,"",Required!L8)</f>
        <v/>
      </c>
    </row>
    <row r="364" spans="1:6" x14ac:dyDescent="0.25">
      <c r="C364" s="71">
        <f>Required!G9</f>
        <v>0</v>
      </c>
      <c r="D364" s="71">
        <f>Required!H9</f>
        <v>0</v>
      </c>
      <c r="E364" s="71" t="str">
        <f>Required!I9</f>
        <v>Bearing</v>
      </c>
      <c r="F364" s="71" t="str">
        <f>IF(Required!L9=0,"",Required!L9)</f>
        <v/>
      </c>
    </row>
    <row r="365" spans="1:6" x14ac:dyDescent="0.25">
      <c r="C365" s="71">
        <f>Required!G10</f>
        <v>0</v>
      </c>
      <c r="D365" s="71">
        <f>Required!H10</f>
        <v>0</v>
      </c>
      <c r="E365" s="71" t="str">
        <f>Required!I10</f>
        <v>Coupling</v>
      </c>
      <c r="F365" s="71" t="str">
        <f>IF(Required!L10=0,"",Required!L10)</f>
        <v/>
      </c>
    </row>
    <row r="366" spans="1:6" x14ac:dyDescent="0.25">
      <c r="C366" s="71">
        <f>Required!G11</f>
        <v>0</v>
      </c>
      <c r="D366" s="71">
        <f>Required!H11</f>
        <v>0</v>
      </c>
      <c r="E366" s="71" t="str">
        <f>Required!I11</f>
        <v>Lip Seal</v>
      </c>
      <c r="F366" s="71" t="str">
        <f>IF(Required!L11=0,"",Required!L11)</f>
        <v/>
      </c>
    </row>
    <row r="367" spans="1:6" x14ac:dyDescent="0.25">
      <c r="C367" s="71">
        <f>Required!G12</f>
        <v>0</v>
      </c>
      <c r="D367" s="71">
        <f>Required!H12</f>
        <v>0</v>
      </c>
      <c r="E367" s="71" t="str">
        <f>Required!I12</f>
        <v>Lip Seal</v>
      </c>
      <c r="F367" s="71" t="str">
        <f>IF(Required!L12=0,"",Required!L12)</f>
        <v/>
      </c>
    </row>
    <row r="368" spans="1:6" x14ac:dyDescent="0.25">
      <c r="C368" s="71">
        <f>Required!G13</f>
        <v>0</v>
      </c>
      <c r="D368" s="71">
        <f>Required!H13</f>
        <v>0</v>
      </c>
      <c r="E368" s="71" t="str">
        <f>Required!I13</f>
        <v>V-Ring</v>
      </c>
      <c r="F368" s="71" t="str">
        <f>IF(Required!L13=0,"",Required!L13)</f>
        <v/>
      </c>
    </row>
    <row r="369" spans="1:6" x14ac:dyDescent="0.25">
      <c r="C369" s="71">
        <f>Required!G14</f>
        <v>0</v>
      </c>
      <c r="D369" s="71">
        <f>Required!H14</f>
        <v>0</v>
      </c>
      <c r="E369" s="71" t="str">
        <f>Required!I14</f>
        <v>Spanner Nut</v>
      </c>
      <c r="F369" s="71" t="str">
        <f>IF(Required!L14=0,"",Required!L14)</f>
        <v/>
      </c>
    </row>
    <row r="370" spans="1:6" x14ac:dyDescent="0.25">
      <c r="C370" s="71">
        <f>Required!G15</f>
        <v>0</v>
      </c>
      <c r="D370" s="71">
        <f>Required!H15</f>
        <v>0</v>
      </c>
      <c r="E370" s="71" t="str">
        <f>Required!I15</f>
        <v>Spanner Washer</v>
      </c>
      <c r="F370" s="71" t="str">
        <f>IF(Required!L15=0,"",Required!L15)</f>
        <v/>
      </c>
    </row>
    <row r="371" spans="1:6" x14ac:dyDescent="0.25">
      <c r="C371" s="71">
        <f>Required!G16</f>
        <v>0</v>
      </c>
      <c r="D371" s="71">
        <f>Required!H16</f>
        <v>0</v>
      </c>
      <c r="E371" s="71" t="str">
        <f>Required!I16</f>
        <v>Replacement Fan</v>
      </c>
      <c r="F371" s="71" t="str">
        <f>IF(Required!L16=0,"",Required!L16)</f>
        <v/>
      </c>
    </row>
    <row r="372" spans="1:6" x14ac:dyDescent="0.25">
      <c r="C372" s="71">
        <f>Required!G17</f>
        <v>0</v>
      </c>
      <c r="D372" s="71">
        <f>Required!H17</f>
        <v>0</v>
      </c>
      <c r="E372" s="71" t="str">
        <f>Required!I17</f>
        <v>OTHER</v>
      </c>
      <c r="F372" s="71" t="str">
        <f>IF(Required!L17=0,"",Required!L17)</f>
        <v/>
      </c>
    </row>
    <row r="373" spans="1:6" s="602" customFormat="1" x14ac:dyDescent="0.25">
      <c r="C373" s="71">
        <f>Required!G18</f>
        <v>0</v>
      </c>
      <c r="D373" s="71">
        <f>Required!H18</f>
        <v>0</v>
      </c>
      <c r="E373" s="71" t="str">
        <f>Required!I18</f>
        <v>OTHER</v>
      </c>
      <c r="F373" s="71" t="str">
        <f>IF(Required!L18=0,"",Required!L18)</f>
        <v/>
      </c>
    </row>
    <row r="374" spans="1:6" s="602" customFormat="1" x14ac:dyDescent="0.25">
      <c r="C374" s="71">
        <f>Required!G19</f>
        <v>0</v>
      </c>
      <c r="D374" s="71">
        <f>Required!H19</f>
        <v>0</v>
      </c>
      <c r="E374" s="71" t="str">
        <f>Required!I19</f>
        <v>OTHER</v>
      </c>
      <c r="F374" s="71" t="str">
        <f>IF(Required!L19=0,"",Required!L19)</f>
        <v/>
      </c>
    </row>
    <row r="377" spans="1:6" x14ac:dyDescent="0.25">
      <c r="A377" t="s">
        <v>461</v>
      </c>
      <c r="C377" s="68" t="s">
        <v>456</v>
      </c>
      <c r="D377" s="69" t="s">
        <v>161</v>
      </c>
      <c r="E377" s="70" t="s">
        <v>457</v>
      </c>
    </row>
    <row r="378" spans="1:6" x14ac:dyDescent="0.25">
      <c r="C378" s="71">
        <f>Required!J23</f>
        <v>0</v>
      </c>
      <c r="D378" s="71" t="str">
        <f>Required!K23</f>
        <v>Lead Insulation</v>
      </c>
      <c r="E378" s="71" t="str">
        <f>IF(Required!L23=0,"",Required!L23)</f>
        <v/>
      </c>
    </row>
    <row r="379" spans="1:6" x14ac:dyDescent="0.25">
      <c r="C379" s="71">
        <f>Required!J24</f>
        <v>0</v>
      </c>
      <c r="D379" s="71" t="str">
        <f>Required!K24</f>
        <v>Gasket Material</v>
      </c>
      <c r="E379" s="71" t="str">
        <f>IF(Required!L24=0,"",Required!L24)</f>
        <v/>
      </c>
    </row>
    <row r="380" spans="1:6" x14ac:dyDescent="0.25">
      <c r="C380" s="71">
        <f>Required!J25</f>
        <v>0</v>
      </c>
      <c r="D380" s="71" t="str">
        <f>Required!K25</f>
        <v>Lube Pipe Kit</v>
      </c>
      <c r="E380" s="71" t="str">
        <f>IF(Required!L25=0,"",Required!L25)</f>
        <v/>
      </c>
    </row>
    <row r="381" spans="1:6" x14ac:dyDescent="0.25">
      <c r="C381" s="71">
        <f>Required!J26</f>
        <v>0</v>
      </c>
      <c r="D381" s="71" t="str">
        <f>Required!K26</f>
        <v>Paint</v>
      </c>
      <c r="E381" s="71" t="str">
        <f>IF(Required!L26=0,"",Required!L26)</f>
        <v/>
      </c>
    </row>
    <row r="382" spans="1:6" x14ac:dyDescent="0.25">
      <c r="C382" s="71">
        <f>Required!J27</f>
        <v>0</v>
      </c>
      <c r="D382" s="71" t="str">
        <f>Required!K27</f>
        <v>Key Stock</v>
      </c>
      <c r="E382" s="71" t="str">
        <f>IF(Required!L27=0,"",Required!L27)</f>
        <v/>
      </c>
    </row>
    <row r="383" spans="1:6" x14ac:dyDescent="0.25">
      <c r="C383" s="71">
        <f>Required!J28</f>
        <v>0</v>
      </c>
      <c r="D383" s="71" t="str">
        <f>Required!K28</f>
        <v>Stub Material</v>
      </c>
      <c r="E383" s="71" t="str">
        <f>IF(Required!L28=0,"",Required!L28)</f>
        <v/>
      </c>
    </row>
    <row r="384" spans="1:6" x14ac:dyDescent="0.25">
      <c r="C384" s="71">
        <f>Required!J29</f>
        <v>0</v>
      </c>
      <c r="D384" s="71" t="str">
        <f>Required!K29</f>
        <v>Oil</v>
      </c>
      <c r="E384" s="71" t="str">
        <f>IF(Required!L29=0,"",Required!L29)</f>
        <v/>
      </c>
    </row>
    <row r="385" spans="1:11" x14ac:dyDescent="0.25">
      <c r="C385" s="71">
        <f>Required!J30</f>
        <v>0</v>
      </c>
      <c r="D385" s="71" t="str">
        <f>Required!K30</f>
        <v>Grease</v>
      </c>
      <c r="E385" s="71" t="str">
        <f>IF(Required!L30=0,"",Required!L30)</f>
        <v/>
      </c>
    </row>
    <row r="386" spans="1:11" x14ac:dyDescent="0.25">
      <c r="C386" s="71">
        <f>Required!J31</f>
        <v>0</v>
      </c>
      <c r="D386" s="71" t="str">
        <f>Required!K31</f>
        <v>Sightglass</v>
      </c>
      <c r="E386" s="71" t="str">
        <f>IF(Required!L31=0,"",Required!L31)</f>
        <v/>
      </c>
    </row>
    <row r="387" spans="1:11" x14ac:dyDescent="0.25">
      <c r="C387" s="71">
        <f>Required!J32</f>
        <v>0</v>
      </c>
      <c r="D387" s="71" t="str">
        <f>Required!K32</f>
        <v>OTHER</v>
      </c>
      <c r="E387" s="71" t="str">
        <f>IF(Required!L32=0,"",Required!L32)</f>
        <v/>
      </c>
    </row>
    <row r="388" spans="1:11" x14ac:dyDescent="0.25">
      <c r="C388" s="369">
        <f>Required!J33</f>
        <v>0</v>
      </c>
      <c r="D388" s="369" t="str">
        <f>Required!K33</f>
        <v>OTHER</v>
      </c>
      <c r="E388" s="71" t="str">
        <f>IF(Required!L33=0,"",Required!L33)</f>
        <v/>
      </c>
    </row>
    <row r="389" spans="1:11" s="602" customFormat="1" x14ac:dyDescent="0.25">
      <c r="C389" s="369">
        <f>Required!J34</f>
        <v>0</v>
      </c>
      <c r="D389" s="369" t="str">
        <f>Required!K34</f>
        <v>OTHER</v>
      </c>
      <c r="E389" s="71" t="str">
        <f>IF(Required!L34=0,"",Required!L34)</f>
        <v/>
      </c>
    </row>
    <row r="390" spans="1:11" x14ac:dyDescent="0.25">
      <c r="C390" s="157"/>
      <c r="D390" s="157"/>
      <c r="E390" s="157"/>
    </row>
    <row r="391" spans="1:11" x14ac:dyDescent="0.25">
      <c r="A391" t="s">
        <v>693</v>
      </c>
      <c r="C391" s="157"/>
      <c r="D391" s="157"/>
      <c r="E391" s="157"/>
    </row>
    <row r="392" spans="1:11" x14ac:dyDescent="0.25">
      <c r="C392" t="s">
        <v>694</v>
      </c>
      <c r="E392" s="157" t="str">
        <f>IF(AND(E166&lt;=Tolerances!Z2,Unformatted!E168,E167&lt;=Tolerances!Z3,Unformatted!F169&lt;=Tolerances!Z4,Unformatted!F170&lt;=Tolerances!Z5),"ALL RUN OUTS OK","RUN OUTS BAD")</f>
        <v>RUN OUTS BAD</v>
      </c>
      <c r="K392" s="37"/>
    </row>
    <row r="393" spans="1:11" x14ac:dyDescent="0.25">
      <c r="C393" s="157"/>
      <c r="D393" t="s">
        <v>695</v>
      </c>
      <c r="E393" t="str">
        <f>IF(E166="","SHAFT RUN-OUT UNRECORDED!",IF(E166&gt;Tolerances!Z2,"SHAFT RUNNING OUT: "&amp;E166,""))</f>
        <v>SHAFT RUNNING OUT: N/A</v>
      </c>
      <c r="G393" t="str">
        <f>IF(E392="ALL RUN OUTS OK",E392,""&amp;IF(E393&lt;&gt;"",E393&amp;"   ","")&amp;IF(E394&lt;&gt;"",E394&amp;"   ","")&amp;IF(E395&lt;&gt;"",E395&amp;"   ","")&amp;IF(E396&lt;&gt;"",E396&amp;"   ","")&amp;IF(E397&lt;&gt;"",E397&amp;"   ","")&amp;IF(E398&lt;&gt;"",E398&amp;"   ",""))</f>
        <v xml:space="preserve">SHAFT RUNNING OUT: N/A   ROTOR IRON RUNNING OUT: N/A   COUPLING FACE RUNNING OUT: N/A   COUPLING RIM RUNNING OUT: N/A   </v>
      </c>
    </row>
    <row r="394" spans="1:11" x14ac:dyDescent="0.25">
      <c r="C394" s="157"/>
      <c r="E394" t="str">
        <f>IF(E225="","ROTOR IRON RUN-OUT UNRECORDED!",IF(E225&gt;Tolerances!Z7,"ROTOR IRON RUNNING OUT: "&amp;E225,""))</f>
        <v>ROTOR IRON RUNNING OUT: N/A</v>
      </c>
    </row>
    <row r="395" spans="1:11" x14ac:dyDescent="0.25">
      <c r="C395" s="157"/>
      <c r="D395" s="157"/>
      <c r="E395" t="str">
        <f>IF(F24="","",IF(AND(F24&lt;&gt;"",E167=""),F24&amp;"-FACE RUN-OUT UNRECORDED",IF(E167&gt;Tolerances!Z3,"FACE RUNNING OUT: "&amp;E167)))</f>
        <v/>
      </c>
    </row>
    <row r="396" spans="1:11" x14ac:dyDescent="0.25">
      <c r="C396" s="157"/>
      <c r="D396" s="157"/>
      <c r="E396" t="str">
        <f>IF(F24="","",IF(AND(F24&lt;&gt;"",E168=""),"RABBET RUN-OUT UNRECORDED",IF(E168&gt;Tolerances!Z8,"RABBET RUNNING OUT: "&amp;E168,"")))</f>
        <v/>
      </c>
    </row>
    <row r="397" spans="1:11" x14ac:dyDescent="0.25">
      <c r="C397" s="157"/>
      <c r="D397" s="157"/>
      <c r="E397" t="str">
        <f>IF(F56=FALSE,"",IF(F169&gt;Tolerances!Z4,"COUPLING FACE RUNNING OUT: "&amp;F169,""))</f>
        <v>COUPLING FACE RUNNING OUT: N/A</v>
      </c>
    </row>
    <row r="398" spans="1:11" x14ac:dyDescent="0.25">
      <c r="C398" s="157"/>
      <c r="D398" s="157"/>
      <c r="E398" t="str">
        <f>IF(F56=FALSE,"",IF(F170&gt;Tolerances!Z5,"COUPLING RIM RUNNING OUT: "&amp;F170,""))</f>
        <v>COUPLING RIM RUNNING OUT: N/A</v>
      </c>
    </row>
    <row r="399" spans="1:11" x14ac:dyDescent="0.25">
      <c r="C399" s="157"/>
      <c r="D399" t="s">
        <v>689</v>
      </c>
      <c r="E399" t="str">
        <f>IF(E198="NONE","OK",IF(E197="N/A","FAN CONDITION UNRECORDED",IF(E197="Damaged","FAN IS DAMAGED!","OK")))</f>
        <v>FAN CONDITION UNRECORDED</v>
      </c>
    </row>
    <row r="400" spans="1:11" x14ac:dyDescent="0.25">
      <c r="C400" s="157"/>
      <c r="D400" t="s">
        <v>529</v>
      </c>
      <c r="E400" s="157" t="str">
        <f>IF(E199="N/A","FEET CONDITION UNRECORDED",IF(E199="No Feet","NO FEET",IF(E199="Not Repairable","WARNING: FEET ARE RECORDED AS UNREPAIRABLE!",IF(E199="Bad/Repairable","FEET ARE DAMAGED!","OK"))))</f>
        <v>FEET CONDITION UNRECORDED</v>
      </c>
    </row>
    <row r="401" spans="3:6" x14ac:dyDescent="0.25">
      <c r="C401" s="157"/>
      <c r="D401" t="s">
        <v>690</v>
      </c>
      <c r="E401" s="157" t="str">
        <f>IF(E218=FALSE,"NOT APPLICABLE",IF(F223=0,"PLEASE SELECT BEARING CONFIG ON MECHANICAL INSPECTION PAGE",IF(F219="","THRUST BEARINGS ARE NOT CAPTURED!",IF(F219&lt;Tolerances!Z9,"THRUST BEARINGS ARE NOT CAPTURED!","OK"))))</f>
        <v>NOT APPLICABLE</v>
      </c>
    </row>
    <row r="402" spans="3:6" x14ac:dyDescent="0.25">
      <c r="C402" s="157"/>
      <c r="D402" t="s">
        <v>691</v>
      </c>
      <c r="E402" s="157" t="str">
        <f>IF(OR(Unformatted!E184="",Unformatted!F184="",Unformatted!E185="",Unformatted!F185="",Unformatted!H184=""),"VIBRATION UNRECORDED",IF(OR(Unformatted!E184&gt;Tolerances!AE2,Unformatted!F184&gt;Tolerances!AE2,Unformatted!E185&gt;Tolerances!AE2,Unformatted!F185&gt;Tolerances!AE2,Unformatted!H184&gt;Tolerances!AE2),"EXCESSIVE VIBRATION RECORDED","OK"))</f>
        <v>VIBRATION UNRECORDED</v>
      </c>
    </row>
    <row r="403" spans="3:6" x14ac:dyDescent="0.25">
      <c r="C403" t="s">
        <v>697</v>
      </c>
      <c r="D403" s="157"/>
      <c r="E403" t="str">
        <f>IF(AND(E404="",E405=""),"ALL JOURNAL FITS OK","BAD JOURNAL FIT(S)")</f>
        <v>BAD JOURNAL FIT(S)</v>
      </c>
    </row>
    <row r="404" spans="3:6" x14ac:dyDescent="0.25">
      <c r="C404" s="157"/>
      <c r="D404" t="s">
        <v>639</v>
      </c>
      <c r="E404" s="157" t="str">
        <f>IF(M212="","IB JOURNAL UNRECORDED",IF(M212="BAD","IB JOURNAL BAD",""))</f>
        <v>IB JOURNAL UNRECORDED</v>
      </c>
      <c r="F404" t="str">
        <f>IF(E403="ALL JOURNAL FITS OK",E403,""&amp;IF(E404&lt;&gt;"",E404&amp;"   ","")&amp;IF(E405&lt;&gt;"",E405&amp;"   ",""))</f>
        <v xml:space="preserve">IB JOURNAL UNRECORDED   OB JOURNAL UNRECORDED   </v>
      </c>
    </row>
    <row r="405" spans="3:6" x14ac:dyDescent="0.25">
      <c r="C405" s="157"/>
      <c r="D405" t="s">
        <v>638</v>
      </c>
      <c r="E405" s="157" t="str">
        <f>IF(M214="","OB JOURNAL UNRECORDED",IF(M214="BAD","OB JOURNAL BAD",""))</f>
        <v>OB JOURNAL UNRECORDED</v>
      </c>
    </row>
    <row r="406" spans="3:6" x14ac:dyDescent="0.25">
      <c r="C406" s="157"/>
      <c r="E406" s="157" t="str">
        <f>IF(AND(E407="",E408=""),"ALL HOUSING FITS OK","BAD HOUSING FIT(S)")</f>
        <v>BAD HOUSING FIT(S)</v>
      </c>
    </row>
    <row r="407" spans="3:6" x14ac:dyDescent="0.25">
      <c r="C407" s="157"/>
      <c r="D407" t="s">
        <v>338</v>
      </c>
      <c r="E407" s="157" t="str">
        <f>IF(M213="","IB HOUSING UNRECORDED",IF(M213="BAD",IF(AND(I207&gt;0,J207&gt;0,I207&lt;&gt;"OK",J207&lt;&gt;"OK"),"IB HOUSING OVERSIZED",IF(AND(I207&lt;0,J207&lt;0),"IB HOUSING NEEDS POLISHING","IB HOUSING BAD"&amp;IF(G213=TRUE," - FRETTED","")&amp;IF(H213=TRUE," - OUT OF ROUND ",""))),""))</f>
        <v>IB HOUSING UNRECORDED</v>
      </c>
      <c r="F407" t="str">
        <f>IF(E406="ALL HOUSING FITS OK",E406,""&amp;IF(E407&lt;&gt;"",E407&amp;"   ","")&amp;IF(E408&lt;&gt;"",E408&amp;"   ",""))</f>
        <v xml:space="preserve">IB HOUSING UNRECORDED   OB HOUSING UNRECORDED   </v>
      </c>
    </row>
    <row r="408" spans="3:6" x14ac:dyDescent="0.25">
      <c r="C408" s="157"/>
      <c r="D408" t="s">
        <v>393</v>
      </c>
      <c r="E408" s="157" t="str">
        <f>IF(M215="","OB HOUSING UNRECORDED",IF(M215="BAD",IF(AND(I210&gt;0,J210&gt;0,I210&lt;&gt;"OK",J210&lt;&gt;"OK"),"OB HOUSING OVERSIZED",IF(AND(I210&lt;0,J210&lt;0),"OB HOUSING NEEDS POLISHING","OB HOUSING BAD"&amp;IF(G215=TRUE," - FRETTED","")&amp;IF(H215=TRUE," - OUT OF ROUND ",""))),""))</f>
        <v>OB HOUSING UNRECORDED</v>
      </c>
    </row>
    <row r="409" spans="3:6" x14ac:dyDescent="0.25">
      <c r="C409" s="157"/>
      <c r="E409" s="157"/>
    </row>
    <row r="410" spans="3:6" x14ac:dyDescent="0.25">
      <c r="C410" s="157"/>
      <c r="D410" t="s">
        <v>637</v>
      </c>
      <c r="E410" s="157" t="str">
        <f>IF(E232="BAD","SHAFT EXTENSION FIT RECORDED AS BAD",IF(E232="GOOD","SHAFT EXTENSION FIT OK",IF(E232="","SHAFT EXTENSION CONDITION UNRECORDED!","")))</f>
        <v>SHAFT EXTENSION CONDITION UNRECORDED!</v>
      </c>
    </row>
    <row r="411" spans="3:6" x14ac:dyDescent="0.25">
      <c r="C411" s="157"/>
      <c r="D411" t="s">
        <v>170</v>
      </c>
      <c r="E411" t="str">
        <f>IF(E196="N/A","KEYWAY CONDITION UNRECORDED",IF(E196="GOOD","OK",IF(E196="DAMAGED","KEYWAY DAMAGED!",IF(E196="NONE","NO KEYWAY",""))))</f>
        <v>KEYWAY CONDITION UNRECORDED</v>
      </c>
    </row>
    <row r="412" spans="3:6" x14ac:dyDescent="0.25">
      <c r="C412" s="157"/>
      <c r="D412" t="s">
        <v>700</v>
      </c>
      <c r="E412" s="212" t="e">
        <f>IF(F56=FALSE,"NO COUPLING",IF(L229&gt;0.0005,"COUPLING OUT OF ROUND BY "&amp;ROUND(L229,4)&amp;"!","OK"))</f>
        <v>#VALUE!</v>
      </c>
    </row>
    <row r="413" spans="3:6" x14ac:dyDescent="0.25">
      <c r="C413" s="157"/>
      <c r="D413" t="s">
        <v>701</v>
      </c>
      <c r="E413" s="157" t="str">
        <f>IF(F56=FALSE,"NO COUPLING",IF(AND(I229="CLEARANCE FIT",I228&gt;0.001),"COUPLING FIT IS BIGGER THAN SHAFT BY "&amp;ROUND(I228,4)&amp;"!","OK"))</f>
        <v>OK</v>
      </c>
    </row>
    <row r="414" spans="3:6" x14ac:dyDescent="0.25">
      <c r="C414" t="s">
        <v>553</v>
      </c>
      <c r="D414" s="157"/>
      <c r="E414" s="157"/>
    </row>
    <row r="415" spans="3:6" x14ac:dyDescent="0.25">
      <c r="D415" t="s">
        <v>708</v>
      </c>
      <c r="E415" s="214" t="str">
        <f>IF(H157="","RESISTANCE TO GROUND READING UNRECORDED",IF(H157&lt;Tolerances!W2,"MEGGER RESULTS RECORDED AS BAD, VERIFY AFTER BAKEDOWN! ("&amp;F157&amp;" "&amp;G157&amp;")","OK"))</f>
        <v>RESISTANCE TO GROUND READING UNRECORDED</v>
      </c>
    </row>
    <row r="416" spans="3:6" x14ac:dyDescent="0.25">
      <c r="C416" s="157"/>
      <c r="D416" t="s">
        <v>702</v>
      </c>
      <c r="E416" s="213" t="str">
        <f>IF(K182="","AMPS UNRECORDED",IF(K182&gt;Tolerances!AC3,"TEST AMPERAGE WAS "&amp;ROUND(K182*100,1)&amp;"% OF NAMEPLATE AMPERAGE!","OK"))</f>
        <v>AMPS UNRECORDED</v>
      </c>
    </row>
    <row r="417" spans="3:8" x14ac:dyDescent="0.25">
      <c r="C417" s="157"/>
      <c r="D417" t="s">
        <v>703</v>
      </c>
      <c r="E417" s="157" t="str">
        <f>IF(J182="","AMPS UNRECORDED",IF(J182&gt;Tolerances!AC2,"WARNING: TEST AMPERAGE HAD "&amp;ROUND(J182*100,1)&amp;"% DIFFERENCE ACROSS LINES!","OK"))</f>
        <v>AMPS UNRECORDED</v>
      </c>
    </row>
    <row r="418" spans="3:8" x14ac:dyDescent="0.25">
      <c r="C418" s="157"/>
      <c r="D418" t="s">
        <v>258</v>
      </c>
      <c r="E418" s="100" t="str">
        <f>IF(OR(F160="",F161="",F162="",I160=1,I161=1,I162=1),"OHMS NOT RECORDED",IF(OR(H160&gt;Tolerances!W3,H161&gt;Tolerances!W3,H162&gt;Tolerances!W3),"WINDING RESISTANCE HIGHER THAN TOLERANCE! (RECORDED AS "&amp;J160&amp;" Ohms)","OK"))</f>
        <v>OHMS NOT RECORDED</v>
      </c>
    </row>
    <row r="419" spans="3:8" x14ac:dyDescent="0.25">
      <c r="C419" s="157"/>
      <c r="D419" t="s">
        <v>706</v>
      </c>
      <c r="E419" s="157" t="str">
        <f>IF(OR(F160="",F161="",F162="",I160=1,I161=1,I162=1),"OHMS NOT RECORDED",IF(K160&gt;Tolerances!W4,"WINDING RESISTANCE RECORDED AS HAVING DIFFERENCE OF %"&amp;ROUND(K160*100,1)&amp;"!",IF(K160&lt;Tolerances!W4,"OK","")))</f>
        <v>OHMS NOT RECORDED</v>
      </c>
    </row>
    <row r="420" spans="3:8" x14ac:dyDescent="0.25">
      <c r="C420" s="157"/>
      <c r="D420" t="s">
        <v>360</v>
      </c>
      <c r="E420" t="str">
        <f>IF(E313="FAIL","SURGE TEST RECORDED AS FAILED!",IF(E313="PASS","OK","SURGE TEST NOT RECORDED"))</f>
        <v>SURGE TEST NOT RECORDED</v>
      </c>
    </row>
    <row r="421" spans="3:8" x14ac:dyDescent="0.25">
      <c r="C421" s="157"/>
      <c r="D421" t="s">
        <v>711</v>
      </c>
      <c r="E421" s="157" t="str">
        <f>IF(F313="FAIL","HIPOT TEST RECORDED AS FAILED!",IF(F313="PASS","OK","HIPOT TEST NOT RECORDED"))</f>
        <v>HIPOT TEST NOT RECORDED</v>
      </c>
    </row>
    <row r="422" spans="3:8" x14ac:dyDescent="0.25">
      <c r="C422" s="157"/>
      <c r="D422" t="s">
        <v>710</v>
      </c>
      <c r="E422" s="157" t="str">
        <f>IF(OR(F308=2,F308=3,F308=5),"OK",IF(OR(F308=4,F308=6),"ROTOR RECORDED AS FAILING GROWLER/LOW VOLTAGE TEST!","LOW VOLTAGE ROTOR TEST NOT RECORDED"))</f>
        <v>LOW VOLTAGE ROTOR TEST NOT RECORDED</v>
      </c>
    </row>
    <row r="423" spans="3:8" x14ac:dyDescent="0.25">
      <c r="C423" s="157"/>
      <c r="D423" t="s">
        <v>609</v>
      </c>
      <c r="E423" s="157" t="str">
        <f>IF(F129=1,"LEAD CONDITION NOT RECORDED",IF(F129=2,"OK",IF(F129=3,"LEADS ARE DAMAGED!",IF(F129=4,"LEADS RECORDED AS UNREPAIRABLE!",IF(F129=5,"LEADS RECORDED AS TOO SHORT!","ERROR")))))</f>
        <v>LEAD CONDITION NOT RECORDED</v>
      </c>
    </row>
    <row r="424" spans="3:8" x14ac:dyDescent="0.25">
      <c r="C424" t="s">
        <v>817</v>
      </c>
      <c r="E424" s="157" t="s">
        <v>131</v>
      </c>
    </row>
    <row r="425" spans="3:8" s="611" customFormat="1" x14ac:dyDescent="0.25">
      <c r="E425" s="604"/>
    </row>
    <row r="426" spans="3:8" s="611" customFormat="1" x14ac:dyDescent="0.25">
      <c r="E426" s="604"/>
    </row>
    <row r="427" spans="3:8" s="611" customFormat="1" x14ac:dyDescent="0.25">
      <c r="D427" t="s">
        <v>720</v>
      </c>
      <c r="E427"/>
      <c r="F427"/>
      <c r="G427" t="str">
        <f t="shared" ref="G427:G430" si="4">IF(H427=1,"Yes",IF(H427=2,"No","N/A"))</f>
        <v>N/A</v>
      </c>
      <c r="H427" s="157">
        <v>0</v>
      </c>
    </row>
    <row r="428" spans="3:8" s="611" customFormat="1" x14ac:dyDescent="0.25">
      <c r="D428" t="s">
        <v>756</v>
      </c>
      <c r="E428"/>
      <c r="F428"/>
      <c r="G428" t="str">
        <f t="shared" si="4"/>
        <v>N/A</v>
      </c>
      <c r="H428">
        <v>0</v>
      </c>
    </row>
    <row r="429" spans="3:8" s="611" customFormat="1" x14ac:dyDescent="0.25">
      <c r="D429" t="s">
        <v>719</v>
      </c>
      <c r="E429"/>
      <c r="F429"/>
      <c r="G429" t="str">
        <f t="shared" si="4"/>
        <v>N/A</v>
      </c>
      <c r="H429" s="157">
        <v>0</v>
      </c>
    </row>
    <row r="430" spans="3:8" s="611" customFormat="1" x14ac:dyDescent="0.25">
      <c r="D430" t="s">
        <v>725</v>
      </c>
      <c r="E430"/>
      <c r="F430"/>
      <c r="G430" t="str">
        <f t="shared" si="4"/>
        <v>N/A</v>
      </c>
      <c r="H430">
        <v>0</v>
      </c>
    </row>
    <row r="431" spans="3:8" s="611" customFormat="1" x14ac:dyDescent="0.25"/>
    <row r="432" spans="3:8" s="611" customFormat="1" x14ac:dyDescent="0.25"/>
    <row r="433" spans="1:8" s="611" customFormat="1" x14ac:dyDescent="0.25"/>
    <row r="434" spans="1:8" s="611" customFormat="1" x14ac:dyDescent="0.25"/>
    <row r="435" spans="1:8" s="611" customFormat="1" x14ac:dyDescent="0.25"/>
    <row r="436" spans="1:8" s="611" customFormat="1" x14ac:dyDescent="0.25"/>
    <row r="437" spans="1:8" s="611" customFormat="1" x14ac:dyDescent="0.25"/>
    <row r="438" spans="1:8" s="611" customFormat="1" x14ac:dyDescent="0.25">
      <c r="D438" t="s">
        <v>648</v>
      </c>
      <c r="E438" t="s">
        <v>131</v>
      </c>
      <c r="F438"/>
      <c r="G438" s="157"/>
      <c r="H438"/>
    </row>
    <row r="439" spans="1:8" s="611" customFormat="1" ht="19.5" thickBot="1" x14ac:dyDescent="0.3">
      <c r="A439" s="1432" t="s">
        <v>1492</v>
      </c>
      <c r="B439" s="1432"/>
      <c r="C439" s="1432"/>
      <c r="D439" s="1432"/>
      <c r="E439" s="1432"/>
      <c r="F439" s="1432"/>
    </row>
    <row r="440" spans="1:8" s="611" customFormat="1" ht="19.5" thickBot="1" x14ac:dyDescent="0.3">
      <c r="A440" s="710"/>
      <c r="B440" s="710"/>
      <c r="C440" s="17">
        <f>SUM(C441:C453)</f>
        <v>0</v>
      </c>
      <c r="D440" s="267" t="s">
        <v>728</v>
      </c>
      <c r="E440" s="710"/>
      <c r="F440" s="710"/>
    </row>
    <row r="441" spans="1:8" s="611" customFormat="1" ht="15.75" thickBot="1" x14ac:dyDescent="0.3">
      <c r="B441" s="20"/>
      <c r="C441" s="20">
        <f>IF(AND(B441="X",F441=0),1,0)</f>
        <v>0</v>
      </c>
      <c r="D441" s="611" t="s">
        <v>175</v>
      </c>
      <c r="E441" s="704"/>
      <c r="F441" s="17">
        <v>0</v>
      </c>
      <c r="G441" s="611" t="b">
        <f>IF(F441=1,TRUE,FALSE)</f>
        <v>0</v>
      </c>
    </row>
    <row r="442" spans="1:8" s="611" customFormat="1" x14ac:dyDescent="0.25">
      <c r="B442" s="20" t="s">
        <v>518</v>
      </c>
      <c r="C442" s="20">
        <f>IF(AND(B442="X",F441=1,F442=""),1,0)</f>
        <v>0</v>
      </c>
      <c r="D442" s="611" t="s">
        <v>142</v>
      </c>
      <c r="E442" s="611" t="str">
        <f>IF('Released Acc'!G8="","N/A",'Released Acc'!G8)</f>
        <v>N/A</v>
      </c>
      <c r="F442" s="703" t="str">
        <f>IF(F452=2,E86,"")</f>
        <v/>
      </c>
    </row>
    <row r="443" spans="1:8" s="611" customFormat="1" x14ac:dyDescent="0.25">
      <c r="B443" s="20"/>
      <c r="C443" s="20"/>
      <c r="D443" s="611" t="s">
        <v>1283</v>
      </c>
      <c r="E443" s="703" t="str">
        <f>IF('Released Acc'!D10="","N/A",'Released Acc'!D10)</f>
        <v>N/A</v>
      </c>
      <c r="F443" s="611" t="str">
        <f>IF(F452=2,E87,"")</f>
        <v/>
      </c>
    </row>
    <row r="444" spans="1:8" s="611" customFormat="1" x14ac:dyDescent="0.25">
      <c r="B444" s="20" t="s">
        <v>518</v>
      </c>
      <c r="C444" s="20">
        <f>IF(AND(B444="X",F441=1,E444=""),1,0)</f>
        <v>0</v>
      </c>
      <c r="D444" s="438" t="s">
        <v>1265</v>
      </c>
      <c r="E444" s="931" t="str">
        <f>IF('Released Acc'!H10="","N/A",'Released Acc'!H10)</f>
        <v>N/A</v>
      </c>
      <c r="F444" s="611" t="str">
        <f>IF(F452=2,E88,"")</f>
        <v/>
      </c>
    </row>
    <row r="445" spans="1:8" s="611" customFormat="1" ht="15.75" thickBot="1" x14ac:dyDescent="0.3">
      <c r="B445" s="20"/>
      <c r="C445" s="20"/>
      <c r="D445" s="438" t="s">
        <v>1284</v>
      </c>
      <c r="E445" s="931" t="str">
        <f>IF('Released Acc'!D12="","N/A",'Released Acc'!D12)</f>
        <v>N/A</v>
      </c>
      <c r="F445" s="611" t="str">
        <f>IF(F452=2,E89,"")</f>
        <v/>
      </c>
    </row>
    <row r="446" spans="1:8" s="611" customFormat="1" ht="15.75" thickBot="1" x14ac:dyDescent="0.3">
      <c r="B446" s="20" t="s">
        <v>518</v>
      </c>
      <c r="C446" s="20">
        <f>IF(AND(B446="X",F441=1,E446=""),1,0)</f>
        <v>0</v>
      </c>
      <c r="D446" s="438" t="s">
        <v>1267</v>
      </c>
      <c r="E446" s="704" t="str">
        <f>IF(F452=2,IF(VLOOKUP(F446,Data!DF2:DG7,2,FALSE)="","N/A",VLOOKUP(F446,Data!DF2:DG7,2,FALSE)),"N/A")</f>
        <v>N/A</v>
      </c>
      <c r="F446" s="129">
        <f>IF(F452=2,F90,1)</f>
        <v>1</v>
      </c>
    </row>
    <row r="447" spans="1:8" s="611" customFormat="1" ht="15.75" thickBot="1" x14ac:dyDescent="0.3">
      <c r="B447" s="20"/>
      <c r="C447" s="20"/>
      <c r="D447" s="438" t="s">
        <v>1285</v>
      </c>
      <c r="E447" s="931" t="str">
        <f>IF('Released Acc'!D14="","N/A",'Released Acc'!D14)</f>
        <v>N/A</v>
      </c>
      <c r="F447" s="611" t="str">
        <f>IF(F452=2,E91,"")</f>
        <v/>
      </c>
    </row>
    <row r="448" spans="1:8" s="611" customFormat="1" ht="15.75" thickBot="1" x14ac:dyDescent="0.3">
      <c r="B448" s="20" t="s">
        <v>518</v>
      </c>
      <c r="C448" s="20">
        <f>IF(AND(B448="X",F441=1,E448=""),1,0)</f>
        <v>0</v>
      </c>
      <c r="D448" s="438" t="s">
        <v>1286</v>
      </c>
      <c r="E448" s="704" t="str">
        <f>IF(VLOOKUP(F448,Data!DH2:DI5,2,FALSE)="","N/A",VLOOKUP(F448,Data!DH2:DI5,2,FALSE))</f>
        <v>N/A</v>
      </c>
      <c r="F448" s="129">
        <f>IF(F452=2,F92,1)</f>
        <v>1</v>
      </c>
    </row>
    <row r="449" spans="2:7" s="611" customFormat="1" ht="15.75" thickBot="1" x14ac:dyDescent="0.3">
      <c r="B449" s="20" t="s">
        <v>518</v>
      </c>
      <c r="C449" s="20">
        <f>IF(AND(B449="X",F441=1,E449=""),1,0)</f>
        <v>0</v>
      </c>
      <c r="D449" s="438" t="s">
        <v>1266</v>
      </c>
      <c r="E449" s="931" t="str">
        <f>IF('Released Acc'!D17="","N/A",'Released Acc'!D17)</f>
        <v>N/A</v>
      </c>
      <c r="F449" s="611" t="str">
        <f>IF(F452=2,E119,"")</f>
        <v/>
      </c>
    </row>
    <row r="450" spans="2:7" s="611" customFormat="1" ht="15.75" thickBot="1" x14ac:dyDescent="0.3">
      <c r="B450" s="20" t="s">
        <v>518</v>
      </c>
      <c r="C450" s="20">
        <f>IF(AND(B450="X",F441=1,E450=""),1,0)</f>
        <v>0</v>
      </c>
      <c r="D450" s="438" t="s">
        <v>1287</v>
      </c>
      <c r="E450" s="704" t="str">
        <f>IF(VLOOKUP(F450,Data!DJ2:DK5,2,FALSE)="","N/A",VLOOKUP(F450,Data!DJ2:DK5,2,FALSE))</f>
        <v>N/A</v>
      </c>
      <c r="F450" s="129">
        <f>IF(F452=2,F94,1)</f>
        <v>1</v>
      </c>
    </row>
    <row r="451" spans="2:7" s="611" customFormat="1" ht="15.75" thickBot="1" x14ac:dyDescent="0.3">
      <c r="B451" s="20" t="s">
        <v>518</v>
      </c>
      <c r="C451" s="20">
        <f>IF(AND(B451="X",F441=1,E451=""),1,0)</f>
        <v>0</v>
      </c>
      <c r="D451" s="438" t="s">
        <v>1264</v>
      </c>
      <c r="E451" s="703" t="str">
        <f>IF('Released Acc'!H12="","N/A",'Released Acc'!H12)</f>
        <v>N/A</v>
      </c>
      <c r="F451" s="611" t="str">
        <f>IF(F452=2,E95,"")</f>
        <v/>
      </c>
    </row>
    <row r="452" spans="2:7" s="611" customFormat="1" ht="15.75" thickBot="1" x14ac:dyDescent="0.3">
      <c r="B452" s="20" t="s">
        <v>518</v>
      </c>
      <c r="C452" s="20">
        <f>IF(AND(B452="X",F441=1,F452=1),1,0)</f>
        <v>0</v>
      </c>
      <c r="D452" s="438" t="s">
        <v>1274</v>
      </c>
      <c r="E452" s="723" t="str">
        <f>IF(VLOOKUP(F452,Data!BV2:BW5,2,FALSE)="","N/A",VLOOKUP(F452,Data!BV2:BW5,2,FALSE))</f>
        <v>N/A</v>
      </c>
      <c r="F452" s="17">
        <v>1</v>
      </c>
    </row>
    <row r="453" spans="2:7" s="611" customFormat="1" x14ac:dyDescent="0.25">
      <c r="B453" s="20"/>
      <c r="C453" s="20">
        <f>IF(AND(B453="X",E453=""),1,0)</f>
        <v>0</v>
      </c>
      <c r="D453" s="611" t="s">
        <v>143</v>
      </c>
      <c r="E453" s="703" t="s">
        <v>131</v>
      </c>
      <c r="F453" s="702"/>
    </row>
    <row r="454" spans="2:7" s="611" customFormat="1" ht="16.5" thickBot="1" x14ac:dyDescent="0.3">
      <c r="C454" s="514">
        <f>SUM(C455:C469)</f>
        <v>0</v>
      </c>
      <c r="D454" s="267" t="s">
        <v>1349</v>
      </c>
      <c r="E454" s="702"/>
      <c r="F454" s="702"/>
    </row>
    <row r="455" spans="2:7" s="611" customFormat="1" ht="15.75" thickBot="1" x14ac:dyDescent="0.3">
      <c r="B455" s="20"/>
      <c r="C455" s="345"/>
      <c r="D455" s="611" t="str">
        <f>"RTD  found:"</f>
        <v>RTD  found:</v>
      </c>
      <c r="E455" s="704"/>
      <c r="F455" s="356">
        <v>0</v>
      </c>
      <c r="G455" s="611" t="b">
        <f>IF(OR(F455=1,F462=1),TRUE,FALSE)</f>
        <v>0</v>
      </c>
    </row>
    <row r="456" spans="2:7" s="611" customFormat="1" x14ac:dyDescent="0.25">
      <c r="B456" s="20" t="s">
        <v>518</v>
      </c>
      <c r="C456" s="20">
        <f>IF(AND(B456="X",F455=1,E456=""),1,0)</f>
        <v>0</v>
      </c>
      <c r="D456" s="611" t="s">
        <v>1271</v>
      </c>
      <c r="E456" s="703" t="str">
        <f>IF('Released Acc'!R10="","N/A",'Released Acc'!R10)</f>
        <v>N/A</v>
      </c>
      <c r="F456" s="873" t="str">
        <f>IF(F461=2,E100,"")</f>
        <v/>
      </c>
    </row>
    <row r="457" spans="2:7" s="611" customFormat="1" x14ac:dyDescent="0.25">
      <c r="B457" s="20" t="s">
        <v>518</v>
      </c>
      <c r="C457" s="20">
        <f>IF(AND(B457="X",F455=1,E457=""),1,0)</f>
        <v>0</v>
      </c>
      <c r="D457" s="611" t="s">
        <v>1270</v>
      </c>
      <c r="E457" s="931" t="str">
        <f>IF('Released Acc'!O12="","N/A",'Released Acc'!O12)</f>
        <v>N/A</v>
      </c>
      <c r="F457" s="873" t="str">
        <f>IF(F461=2,E101,"")</f>
        <v/>
      </c>
    </row>
    <row r="458" spans="2:7" s="611" customFormat="1" x14ac:dyDescent="0.25">
      <c r="B458" s="20" t="s">
        <v>518</v>
      </c>
      <c r="C458" s="20">
        <f>IF(AND(B458="X",F455=1,E458=""),1,0)</f>
        <v>0</v>
      </c>
      <c r="D458" s="438" t="s">
        <v>1269</v>
      </c>
      <c r="E458" s="931" t="str">
        <f>IF('Released Acc'!T12="","N/A",'Released Acc'!T12)</f>
        <v>N/A</v>
      </c>
      <c r="F458" s="873" t="str">
        <f>IF(F461=2,E102,"")</f>
        <v/>
      </c>
    </row>
    <row r="459" spans="2:7" s="611" customFormat="1" ht="15.75" thickBot="1" x14ac:dyDescent="0.3">
      <c r="B459" s="20" t="s">
        <v>518</v>
      </c>
      <c r="C459" s="20">
        <f>IF(AND(B459="X",F455=1,E459=""),1,0)</f>
        <v>0</v>
      </c>
      <c r="D459" s="438" t="s">
        <v>1268</v>
      </c>
      <c r="E459" s="703" t="str">
        <f>IF('Released Acc'!O14="","N/A",'Released Acc'!O14)</f>
        <v>N/A</v>
      </c>
      <c r="F459" s="873" t="str">
        <f>IF(F461=2,E103,"")</f>
        <v/>
      </c>
    </row>
    <row r="460" spans="2:7" s="611" customFormat="1" ht="15.75" thickBot="1" x14ac:dyDescent="0.3">
      <c r="B460" s="20" t="s">
        <v>518</v>
      </c>
      <c r="C460" s="20">
        <f>IF(AND(B460="X",F455=1,E460=""),1,0)</f>
        <v>0</v>
      </c>
      <c r="D460" s="438" t="s">
        <v>1272</v>
      </c>
      <c r="E460" s="704" t="str">
        <f>IF(VLOOKUP(F460,Data!DF2:DG7,2,FALSE)="","N/A",VLOOKUP(F460,Data!DF2:DG7,2,FALSE))</f>
        <v>N/A</v>
      </c>
      <c r="F460" s="350">
        <f>IF(F461=2,F104,1)</f>
        <v>1</v>
      </c>
    </row>
    <row r="461" spans="2:7" s="611" customFormat="1" ht="15.75" thickBot="1" x14ac:dyDescent="0.3">
      <c r="B461" s="20" t="s">
        <v>518</v>
      </c>
      <c r="C461" s="20">
        <f>IF(AND(B461="X",F455=1,E461="N/A"),1,0)</f>
        <v>0</v>
      </c>
      <c r="D461" s="611" t="s">
        <v>1273</v>
      </c>
      <c r="E461" s="704" t="str">
        <f>IF(VLOOKUP(F461,Data!BV2:BW5,2,FALSE)="","N/A",VLOOKUP(F461,Data!BV2:BW5,2,FALSE))</f>
        <v>N/A</v>
      </c>
      <c r="F461" s="17">
        <v>1</v>
      </c>
    </row>
    <row r="462" spans="2:7" s="611" customFormat="1" ht="15.75" thickBot="1" x14ac:dyDescent="0.3">
      <c r="B462" s="20"/>
      <c r="C462" s="20"/>
      <c r="D462" s="611" t="s">
        <v>1275</v>
      </c>
      <c r="E462" s="704"/>
      <c r="F462" s="17">
        <v>0</v>
      </c>
    </row>
    <row r="463" spans="2:7" s="611" customFormat="1" x14ac:dyDescent="0.25">
      <c r="B463" s="20" t="s">
        <v>518</v>
      </c>
      <c r="C463" s="20">
        <f>IF(AND(B463="X",F462=1,E463=""),1,0)</f>
        <v>0</v>
      </c>
      <c r="D463" s="611" t="s">
        <v>1276</v>
      </c>
      <c r="E463" s="931" t="str">
        <f>IF('Released Acc'!R21="","N/A",'Released Acc'!R21)</f>
        <v>N/A</v>
      </c>
      <c r="F463" s="611" t="str">
        <f>IF(F468=2,E107,"")</f>
        <v/>
      </c>
    </row>
    <row r="464" spans="2:7" s="611" customFormat="1" x14ac:dyDescent="0.25">
      <c r="B464" s="20" t="s">
        <v>518</v>
      </c>
      <c r="C464" s="20">
        <f>IF(AND(B464="X",F462=1,E464=""),1,0)</f>
        <v>0</v>
      </c>
      <c r="D464" s="611" t="s">
        <v>1277</v>
      </c>
      <c r="E464" s="931" t="str">
        <f>IF('Released Acc'!O23="","N/A",'Released Acc'!O23)</f>
        <v>N/A</v>
      </c>
      <c r="F464" s="873" t="str">
        <f>IF(F468=2,E108,"")</f>
        <v/>
      </c>
    </row>
    <row r="465" spans="2:7" s="611" customFormat="1" x14ac:dyDescent="0.25">
      <c r="B465" s="20" t="s">
        <v>518</v>
      </c>
      <c r="C465" s="20">
        <f>IF(AND(B465="X",F462=1,E465=""),1,0)</f>
        <v>0</v>
      </c>
      <c r="D465" s="438" t="s">
        <v>1278</v>
      </c>
      <c r="E465" s="703" t="str">
        <f>IF('Released Acc'!T23="","N/A",'Released Acc'!T23)</f>
        <v>N/A</v>
      </c>
      <c r="F465" s="873" t="str">
        <f>IF(F468=2,E109,"")</f>
        <v/>
      </c>
    </row>
    <row r="466" spans="2:7" s="611" customFormat="1" ht="15.75" thickBot="1" x14ac:dyDescent="0.3">
      <c r="B466" s="20" t="s">
        <v>518</v>
      </c>
      <c r="C466" s="20">
        <f>IF(AND(B466="X",F462=1,E466=""),1,0)</f>
        <v>0</v>
      </c>
      <c r="D466" s="438" t="s">
        <v>1279</v>
      </c>
      <c r="E466" s="703" t="str">
        <f>IF('Released Acc'!O25="","N/A",'Released Acc'!O25)</f>
        <v>N/A</v>
      </c>
      <c r="F466" s="873" t="str">
        <f>IF(F468=2,E110,"")</f>
        <v/>
      </c>
    </row>
    <row r="467" spans="2:7" s="611" customFormat="1" ht="15.75" thickBot="1" x14ac:dyDescent="0.3">
      <c r="B467" s="20" t="s">
        <v>518</v>
      </c>
      <c r="C467" s="20">
        <f>IF(AND(B467="X",F462=1,E467=""),1,0)</f>
        <v>0</v>
      </c>
      <c r="D467" s="438" t="s">
        <v>1280</v>
      </c>
      <c r="E467" s="704" t="str">
        <f>IF(VLOOKUP(F467,Data!DF2:DG7,2,FALSE)="","N/A",VLOOKUP(F467,Data!DF2:DG7,2,FALSE))</f>
        <v>N/A</v>
      </c>
      <c r="F467" s="350">
        <f>IF(F468=2,F111,1)</f>
        <v>1</v>
      </c>
    </row>
    <row r="468" spans="2:7" s="611" customFormat="1" ht="15.75" thickBot="1" x14ac:dyDescent="0.3">
      <c r="B468" s="20" t="s">
        <v>518</v>
      </c>
      <c r="C468" s="20">
        <f>IF(AND(B468="X",F462=1,E468="N/A"),1,0)</f>
        <v>0</v>
      </c>
      <c r="D468" s="611" t="s">
        <v>1281</v>
      </c>
      <c r="E468" s="704" t="str">
        <f>IF(VLOOKUP(F468,Data!BV2:BW5,2,FALSE)="","N/A",VLOOKUP(F468,Data!BV2:BW5,2,FALSE))</f>
        <v>N/A</v>
      </c>
      <c r="F468" s="17">
        <v>1</v>
      </c>
    </row>
    <row r="469" spans="2:7" s="611" customFormat="1" ht="15.75" thickBot="1" x14ac:dyDescent="0.3">
      <c r="B469" s="20"/>
      <c r="C469" s="20">
        <f>IF(AND(B469="X",F462=1,E469=""),1,0)</f>
        <v>0</v>
      </c>
      <c r="D469" s="611" t="s">
        <v>577</v>
      </c>
      <c r="E469" s="703" t="s">
        <v>131</v>
      </c>
    </row>
    <row r="470" spans="2:7" s="611" customFormat="1" ht="16.5" thickBot="1" x14ac:dyDescent="0.3">
      <c r="C470" s="17">
        <f>SUM(C471:C479)</f>
        <v>0</v>
      </c>
      <c r="D470" s="267" t="s">
        <v>1197</v>
      </c>
      <c r="E470" s="702"/>
    </row>
    <row r="471" spans="2:7" s="611" customFormat="1" ht="15.75" thickBot="1" x14ac:dyDescent="0.3">
      <c r="B471" s="20"/>
      <c r="C471" s="345"/>
      <c r="D471" s="611" t="s">
        <v>1288</v>
      </c>
      <c r="E471" s="704" t="b">
        <v>0</v>
      </c>
      <c r="F471" s="17">
        <v>0</v>
      </c>
      <c r="G471" s="611" t="b">
        <f>IF(F471=1,TRUE,FALSE)</f>
        <v>0</v>
      </c>
    </row>
    <row r="472" spans="2:7" s="611" customFormat="1" x14ac:dyDescent="0.25">
      <c r="B472" s="20" t="s">
        <v>518</v>
      </c>
      <c r="C472" s="20">
        <f>IF(AND(B472="X",F471=1,E472=""),1,0)</f>
        <v>0</v>
      </c>
      <c r="D472" s="611" t="s">
        <v>1289</v>
      </c>
      <c r="E472" s="703" t="str">
        <f>IF('Released Acc'!E32="","N/A",'Released Acc'!E32)</f>
        <v>N/A</v>
      </c>
      <c r="F472" s="611" t="str">
        <f>IF(F478=2,E116,"")</f>
        <v/>
      </c>
    </row>
    <row r="473" spans="2:7" s="611" customFormat="1" x14ac:dyDescent="0.25">
      <c r="B473" s="20" t="s">
        <v>518</v>
      </c>
      <c r="C473" s="20">
        <f>IF(AND(B473="X",F471=1,E473=""),1,0)</f>
        <v>0</v>
      </c>
      <c r="D473" s="611" t="s">
        <v>1290</v>
      </c>
      <c r="E473" s="703" t="str">
        <f>IF('Released Acc'!D36="","N/A",'Released Acc'!D36)</f>
        <v>N/A</v>
      </c>
      <c r="F473" s="611" t="str">
        <f>IF(F478=2,E117,"")</f>
        <v/>
      </c>
    </row>
    <row r="474" spans="2:7" s="611" customFormat="1" x14ac:dyDescent="0.25">
      <c r="B474" s="20" t="s">
        <v>518</v>
      </c>
      <c r="C474" s="20">
        <f>IF(AND(B474="X",F471=1,E474=""),1,0)</f>
        <v>0</v>
      </c>
      <c r="D474" s="611" t="s">
        <v>1291</v>
      </c>
      <c r="E474" s="703" t="str">
        <f>IF('Released Acc'!H34="","N/A",'Released Acc'!H34)</f>
        <v>N/A</v>
      </c>
      <c r="F474" s="611" t="str">
        <f>IF(F478=2,E118,"")</f>
        <v/>
      </c>
    </row>
    <row r="475" spans="2:7" s="611" customFormat="1" ht="15.75" thickBot="1" x14ac:dyDescent="0.3">
      <c r="B475" s="20" t="s">
        <v>518</v>
      </c>
      <c r="C475" s="20">
        <f>IF(AND(B475="X",F471=1,E475=""),1,0)</f>
        <v>0</v>
      </c>
      <c r="D475" s="611" t="s">
        <v>1292</v>
      </c>
      <c r="E475" s="703" t="str">
        <f>IF('Released Acc'!D38="","N/A",'Released Acc'!D38)</f>
        <v>N/A</v>
      </c>
      <c r="F475" s="611" t="str">
        <f>IF(F478=2,E119,"")</f>
        <v/>
      </c>
    </row>
    <row r="476" spans="2:7" s="611" customFormat="1" ht="15.75" thickBot="1" x14ac:dyDescent="0.3">
      <c r="B476" s="20" t="s">
        <v>518</v>
      </c>
      <c r="C476" s="20">
        <f>IF(AND(B476="X",F471=1,E476=""),1,0)</f>
        <v>0</v>
      </c>
      <c r="D476" s="611" t="s">
        <v>1293</v>
      </c>
      <c r="E476" s="704" t="str">
        <f>IF(VLOOKUP(F476,Data!DF2:DG7,2,FALSE)="","N/A",VLOOKUP(F476,Data!DF2:DG7,2,FALSE))</f>
        <v>N/A</v>
      </c>
      <c r="F476" s="17">
        <f>IF(F478=2,F120,1)</f>
        <v>1</v>
      </c>
    </row>
    <row r="477" spans="2:7" s="611" customFormat="1" ht="15.75" thickBot="1" x14ac:dyDescent="0.3">
      <c r="B477" s="20" t="s">
        <v>518</v>
      </c>
      <c r="C477" s="20">
        <f>IF(AND(B477="X",F471=1,E477=""),1,0)</f>
        <v>0</v>
      </c>
      <c r="D477" s="611" t="s">
        <v>1294</v>
      </c>
      <c r="E477" s="704" t="str">
        <f>IF(VLOOKUP(F477,Data!DL2:DM4,2,FALSE)="","N/A",VLOOKUP(F477,Data!DL2:DM4,2,FALSE))</f>
        <v>N/A</v>
      </c>
      <c r="F477" s="17">
        <f>IF(F478=2,F121,1)</f>
        <v>1</v>
      </c>
    </row>
    <row r="478" spans="2:7" s="611" customFormat="1" ht="15.75" thickBot="1" x14ac:dyDescent="0.3">
      <c r="B478" s="20" t="s">
        <v>518</v>
      </c>
      <c r="C478" s="20">
        <f>IF(AND(B478="X",F471=1,E478="N/A"),1,0)</f>
        <v>0</v>
      </c>
      <c r="D478" s="611" t="s">
        <v>1295</v>
      </c>
      <c r="E478" s="704" t="str">
        <f>IF(VLOOKUP(F478,Data!BV2:BW5,2,FALSE)="","N/A",VLOOKUP(F478,Data!BV2:BW5,2,FALSE))</f>
        <v>N/A</v>
      </c>
      <c r="F478" s="514">
        <v>1</v>
      </c>
    </row>
    <row r="479" spans="2:7" s="611" customFormat="1" x14ac:dyDescent="0.25">
      <c r="B479" s="20"/>
      <c r="C479" s="20">
        <f>IF(AND(B479="X",F478=1,E479=""),1,0)</f>
        <v>0</v>
      </c>
      <c r="D479" s="611" t="s">
        <v>1296</v>
      </c>
      <c r="E479" s="703" t="s">
        <v>131</v>
      </c>
    </row>
    <row r="480" spans="2:7" s="611" customFormat="1" ht="16.5" thickBot="1" x14ac:dyDescent="0.3">
      <c r="D480" s="267" t="s">
        <v>1541</v>
      </c>
      <c r="E480" s="604"/>
    </row>
    <row r="481" spans="1:12" s="611" customFormat="1" ht="15.75" thickBot="1" x14ac:dyDescent="0.3">
      <c r="D481" s="863" t="s">
        <v>1538</v>
      </c>
      <c r="F481" s="611" t="str">
        <f>IF(G481=1,"Yes",IF(G481=2,"No","N/A"))</f>
        <v>N/A</v>
      </c>
      <c r="G481" s="864">
        <v>0</v>
      </c>
      <c r="H481" s="20" t="str">
        <f>IF('Released Acc'!AA30="","",'Released Acc'!AA30)</f>
        <v/>
      </c>
    </row>
    <row r="482" spans="1:12" s="611" customFormat="1" ht="15.75" thickBot="1" x14ac:dyDescent="0.3">
      <c r="D482" s="863" t="s">
        <v>1539</v>
      </c>
      <c r="F482" s="611" t="str">
        <f t="shared" ref="F482:F483" si="5">IF(G482=1,"Yes",IF(G482=2,"No","N/A"))</f>
        <v>N/A</v>
      </c>
      <c r="G482" s="864">
        <v>0</v>
      </c>
      <c r="H482" s="20" t="str">
        <f>IF('Released Acc'!AA32="","",'Released Acc'!AA32)</f>
        <v/>
      </c>
    </row>
    <row r="483" spans="1:12" s="611" customFormat="1" ht="15.75" thickBot="1" x14ac:dyDescent="0.3">
      <c r="D483" s="863" t="s">
        <v>1540</v>
      </c>
      <c r="F483" s="611" t="str">
        <f t="shared" si="5"/>
        <v>N/A</v>
      </c>
      <c r="G483" s="864">
        <v>0</v>
      </c>
      <c r="H483" s="20" t="str">
        <f>IF('Released Acc'!AA34="","",'Released Acc'!AA34)</f>
        <v/>
      </c>
    </row>
    <row r="484" spans="1:12" s="611" customFormat="1" x14ac:dyDescent="0.25">
      <c r="D484" t="s">
        <v>726</v>
      </c>
      <c r="E484"/>
      <c r="F484" s="157"/>
      <c r="H484"/>
      <c r="I484"/>
      <c r="J484"/>
    </row>
    <row r="485" spans="1:12" s="611" customFormat="1" ht="15.75" thickBot="1" x14ac:dyDescent="0.3">
      <c r="C485" s="604"/>
      <c r="E485" t="s">
        <v>362</v>
      </c>
      <c r="F485" t="s">
        <v>521</v>
      </c>
      <c r="G485" t="s">
        <v>727</v>
      </c>
    </row>
    <row r="486" spans="1:12" s="611" customFormat="1" ht="15.75" thickBot="1" x14ac:dyDescent="0.3">
      <c r="A486"/>
      <c r="B486"/>
      <c r="C486" s="157"/>
      <c r="D486" t="s">
        <v>610</v>
      </c>
      <c r="E486" s="733" t="str">
        <f>IF(ISBLANK('Released Electrical'!G8),"N/A",'Released Electrical'!G8)</f>
        <v>N/A</v>
      </c>
      <c r="F486" s="751">
        <f>VLOOKUP(G486,Data!AK2:AL7,2,FALSE)</f>
        <v>0</v>
      </c>
      <c r="G486" s="791">
        <v>1</v>
      </c>
      <c r="H486"/>
      <c r="I486"/>
      <c r="J486"/>
    </row>
    <row r="487" spans="1:12" s="611" customFormat="1" x14ac:dyDescent="0.25">
      <c r="A487"/>
      <c r="B487"/>
      <c r="C487" s="157"/>
      <c r="D487" t="s">
        <v>295</v>
      </c>
      <c r="E487" s="20" t="str">
        <f>'Released Electrical'!G10</f>
        <v/>
      </c>
      <c r="F487"/>
      <c r="G487" s="157"/>
      <c r="H487"/>
      <c r="I487"/>
      <c r="J487"/>
    </row>
    <row r="488" spans="1:12" s="611" customFormat="1" ht="15.75" thickBot="1" x14ac:dyDescent="0.3">
      <c r="A488"/>
      <c r="B488"/>
      <c r="C488" s="157"/>
      <c r="D488" t="s">
        <v>258</v>
      </c>
      <c r="E488"/>
      <c r="F488"/>
      <c r="G488"/>
      <c r="H488"/>
      <c r="I488"/>
      <c r="J488"/>
    </row>
    <row r="489" spans="1:12" s="611" customFormat="1" ht="15.75" thickBot="1" x14ac:dyDescent="0.3">
      <c r="A489"/>
      <c r="B489"/>
      <c r="C489" s="157"/>
      <c r="D489" t="s">
        <v>225</v>
      </c>
      <c r="E489" s="20" t="str">
        <f>IF(ISBLANK('Released Electrical'!E23),"N/A",'Released Electrical'!E23)</f>
        <v>N/A</v>
      </c>
      <c r="F489" s="751" t="str">
        <f>VLOOKUP(G489,Data!AK2:AL7,2,FALSE)</f>
        <v>Ohms</v>
      </c>
      <c r="G489" s="17">
        <v>2</v>
      </c>
      <c r="H489" s="752" t="str">
        <f>IFERROR(E489*IF(G489=2,1,IF(G489=3,1000,IF(G489=4,1000000,IF(G489=5,1000000000,IF(G489=6,1000000000000,0))))),"")</f>
        <v/>
      </c>
      <c r="I489"/>
      <c r="J489"/>
    </row>
    <row r="490" spans="1:12" s="611" customFormat="1" ht="15.75" thickBot="1" x14ac:dyDescent="0.3">
      <c r="A490"/>
      <c r="B490"/>
      <c r="C490" s="157"/>
      <c r="D490" t="s">
        <v>226</v>
      </c>
      <c r="E490" s="20" t="str">
        <f>IF(ISBLANK('Released Electrical'!E25),"N/A",'Released Electrical'!E25)</f>
        <v>N/A</v>
      </c>
      <c r="F490" s="751" t="str">
        <f>VLOOKUP(G490,Data!AK2:AL7,2,FALSE)</f>
        <v>Ohms</v>
      </c>
      <c r="G490" s="791">
        <v>2</v>
      </c>
      <c r="H490" s="752" t="str">
        <f>IFERROR(E490*IF(G490=2,1,IF(G490=3,1000,IF(G490=4,1000000,IF(G490=5,1000000000,IF(G490=6,1000000000000,0))))),"")</f>
        <v/>
      </c>
      <c r="I490"/>
      <c r="J490"/>
    </row>
    <row r="491" spans="1:12" s="611" customFormat="1" ht="15.75" thickBot="1" x14ac:dyDescent="0.3">
      <c r="A491"/>
      <c r="B491"/>
      <c r="C491" s="157"/>
      <c r="D491" t="s">
        <v>227</v>
      </c>
      <c r="E491" s="20" t="str">
        <f>IF(ISBLANK('Released Electrical'!E27),"N/A",'Released Electrical'!E27)</f>
        <v>N/A</v>
      </c>
      <c r="F491" s="751" t="str">
        <f>VLOOKUP(G491,Data!AK2:AL7,2,FALSE)</f>
        <v>Ohms</v>
      </c>
      <c r="G491" s="791">
        <v>2</v>
      </c>
      <c r="H491" s="752" t="str">
        <f>IFERROR(E491*IF(G491=2,1,IF(G491=3,1000,IF(G491=4,1000000,IF(G491=5,1000000000,IF(G491=6,1000000000000,0))))),"")</f>
        <v/>
      </c>
      <c r="I491"/>
      <c r="J491"/>
    </row>
    <row r="492" spans="1:12" s="611" customFormat="1" ht="15.75" thickBot="1" x14ac:dyDescent="0.3">
      <c r="A492"/>
      <c r="B492"/>
      <c r="C492" s="157"/>
      <c r="D492" t="s">
        <v>735</v>
      </c>
      <c r="E492" s="20" t="str">
        <f>IF(ISBLANK('Released Electrical'!G17),"N/A",'Released Electrical'!G17)</f>
        <v>N/A</v>
      </c>
      <c r="F492" s="751">
        <f>VLOOKUP(G492,Data!AK2:AL7,2,FALSE)</f>
        <v>0</v>
      </c>
      <c r="G492" s="17">
        <v>1</v>
      </c>
      <c r="H492"/>
      <c r="I492"/>
      <c r="J492"/>
    </row>
    <row r="493" spans="1:12" s="611" customFormat="1" x14ac:dyDescent="0.25">
      <c r="A493"/>
      <c r="B493"/>
      <c r="C493" s="157"/>
      <c r="D493" t="s">
        <v>295</v>
      </c>
      <c r="E493" s="20" t="str">
        <f>'Released Electrical'!G19</f>
        <v/>
      </c>
      <c r="F493"/>
      <c r="G493"/>
      <c r="H493"/>
      <c r="I493"/>
      <c r="J493"/>
      <c r="K493"/>
      <c r="L493"/>
    </row>
    <row r="494" spans="1:12" s="611" customFormat="1" x14ac:dyDescent="0.25">
      <c r="C494" s="604"/>
      <c r="E494" s="609" t="s">
        <v>290</v>
      </c>
      <c r="F494" s="50" t="s">
        <v>361</v>
      </c>
    </row>
    <row r="495" spans="1:12" s="611" customFormat="1" x14ac:dyDescent="0.25">
      <c r="A495"/>
      <c r="B495"/>
      <c r="C495" s="157"/>
      <c r="D495" t="s">
        <v>360</v>
      </c>
      <c r="E495" s="20" t="str">
        <f>"Pass"</f>
        <v>Pass</v>
      </c>
      <c r="F495" s="362" t="str">
        <f>E310</f>
        <v>N/A</v>
      </c>
      <c r="G495"/>
      <c r="H495"/>
      <c r="I495"/>
      <c r="J495"/>
      <c r="K495"/>
      <c r="L495"/>
    </row>
    <row r="496" spans="1:12" s="611" customFormat="1" x14ac:dyDescent="0.25">
      <c r="A496"/>
      <c r="B496"/>
      <c r="C496" s="157"/>
      <c r="D496" t="s">
        <v>976</v>
      </c>
      <c r="E496" s="20" t="str">
        <f>"Pass"</f>
        <v>Pass</v>
      </c>
      <c r="F496" s="362" t="str">
        <f>F310</f>
        <v>N/A</v>
      </c>
      <c r="G496"/>
      <c r="H496"/>
      <c r="I496"/>
      <c r="J496"/>
      <c r="K496"/>
      <c r="L496"/>
    </row>
    <row r="497" spans="1:13" s="611" customFormat="1" x14ac:dyDescent="0.25">
      <c r="A497"/>
      <c r="B497"/>
      <c r="C497" s="157"/>
      <c r="D497" t="s">
        <v>977</v>
      </c>
      <c r="E497" s="396" t="str">
        <f>F311 &amp; " µAmps"</f>
        <v xml:space="preserve"> µAmps</v>
      </c>
      <c r="F497" s="20"/>
      <c r="G497"/>
      <c r="H497"/>
      <c r="I497"/>
      <c r="J497"/>
      <c r="K497"/>
      <c r="L497"/>
    </row>
    <row r="498" spans="1:13" s="611" customFormat="1" x14ac:dyDescent="0.25">
      <c r="B498"/>
      <c r="C498"/>
      <c r="D498"/>
      <c r="E498" t="s">
        <v>737</v>
      </c>
      <c r="F498" t="s">
        <v>650</v>
      </c>
      <c r="G498" t="s">
        <v>632</v>
      </c>
      <c r="H498" t="s">
        <v>651</v>
      </c>
      <c r="I498" t="s">
        <v>1079</v>
      </c>
      <c r="J498" s="611" t="s">
        <v>1562</v>
      </c>
      <c r="K498" t="s">
        <v>1094</v>
      </c>
      <c r="L498"/>
      <c r="M498"/>
    </row>
    <row r="499" spans="1:13" ht="15.75" thickBot="1" x14ac:dyDescent="0.3">
      <c r="C499" s="157"/>
      <c r="D499" t="s">
        <v>736</v>
      </c>
      <c r="E499" s="20" t="b">
        <v>0</v>
      </c>
      <c r="F499" s="20" t="b">
        <v>0</v>
      </c>
      <c r="G499" s="369" t="b">
        <v>0</v>
      </c>
      <c r="H499" s="20" t="b">
        <v>0</v>
      </c>
      <c r="I499" s="20" t="b">
        <v>0</v>
      </c>
      <c r="J499" s="20" t="b">
        <v>0</v>
      </c>
      <c r="K499" s="20" t="str">
        <f>IF(E499,"Spray Varnish, "&amp;IF(E492,"Dip In Tank, "&amp;IF(G499,"VPI, "&amp;IF(H499,"Glyptal, "&amp;IF(I499,"Epoxy, "&amp;IF(J499,"Red Sealer",""))))),"N/A")</f>
        <v>N/A</v>
      </c>
    </row>
    <row r="500" spans="1:13" x14ac:dyDescent="0.25">
      <c r="C500" s="850"/>
      <c r="D500" t="s">
        <v>743</v>
      </c>
    </row>
    <row r="501" spans="1:13" s="611" customFormat="1" x14ac:dyDescent="0.25">
      <c r="B501" s="20" t="s">
        <v>518</v>
      </c>
      <c r="C501" s="369">
        <f t="shared" ref="C501:C508" si="6">IF(AND(B501="X",E145,E501=FALSE),1,0)</f>
        <v>0</v>
      </c>
      <c r="D501" t="s">
        <v>942</v>
      </c>
      <c r="E501" s="20" t="b">
        <v>0</v>
      </c>
      <c r="F501" s="47"/>
      <c r="G501" s="396"/>
      <c r="H501" s="396"/>
      <c r="I501" s="396"/>
      <c r="J501" s="396"/>
      <c r="K501" s="396"/>
      <c r="L501" s="396"/>
    </row>
    <row r="502" spans="1:13" s="611" customFormat="1" ht="15.75" thickBot="1" x14ac:dyDescent="0.3">
      <c r="B502" s="20" t="s">
        <v>518</v>
      </c>
      <c r="C502" s="369">
        <f t="shared" si="6"/>
        <v>0</v>
      </c>
      <c r="D502" t="s">
        <v>744</v>
      </c>
      <c r="E502" s="20" t="b">
        <v>0</v>
      </c>
      <c r="F502" s="47"/>
      <c r="G502" s="396"/>
      <c r="H502" s="396"/>
      <c r="I502" s="396"/>
      <c r="J502" s="396"/>
      <c r="K502" s="396"/>
      <c r="L502" s="396"/>
    </row>
    <row r="503" spans="1:13" s="611" customFormat="1" ht="15.75" thickBot="1" x14ac:dyDescent="0.3">
      <c r="B503" s="20" t="s">
        <v>518</v>
      </c>
      <c r="C503" s="369">
        <f t="shared" si="6"/>
        <v>0</v>
      </c>
      <c r="D503" t="s">
        <v>944</v>
      </c>
      <c r="E503" s="20" t="b">
        <v>0</v>
      </c>
      <c r="F503" s="20" t="s">
        <v>518</v>
      </c>
      <c r="G503" s="369">
        <f>IF(AND(F503="X",E147,J503=1),1,0)</f>
        <v>0</v>
      </c>
      <c r="H503" s="1" t="s">
        <v>1561</v>
      </c>
      <c r="I503" s="20" t="str">
        <f>IF(VLOOKUP(Unformatted!J503,Data!DD2:DE10,2)="","N/A",VLOOKUP(Unformatted!J503,Data!DD2:DE10,2))</f>
        <v>N/A</v>
      </c>
      <c r="J503" s="852">
        <v>1</v>
      </c>
      <c r="K503" s="396"/>
      <c r="L503" s="396"/>
    </row>
    <row r="504" spans="1:13" s="611" customFormat="1" ht="15.75" thickBot="1" x14ac:dyDescent="0.3">
      <c r="B504" s="20" t="s">
        <v>518</v>
      </c>
      <c r="C504" s="369">
        <f t="shared" si="6"/>
        <v>0</v>
      </c>
      <c r="D504" t="s">
        <v>1530</v>
      </c>
      <c r="E504" s="20" t="b">
        <v>0</v>
      </c>
      <c r="F504" s="20" t="s">
        <v>518</v>
      </c>
      <c r="G504" s="369">
        <f>IF(AND(F504="X",E148,J504=1),1,0)</f>
        <v>0</v>
      </c>
      <c r="H504" s="415" t="s">
        <v>1536</v>
      </c>
      <c r="I504" s="20" t="str">
        <f>IF(VLOOKUP(J504,Data!DT2:DU19,2)="","N/A",VLOOKUP(J504,Data!DT2:DU19,2))</f>
        <v>N/A</v>
      </c>
      <c r="J504" s="852">
        <v>1</v>
      </c>
      <c r="K504" s="396"/>
      <c r="L504" s="396"/>
    </row>
    <row r="505" spans="1:13" s="611" customFormat="1" x14ac:dyDescent="0.25">
      <c r="B505" s="20" t="s">
        <v>518</v>
      </c>
      <c r="C505" s="369">
        <f t="shared" si="6"/>
        <v>0</v>
      </c>
      <c r="D505" t="s">
        <v>943</v>
      </c>
      <c r="E505" s="20" t="b">
        <v>0</v>
      </c>
      <c r="F505" s="47"/>
      <c r="G505" s="396"/>
      <c r="H505" s="396"/>
      <c r="I505" s="396"/>
      <c r="J505" s="396"/>
      <c r="K505" s="396"/>
      <c r="L505" s="396"/>
    </row>
    <row r="506" spans="1:13" s="611" customFormat="1" x14ac:dyDescent="0.25">
      <c r="B506" s="20" t="s">
        <v>518</v>
      </c>
      <c r="C506" s="369">
        <f t="shared" si="6"/>
        <v>0</v>
      </c>
      <c r="D506" t="s">
        <v>745</v>
      </c>
      <c r="E506" s="20" t="b">
        <v>0</v>
      </c>
      <c r="F506" s="47"/>
      <c r="G506" s="396"/>
      <c r="H506" s="396"/>
      <c r="I506" s="396"/>
      <c r="J506" s="396"/>
      <c r="K506" s="396"/>
      <c r="L506" s="396"/>
    </row>
    <row r="507" spans="1:13" s="611" customFormat="1" x14ac:dyDescent="0.25">
      <c r="B507" s="20" t="s">
        <v>518</v>
      </c>
      <c r="C507" s="369">
        <f t="shared" si="6"/>
        <v>0</v>
      </c>
      <c r="D507" t="s">
        <v>945</v>
      </c>
      <c r="E507" s="20" t="b">
        <v>0</v>
      </c>
      <c r="F507" s="47"/>
      <c r="G507" s="396"/>
      <c r="H507" s="396"/>
      <c r="I507" s="396"/>
      <c r="J507" s="396"/>
      <c r="K507" s="396"/>
      <c r="L507" s="396"/>
    </row>
    <row r="508" spans="1:13" s="611" customFormat="1" x14ac:dyDescent="0.25">
      <c r="B508" s="20" t="s">
        <v>518</v>
      </c>
      <c r="C508" s="369">
        <f t="shared" si="6"/>
        <v>0</v>
      </c>
      <c r="D508" t="s">
        <v>946</v>
      </c>
      <c r="E508" s="20" t="b">
        <v>0</v>
      </c>
      <c r="F508" s="47"/>
      <c r="G508" s="396"/>
      <c r="H508" s="396"/>
      <c r="I508" s="396"/>
      <c r="J508" s="396"/>
      <c r="K508" s="396"/>
      <c r="L508" s="396"/>
    </row>
    <row r="509" spans="1:13" x14ac:dyDescent="0.25">
      <c r="B509" s="20"/>
      <c r="C509" s="369"/>
      <c r="D509" t="s">
        <v>1525</v>
      </c>
      <c r="E509" s="1456" t="str">
        <f>IF(E145,D145&amp;", "&amp;IF(E146,D146&amp;", "&amp;IF(E147,D147&amp;", "&amp;IF(E148,D148&amp;", '"&amp;IF(E149,D149&amp;", "&amp;IF(E150,D150&amp;", "&amp;IF(E151,D151&amp;", "&amp;IF(E152,D152,""))))))),"")</f>
        <v/>
      </c>
      <c r="F509" s="1457"/>
      <c r="G509" s="1457"/>
      <c r="H509" s="1457"/>
      <c r="I509" s="1457"/>
      <c r="J509" s="1457"/>
      <c r="K509" s="1458"/>
    </row>
    <row r="510" spans="1:13" s="611" customFormat="1" x14ac:dyDescent="0.25">
      <c r="B510" s="20"/>
      <c r="C510" s="369">
        <f t="shared" ref="C510" si="7">IF(E154,1,0)</f>
        <v>0</v>
      </c>
      <c r="D510" t="s">
        <v>947</v>
      </c>
      <c r="E510" t="s">
        <v>131</v>
      </c>
      <c r="H510" s="611" t="s">
        <v>1584</v>
      </c>
      <c r="I510" s="611" t="s">
        <v>1585</v>
      </c>
    </row>
    <row r="511" spans="1:13" s="611" customFormat="1" x14ac:dyDescent="0.25">
      <c r="B511" s="396"/>
      <c r="C511" s="750"/>
      <c r="D511" s="2" t="s">
        <v>790</v>
      </c>
      <c r="G511" t="str">
        <f t="shared" ref="G511:G521" si="8">IF(H511=1,"Yes",IF(H511=2,"No","N/A"))</f>
        <v>N/A</v>
      </c>
      <c r="H511">
        <v>0</v>
      </c>
      <c r="I511" t="str">
        <f>IF('Released Electrical'!X19="","",'Released Electrical'!X19)</f>
        <v/>
      </c>
    </row>
    <row r="512" spans="1:13" s="611" customFormat="1" x14ac:dyDescent="0.25">
      <c r="B512" s="396"/>
      <c r="C512" s="750"/>
      <c r="D512" s="2" t="s">
        <v>773</v>
      </c>
      <c r="G512" t="str">
        <f t="shared" si="8"/>
        <v>N/A</v>
      </c>
      <c r="H512">
        <v>0</v>
      </c>
      <c r="I512" s="611" t="str">
        <f>IF('Released Electrical'!X21="","",'Released Electrical'!X21)</f>
        <v/>
      </c>
    </row>
    <row r="513" spans="1:20" s="611" customFormat="1" x14ac:dyDescent="0.25">
      <c r="B513" s="396"/>
      <c r="C513" s="750"/>
      <c r="D513" s="2" t="s">
        <v>789</v>
      </c>
      <c r="G513" t="str">
        <f t="shared" si="8"/>
        <v>N/A</v>
      </c>
      <c r="H513">
        <v>0</v>
      </c>
      <c r="I513" s="611" t="str">
        <f>IF('Released Electrical'!X23="","",'Released Electrical'!X23)</f>
        <v/>
      </c>
    </row>
    <row r="514" spans="1:20" s="611" customFormat="1" x14ac:dyDescent="0.25">
      <c r="B514" s="396"/>
      <c r="C514" s="750"/>
      <c r="D514" s="2" t="s">
        <v>791</v>
      </c>
      <c r="G514" t="str">
        <f t="shared" si="8"/>
        <v>N/A</v>
      </c>
      <c r="H514">
        <v>0</v>
      </c>
      <c r="I514" s="611" t="str">
        <f>IF('Released Electrical'!X25="","",'Released Electrical'!X25)</f>
        <v/>
      </c>
    </row>
    <row r="515" spans="1:20" s="611" customFormat="1" x14ac:dyDescent="0.25">
      <c r="B515" s="396"/>
      <c r="C515" s="750"/>
      <c r="D515" t="s">
        <v>755</v>
      </c>
      <c r="E515"/>
      <c r="F515"/>
      <c r="G515" t="str">
        <f t="shared" si="8"/>
        <v>N/A</v>
      </c>
      <c r="H515">
        <v>0</v>
      </c>
      <c r="I515" s="611" t="str">
        <f>IF('Released Electrical'!X29="","",'Released Electrical'!X29)</f>
        <v/>
      </c>
    </row>
    <row r="516" spans="1:20" s="611" customFormat="1" x14ac:dyDescent="0.25">
      <c r="B516" s="396"/>
      <c r="C516" s="750"/>
      <c r="D516" t="s">
        <v>721</v>
      </c>
      <c r="E516"/>
      <c r="F516"/>
      <c r="G516" t="str">
        <f t="shared" si="8"/>
        <v>N/A</v>
      </c>
      <c r="H516">
        <v>0</v>
      </c>
      <c r="I516" s="611" t="str">
        <f>IF('Released Electrical'!X31="","",'Released Electrical'!X31)</f>
        <v/>
      </c>
    </row>
    <row r="517" spans="1:20" s="611" customFormat="1" x14ac:dyDescent="0.25">
      <c r="B517" s="396"/>
      <c r="C517" s="750"/>
      <c r="D517" t="s">
        <v>722</v>
      </c>
      <c r="E517"/>
      <c r="F517"/>
      <c r="G517" t="str">
        <f t="shared" si="8"/>
        <v>N/A</v>
      </c>
      <c r="H517">
        <v>0</v>
      </c>
      <c r="I517" s="611" t="str">
        <f>IF('Released Electrical'!X33="","",'Released Electrical'!X33)</f>
        <v/>
      </c>
    </row>
    <row r="518" spans="1:20" s="611" customFormat="1" x14ac:dyDescent="0.25">
      <c r="B518" s="396"/>
      <c r="C518" s="750"/>
      <c r="D518" t="s">
        <v>750</v>
      </c>
      <c r="E518"/>
      <c r="F518"/>
      <c r="G518" t="str">
        <f t="shared" si="8"/>
        <v>N/A</v>
      </c>
      <c r="H518">
        <v>0</v>
      </c>
      <c r="I518" s="611" t="str">
        <f>IF('Released Electrical'!X35="","",'Released Electrical'!X35)</f>
        <v/>
      </c>
    </row>
    <row r="519" spans="1:20" s="611" customFormat="1" x14ac:dyDescent="0.25">
      <c r="B519" s="396"/>
      <c r="C519" s="750"/>
      <c r="D519" t="s">
        <v>723</v>
      </c>
      <c r="E519"/>
      <c r="F519"/>
      <c r="G519" t="str">
        <f t="shared" si="8"/>
        <v>N/A</v>
      </c>
      <c r="H519" s="157">
        <v>0</v>
      </c>
      <c r="I519" s="611" t="str">
        <f>IF('Released Electrical'!X37="","",'Released Electrical'!X37)</f>
        <v/>
      </c>
    </row>
    <row r="520" spans="1:20" s="611" customFormat="1" x14ac:dyDescent="0.25">
      <c r="B520" s="396"/>
      <c r="C520" s="750"/>
      <c r="D520" t="s">
        <v>724</v>
      </c>
      <c r="E520"/>
      <c r="F520"/>
      <c r="G520" t="str">
        <f t="shared" si="8"/>
        <v>N/A</v>
      </c>
      <c r="H520">
        <v>0</v>
      </c>
      <c r="I520" s="611" t="str">
        <f>IF('Released Electrical'!X39="","",'Released Electrical'!X39)</f>
        <v/>
      </c>
    </row>
    <row r="521" spans="1:20" s="611" customFormat="1" x14ac:dyDescent="0.25">
      <c r="B521" s="396"/>
      <c r="C521" s="750"/>
      <c r="D521" t="s">
        <v>751</v>
      </c>
      <c r="E521"/>
      <c r="F521"/>
      <c r="G521" t="str">
        <f t="shared" si="8"/>
        <v>N/A</v>
      </c>
      <c r="H521">
        <v>0</v>
      </c>
      <c r="I521" s="611" t="str">
        <f>IF('Released Electrical'!X41="","",'Released Electrical'!X41)</f>
        <v/>
      </c>
    </row>
    <row r="522" spans="1:20" s="611" customFormat="1" x14ac:dyDescent="0.25">
      <c r="B522" s="396"/>
      <c r="C522" s="750"/>
    </row>
    <row r="523" spans="1:20" s="611" customFormat="1" x14ac:dyDescent="0.25">
      <c r="A523"/>
      <c r="B523"/>
      <c r="C523" s="157"/>
      <c r="D523" s="157"/>
      <c r="E523" s="157"/>
      <c r="F523" t="s">
        <v>633</v>
      </c>
      <c r="G523" t="s">
        <v>825</v>
      </c>
      <c r="H523"/>
      <c r="I523"/>
      <c r="J523"/>
      <c r="K523" t="s">
        <v>679</v>
      </c>
      <c r="L523"/>
      <c r="M523"/>
      <c r="N523"/>
      <c r="O523"/>
      <c r="P523" t="s">
        <v>826</v>
      </c>
      <c r="Q523"/>
      <c r="R523" t="s">
        <v>993</v>
      </c>
      <c r="S523"/>
      <c r="T523"/>
    </row>
    <row r="524" spans="1:20" s="611" customFormat="1" x14ac:dyDescent="0.25">
      <c r="A524" t="s">
        <v>661</v>
      </c>
      <c r="B524"/>
      <c r="C524" s="157"/>
      <c r="D524" s="1" t="s">
        <v>664</v>
      </c>
      <c r="E524" s="294">
        <v>0</v>
      </c>
      <c r="F524" s="55" t="str">
        <f>IF(E524=0,"N/A",IF(E524=1,'Released After Sizes'!H8,G206))</f>
        <v>N/A</v>
      </c>
      <c r="G524" s="55" t="str">
        <f>IF(E524=0,"N/A",IF(E524=1,'Released After Sizes'!H10,H206))</f>
        <v>N/A</v>
      </c>
      <c r="H524"/>
      <c r="I524" s="55"/>
      <c r="J524" s="55"/>
      <c r="K524">
        <v>1</v>
      </c>
      <c r="L524">
        <f>VLOOKUP(K524,Data!BJ2:BK7,2,FALSE)</f>
        <v>0</v>
      </c>
      <c r="M524"/>
      <c r="N524"/>
      <c r="O524"/>
      <c r="P524" t="str">
        <f>IF('Released After Sizes'!K10="","",'Released After Sizes'!K10)</f>
        <v/>
      </c>
      <c r="Q524"/>
      <c r="R524"/>
      <c r="S524"/>
      <c r="T524"/>
    </row>
    <row r="525" spans="1:20" s="611" customFormat="1" x14ac:dyDescent="0.25">
      <c r="A525"/>
      <c r="B525"/>
      <c r="C525" s="157"/>
      <c r="D525" s="1" t="s">
        <v>665</v>
      </c>
      <c r="E525" s="294">
        <v>0</v>
      </c>
      <c r="F525" s="55" t="str">
        <f>IF(E525=0,"N/A",IF(E525=1,'Released After Sizes'!H16,G209))</f>
        <v>N/A</v>
      </c>
      <c r="G525" s="55" t="str">
        <f>IF(E525=0,"N/A",IF(E525=1,'Released After Sizes'!H18,H209))</f>
        <v>N/A</v>
      </c>
      <c r="H525"/>
      <c r="I525" s="55"/>
      <c r="J525" s="55"/>
      <c r="K525">
        <v>1</v>
      </c>
      <c r="L525">
        <f>VLOOKUP(K525,Data!BJ2:BK7,2,FALSE)</f>
        <v>0</v>
      </c>
      <c r="M525"/>
      <c r="N525"/>
      <c r="O525"/>
      <c r="P525" t="str">
        <f>IF('Released After Sizes'!K18="","",'Released After Sizes'!K18)</f>
        <v/>
      </c>
      <c r="Q525"/>
      <c r="R525"/>
      <c r="S525"/>
      <c r="T525"/>
    </row>
    <row r="526" spans="1:20" s="611" customFormat="1" x14ac:dyDescent="0.25">
      <c r="A526"/>
      <c r="B526"/>
      <c r="C526" s="157"/>
      <c r="D526" s="1" t="s">
        <v>674</v>
      </c>
      <c r="E526" s="294">
        <v>0</v>
      </c>
      <c r="F526" s="55" t="str">
        <f>IF(E526=0,"N/A",IF(E526=1,'Released After Sizes'!H24,I206))</f>
        <v>N/A</v>
      </c>
      <c r="G526" s="55" t="str">
        <f>IF(E526=0,"N/A",IF(E526=1,'Released After Sizes'!H26,J206))</f>
        <v>N/A</v>
      </c>
      <c r="H526"/>
      <c r="I526"/>
      <c r="J526"/>
      <c r="K526">
        <v>1</v>
      </c>
      <c r="L526">
        <f>VLOOKUP(K526,Data!BL2:BM6,2,FALSE)</f>
        <v>0</v>
      </c>
      <c r="M526"/>
      <c r="N526"/>
      <c r="O526"/>
      <c r="P526" t="str">
        <f>IF('Released After Sizes'!K26="","",'Released After Sizes'!K26)</f>
        <v/>
      </c>
      <c r="Q526"/>
      <c r="R526"/>
      <c r="S526"/>
      <c r="T526"/>
    </row>
    <row r="527" spans="1:20" s="611" customFormat="1" x14ac:dyDescent="0.25">
      <c r="A527"/>
      <c r="B527"/>
      <c r="C527" s="157"/>
      <c r="D527" s="1" t="s">
        <v>675</v>
      </c>
      <c r="E527" s="294">
        <v>0</v>
      </c>
      <c r="F527" s="55" t="str">
        <f>IF(E527=0,"N/A",IF(E527=1,'Released After Sizes'!H32,I209))</f>
        <v>N/A</v>
      </c>
      <c r="G527" s="55" t="str">
        <f>IF(F527=0,"N/A",IF(F527=1,'Released After Sizes'!I32,J209))</f>
        <v>N/A</v>
      </c>
      <c r="H527" s="19" t="s">
        <v>681</v>
      </c>
      <c r="I527"/>
      <c r="J527"/>
      <c r="K527">
        <v>1</v>
      </c>
      <c r="L527">
        <f>VLOOKUP(K527,Data!BL2:BM6,2,FALSE)</f>
        <v>0</v>
      </c>
      <c r="M527"/>
      <c r="N527"/>
      <c r="O527"/>
      <c r="P527" t="str">
        <f>IF('Released After Sizes'!K34="","",'Released After Sizes'!K34)</f>
        <v/>
      </c>
      <c r="Q527"/>
      <c r="R527"/>
      <c r="S527"/>
      <c r="T527"/>
    </row>
    <row r="528" spans="1:20" s="611" customFormat="1" x14ac:dyDescent="0.25">
      <c r="A528"/>
      <c r="B528"/>
      <c r="C528" s="157"/>
      <c r="D528" s="1" t="s">
        <v>637</v>
      </c>
      <c r="E528" s="294">
        <v>0</v>
      </c>
      <c r="F528" s="55" t="str">
        <f>IF(E528=0,"N/A",IF(E528=1,'Released After Sizes'!H40,K228))</f>
        <v>N/A</v>
      </c>
      <c r="G528" s="55" t="str">
        <f>IF(E528=0,"N/A",IF(E528=1,'Released After Sizes'!H42,J228))</f>
        <v>N/A</v>
      </c>
      <c r="H528" t="str">
        <f>IF(E528=0,"N/A",IF(E528=1,'Released After Sizes'!H44,J228))</f>
        <v>N/A</v>
      </c>
      <c r="I528" t="s">
        <v>682</v>
      </c>
      <c r="J528"/>
      <c r="K528">
        <v>1</v>
      </c>
      <c r="L528">
        <f>VLOOKUP(K528,Data!BN2:BO8,2,FALSE)</f>
        <v>0</v>
      </c>
      <c r="M528"/>
      <c r="N528"/>
      <c r="O528"/>
      <c r="P528" t="str">
        <f>IF('Released After Sizes'!K42="","",'Released After Sizes'!K42)</f>
        <v/>
      </c>
      <c r="Q528"/>
      <c r="R528"/>
      <c r="S528"/>
      <c r="T528"/>
    </row>
    <row r="529" spans="1:20" s="611" customFormat="1" x14ac:dyDescent="0.25">
      <c r="A529"/>
      <c r="B529"/>
      <c r="C529" s="157"/>
      <c r="D529" s="1" t="s">
        <v>642</v>
      </c>
      <c r="E529" s="294">
        <v>0</v>
      </c>
      <c r="F529" s="55" t="str">
        <f>IF(E529=0,"N/A",IF(E529=1,'Released After Sizes'!H50,K229))</f>
        <v>N/A</v>
      </c>
      <c r="G529" s="55" t="str">
        <f>IF(E529=0,"N/A",IF(E529=1,'Released After Sizes'!H52,J229))</f>
        <v>N/A</v>
      </c>
      <c r="H529" s="55" t="str">
        <f>IF(E529=0,"N/A",IF(E529=1,'Released After Sizes'!H54,H229))</f>
        <v>N/A</v>
      </c>
      <c r="I529" s="55" t="str">
        <f>IF(E530=1,"N/A",I228)</f>
        <v>N/A</v>
      </c>
      <c r="J529"/>
      <c r="K529">
        <v>1</v>
      </c>
      <c r="L529">
        <f>VLOOKUP(K529,Data!BP2:BQ4,2,FALSE)</f>
        <v>0</v>
      </c>
      <c r="M529"/>
      <c r="N529"/>
      <c r="O529"/>
      <c r="P529" t="str">
        <f>IF('Released After Sizes'!K52="","",'Released After Sizes'!K52)</f>
        <v/>
      </c>
      <c r="Q529"/>
      <c r="R529"/>
      <c r="S529"/>
      <c r="T529"/>
    </row>
    <row r="530" spans="1:20" s="611" customFormat="1" x14ac:dyDescent="0.25">
      <c r="C530" s="604"/>
      <c r="D530" s="1"/>
      <c r="E530" s="369"/>
      <c r="H530" s="55"/>
      <c r="I530"/>
      <c r="J530"/>
      <c r="K530"/>
      <c r="L530"/>
      <c r="M530"/>
      <c r="N530"/>
      <c r="O530"/>
      <c r="P530"/>
      <c r="Q530"/>
      <c r="R530"/>
      <c r="S530"/>
      <c r="T530"/>
    </row>
    <row r="531" spans="1:20" s="611" customFormat="1" x14ac:dyDescent="0.25">
      <c r="C531" s="604"/>
      <c r="D531" s="1" t="s">
        <v>1568</v>
      </c>
      <c r="E531" s="783" t="str">
        <f>IF(VLOOKUP(F531,Data!CH2:CI6,2)="","N/A",VLOOKUP(F531,Data!CH2:CI6,2))</f>
        <v>N/A</v>
      </c>
      <c r="F531" s="611">
        <v>1</v>
      </c>
      <c r="H531" s="55"/>
    </row>
    <row r="532" spans="1:20" s="611" customFormat="1" x14ac:dyDescent="0.25">
      <c r="C532" s="604"/>
      <c r="D532" s="1" t="s">
        <v>1569</v>
      </c>
      <c r="E532" s="783" t="str">
        <f>IF(VLOOKUP(F532,Data!CT2:CU4,2)="","N/A",VLOOKUP(F532,Data!CT2:CU4,2))</f>
        <v>N/A</v>
      </c>
      <c r="F532" s="611">
        <v>1</v>
      </c>
      <c r="H532" s="55"/>
    </row>
    <row r="533" spans="1:20" s="611" customFormat="1" x14ac:dyDescent="0.25">
      <c r="C533" s="604"/>
      <c r="D533" s="1" t="s">
        <v>1570</v>
      </c>
      <c r="E533" s="783" t="str">
        <f>IF(VLOOKUP(F533,Data!CL2:CM6,2)="","N/A",VLOOKUP(F533,Data!CL2:CM6,2))</f>
        <v>N/A</v>
      </c>
      <c r="F533" s="611">
        <v>1</v>
      </c>
      <c r="H533" s="55"/>
    </row>
    <row r="534" spans="1:20" s="611" customFormat="1" x14ac:dyDescent="0.25">
      <c r="C534" s="604"/>
      <c r="D534" s="1" t="s">
        <v>1567</v>
      </c>
      <c r="E534" s="783" t="str">
        <f>IF(VLOOKUP(F534,Data!CF2:CG7,2)="","N/A",VLOOKUP(F534,Data!CF2:CG7,2))</f>
        <v>N/A</v>
      </c>
      <c r="F534" s="783">
        <v>1</v>
      </c>
      <c r="H534" s="55"/>
    </row>
    <row r="535" spans="1:20" s="611" customFormat="1" x14ac:dyDescent="0.25">
      <c r="C535" s="604"/>
      <c r="D535" s="1" t="s">
        <v>1571</v>
      </c>
      <c r="E535" s="611" t="s">
        <v>131</v>
      </c>
      <c r="I535"/>
      <c r="J535"/>
      <c r="K535"/>
      <c r="L535"/>
      <c r="M535"/>
      <c r="N535"/>
      <c r="O535"/>
      <c r="P535"/>
      <c r="Q535"/>
      <c r="R535"/>
      <c r="S535"/>
      <c r="T535"/>
    </row>
    <row r="536" spans="1:20" s="611" customFormat="1" x14ac:dyDescent="0.25">
      <c r="D536" s="1" t="s">
        <v>951</v>
      </c>
      <c r="E536" s="611" t="s">
        <v>131</v>
      </c>
      <c r="T536"/>
    </row>
    <row r="538" spans="1:20" x14ac:dyDescent="0.25">
      <c r="A538" s="611" t="s">
        <v>1500</v>
      </c>
      <c r="B538" s="611"/>
      <c r="C538" s="611"/>
      <c r="D538" s="738"/>
      <c r="E538" s="74"/>
      <c r="F538" s="737"/>
      <c r="G538" s="38"/>
      <c r="H538" s="611"/>
    </row>
    <row r="539" spans="1:20" x14ac:dyDescent="0.25">
      <c r="A539" s="611"/>
      <c r="B539" s="611"/>
      <c r="C539" s="611"/>
      <c r="D539" s="738"/>
      <c r="E539" s="74"/>
      <c r="F539" s="737"/>
      <c r="G539" s="38"/>
      <c r="H539" s="611"/>
    </row>
    <row r="540" spans="1:20" x14ac:dyDescent="0.25">
      <c r="A540" s="611"/>
      <c r="B540" s="611"/>
      <c r="C540" s="611"/>
      <c r="D540" s="738" t="s">
        <v>1355</v>
      </c>
      <c r="E540" s="74">
        <v>3</v>
      </c>
      <c r="F540" s="737"/>
      <c r="G540" s="38"/>
      <c r="H540" s="611"/>
    </row>
    <row r="541" spans="1:20" x14ac:dyDescent="0.25">
      <c r="A541" s="611"/>
      <c r="B541" s="611"/>
      <c r="C541" s="611" t="s">
        <v>1306</v>
      </c>
      <c r="D541" s="611"/>
      <c r="E541" s="611"/>
      <c r="F541" s="611"/>
      <c r="G541" s="611"/>
      <c r="H541" s="611"/>
    </row>
    <row r="542" spans="1:20" x14ac:dyDescent="0.25">
      <c r="A542" s="611"/>
      <c r="B542" s="611"/>
      <c r="C542" s="611"/>
      <c r="D542" s="1" t="s">
        <v>1307</v>
      </c>
      <c r="E542" s="245" t="str">
        <f>IF(E240="","N/A",E240)</f>
        <v>N/A</v>
      </c>
      <c r="F542" s="611"/>
      <c r="G542" s="611"/>
      <c r="H542" s="611"/>
    </row>
    <row r="543" spans="1:20" x14ac:dyDescent="0.25">
      <c r="A543" s="611"/>
      <c r="B543" s="611"/>
      <c r="C543" s="611"/>
      <c r="D543" s="1" t="s">
        <v>984</v>
      </c>
      <c r="E543" s="298" t="str">
        <f>IF(OR(F545=1,E241=""),"",E241)</f>
        <v>N/A</v>
      </c>
      <c r="F543" s="611"/>
      <c r="G543" s="611"/>
      <c r="H543" s="611"/>
    </row>
    <row r="544" spans="1:20" ht="15.75" thickBot="1" x14ac:dyDescent="0.3">
      <c r="A544" s="611"/>
      <c r="B544" s="611"/>
      <c r="C544" s="611"/>
      <c r="D544" s="1" t="s">
        <v>985</v>
      </c>
      <c r="E544" s="298" t="str">
        <f>IF(OR(F545=1,E242=""),"",E242)</f>
        <v>N/A</v>
      </c>
      <c r="F544" s="611"/>
      <c r="G544" s="611"/>
      <c r="H544" s="611"/>
    </row>
    <row r="545" spans="1:22" s="611" customFormat="1" ht="15.75" thickBot="1" x14ac:dyDescent="0.3">
      <c r="D545" s="1" t="s">
        <v>1501</v>
      </c>
      <c r="E545" s="245" t="str">
        <f>IF(F545=1,"Yes",IF(F545=2,"No","N/A"))</f>
        <v>N/A</v>
      </c>
      <c r="F545" s="591">
        <v>0</v>
      </c>
    </row>
    <row r="546" spans="1:22" s="611" customFormat="1" x14ac:dyDescent="0.25">
      <c r="D546" s="1" t="s">
        <v>1308</v>
      </c>
      <c r="E546" s="245" t="str">
        <f>IF(E244="","N/A",E244)</f>
        <v>N/A</v>
      </c>
      <c r="F546" s="55"/>
      <c r="H546" s="604"/>
    </row>
    <row r="547" spans="1:22" s="611" customFormat="1" x14ac:dyDescent="0.25">
      <c r="D547" s="1" t="s">
        <v>984</v>
      </c>
      <c r="E547" s="298" t="str">
        <f>IF(OR(F549=1,E245=""),"",E245)</f>
        <v>N/A</v>
      </c>
    </row>
    <row r="548" spans="1:22" s="611" customFormat="1" ht="15.75" thickBot="1" x14ac:dyDescent="0.3">
      <c r="D548" s="1" t="s">
        <v>985</v>
      </c>
      <c r="E548" s="298" t="str">
        <f>IF(OR(F549=1,E246=""),"",E246)</f>
        <v>N/A</v>
      </c>
    </row>
    <row r="549" spans="1:22" ht="15.75" thickBot="1" x14ac:dyDescent="0.3">
      <c r="A549" s="611"/>
      <c r="B549" s="611"/>
      <c r="C549" s="611"/>
      <c r="D549" s="1" t="s">
        <v>1501</v>
      </c>
      <c r="E549" s="245" t="str">
        <f>IF(F549=1,"Yes",IF(F549=2,"No","N/A"))</f>
        <v>N/A</v>
      </c>
      <c r="F549" s="591">
        <v>0</v>
      </c>
      <c r="G549" s="611"/>
      <c r="H549" s="611"/>
    </row>
    <row r="550" spans="1:22" x14ac:dyDescent="0.25">
      <c r="A550" s="611"/>
      <c r="B550" s="611"/>
      <c r="C550" s="611"/>
      <c r="D550" s="1" t="s">
        <v>1309</v>
      </c>
      <c r="E550" s="245" t="str">
        <f>IF(E248="","N/A",E248)</f>
        <v>N/A</v>
      </c>
      <c r="F550" s="611"/>
      <c r="G550" s="611"/>
      <c r="H550" s="611"/>
    </row>
    <row r="551" spans="1:22" x14ac:dyDescent="0.25">
      <c r="A551" s="611"/>
      <c r="B551" s="611"/>
      <c r="C551" s="611"/>
      <c r="D551" s="1" t="s">
        <v>984</v>
      </c>
      <c r="E551" s="298" t="str">
        <f>IF(OR(F553=1,E249=""),"",E249)</f>
        <v>N/A</v>
      </c>
      <c r="F551" s="611"/>
      <c r="G551" s="611"/>
      <c r="H551" s="611"/>
    </row>
    <row r="552" spans="1:22" ht="15.75" thickBot="1" x14ac:dyDescent="0.3">
      <c r="A552" s="611"/>
      <c r="B552" s="611"/>
      <c r="C552" s="611"/>
      <c r="D552" s="1" t="s">
        <v>985</v>
      </c>
      <c r="E552" s="298" t="str">
        <f>IF(OR(F553=1,E250=""),"",E250)</f>
        <v>N/A</v>
      </c>
      <c r="F552" s="611"/>
      <c r="G552" s="611"/>
      <c r="H552" s="611"/>
    </row>
    <row r="553" spans="1:22" ht="15.75" thickBot="1" x14ac:dyDescent="0.3">
      <c r="A553" s="611"/>
      <c r="B553" s="611"/>
      <c r="C553" s="611"/>
      <c r="D553" s="1" t="s">
        <v>1501</v>
      </c>
      <c r="E553" s="245" t="str">
        <f>IF(F553=1,"Yes",IF(F553=2,"No","N/A"))</f>
        <v>N/A</v>
      </c>
      <c r="F553" s="591">
        <v>0</v>
      </c>
      <c r="G553" s="611"/>
      <c r="H553" s="611"/>
    </row>
    <row r="554" spans="1:22" x14ac:dyDescent="0.25">
      <c r="A554" s="611"/>
      <c r="B554" s="611"/>
      <c r="C554" s="611"/>
      <c r="D554" s="1" t="s">
        <v>1310</v>
      </c>
      <c r="E554" s="245" t="str">
        <f>IF(E252="","N/A",E252)</f>
        <v>N/A</v>
      </c>
      <c r="F554" s="611"/>
      <c r="G554" s="611"/>
      <c r="H554" s="611"/>
    </row>
    <row r="555" spans="1:22" x14ac:dyDescent="0.25">
      <c r="A555" s="611"/>
      <c r="B555" s="611"/>
      <c r="C555" s="611"/>
      <c r="D555" s="1" t="s">
        <v>984</v>
      </c>
      <c r="E555" s="298" t="str">
        <f>IF(OR(F557=1,E253=""),"",E253)</f>
        <v>N/A</v>
      </c>
      <c r="F555" s="611"/>
      <c r="G555" s="611"/>
      <c r="H555" s="611"/>
    </row>
    <row r="556" spans="1:22" s="611" customFormat="1" ht="15.75" thickBot="1" x14ac:dyDescent="0.3">
      <c r="D556" s="1" t="s">
        <v>985</v>
      </c>
      <c r="E556" s="298" t="str">
        <f>IF(OR(F557=1,E254=""),"",E254)</f>
        <v>N/A</v>
      </c>
      <c r="U556"/>
      <c r="V556"/>
    </row>
    <row r="557" spans="1:22" s="611" customFormat="1" ht="15.75" thickBot="1" x14ac:dyDescent="0.3">
      <c r="D557" s="1" t="s">
        <v>1501</v>
      </c>
      <c r="E557" s="245" t="str">
        <f>IF(F557=1,"Yes",IF(F557=2,"No","N/A"))</f>
        <v>N/A</v>
      </c>
      <c r="F557" s="591">
        <v>0</v>
      </c>
      <c r="U557"/>
      <c r="V557"/>
    </row>
    <row r="558" spans="1:22" s="611" customFormat="1" x14ac:dyDescent="0.25">
      <c r="D558" s="1" t="s">
        <v>1311</v>
      </c>
      <c r="E558" s="245" t="str">
        <f>IF(E256="","N/A",E256)</f>
        <v>N/A</v>
      </c>
      <c r="U558"/>
      <c r="V558"/>
    </row>
    <row r="559" spans="1:22" s="611" customFormat="1" x14ac:dyDescent="0.25">
      <c r="D559" s="1" t="s">
        <v>984</v>
      </c>
      <c r="E559" s="298" t="str">
        <f>IF(OR(F561=1,E257=""),"",E257)</f>
        <v>N/A</v>
      </c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</row>
    <row r="560" spans="1:22" s="611" customFormat="1" ht="15.75" thickBot="1" x14ac:dyDescent="0.3">
      <c r="A560" s="464"/>
      <c r="B560" s="464"/>
      <c r="C560" s="464"/>
      <c r="D560" s="748" t="s">
        <v>985</v>
      </c>
      <c r="E560" s="298" t="str">
        <f>IF(OR(F561=1,E258=""),"",E258)</f>
        <v>N/A</v>
      </c>
      <c r="F560" s="464"/>
      <c r="G560" s="464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</row>
    <row r="561" spans="4:22" s="611" customFormat="1" ht="15.75" thickBot="1" x14ac:dyDescent="0.3">
      <c r="D561" s="1" t="s">
        <v>1501</v>
      </c>
      <c r="E561" s="245" t="str">
        <f>IF(F561=1,"Yes",IF(F561=2,"No","N/A"))</f>
        <v>N/A</v>
      </c>
      <c r="F561" s="591">
        <v>0</v>
      </c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</row>
    <row r="562" spans="4:22" s="611" customFormat="1" x14ac:dyDescent="0.25">
      <c r="D562" s="1" t="s">
        <v>1312</v>
      </c>
      <c r="E562" s="245" t="str">
        <f>IF(E260="","N/A",E260)</f>
        <v>N/A</v>
      </c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</row>
    <row r="563" spans="4:22" s="611" customFormat="1" x14ac:dyDescent="0.25">
      <c r="D563" s="1" t="s">
        <v>984</v>
      </c>
      <c r="E563" s="298" t="str">
        <f>IF(OR(F565=1,E261=""),"",E261)</f>
        <v>N/A</v>
      </c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</row>
    <row r="564" spans="4:22" s="611" customFormat="1" ht="15.75" thickBot="1" x14ac:dyDescent="0.3">
      <c r="D564" s="1" t="s">
        <v>985</v>
      </c>
      <c r="E564" s="298" t="str">
        <f>IF(OR(F565=1,E262=""),"",E262)</f>
        <v>N/A</v>
      </c>
      <c r="H564" s="737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</row>
    <row r="565" spans="4:22" s="611" customFormat="1" ht="15.75" thickBot="1" x14ac:dyDescent="0.3">
      <c r="D565" s="1" t="s">
        <v>1501</v>
      </c>
      <c r="E565" s="245" t="str">
        <f>IF(F565=1,"Yes",IF(F565=2,"No","N/A"))</f>
        <v>N/A</v>
      </c>
      <c r="F565" s="591">
        <v>0</v>
      </c>
      <c r="H565" s="737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</row>
    <row r="566" spans="4:22" s="611" customFormat="1" x14ac:dyDescent="0.25">
      <c r="D566" s="1" t="s">
        <v>1422</v>
      </c>
      <c r="E566" s="245" t="str">
        <f>IF(E264="","N/A",E264)</f>
        <v>N/A</v>
      </c>
      <c r="H566" s="737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</row>
    <row r="567" spans="4:22" s="611" customFormat="1" x14ac:dyDescent="0.25">
      <c r="D567" s="1" t="s">
        <v>984</v>
      </c>
      <c r="E567" s="298" t="str">
        <f>IF(OR(F569=1,E265=""),"",E265)</f>
        <v>N/A</v>
      </c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</row>
    <row r="568" spans="4:22" s="611" customFormat="1" ht="15.75" thickBot="1" x14ac:dyDescent="0.3">
      <c r="D568" s="1" t="s">
        <v>985</v>
      </c>
      <c r="E568" s="298" t="str">
        <f>IF(OR(F569=1,E266=""),"",E266)</f>
        <v>N/A</v>
      </c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</row>
    <row r="569" spans="4:22" s="611" customFormat="1" ht="15.75" thickBot="1" x14ac:dyDescent="0.3">
      <c r="D569" s="1" t="s">
        <v>1501</v>
      </c>
      <c r="E569" s="245" t="str">
        <f>IF(F569=1,"Yes",IF(F569=2,"No","N/A"))</f>
        <v>N/A</v>
      </c>
      <c r="F569" s="591">
        <v>0</v>
      </c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</row>
    <row r="570" spans="4:22" s="611" customFormat="1" x14ac:dyDescent="0.25">
      <c r="D570" s="1" t="s">
        <v>1423</v>
      </c>
      <c r="E570" s="245" t="str">
        <f>IF(E268="","N/A",E268)</f>
        <v>N/A</v>
      </c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</row>
    <row r="571" spans="4:22" s="611" customFormat="1" x14ac:dyDescent="0.25">
      <c r="D571" s="1" t="s">
        <v>984</v>
      </c>
      <c r="E571" s="298" t="str">
        <f>IF(OR(F573=1,E269=""),"",E269)</f>
        <v>N/A</v>
      </c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</row>
    <row r="572" spans="4:22" s="611" customFormat="1" ht="15.75" thickBot="1" x14ac:dyDescent="0.3">
      <c r="D572" s="1" t="s">
        <v>985</v>
      </c>
      <c r="E572" s="298" t="str">
        <f>IF(OR(F573=1,E270=""),"",E270)</f>
        <v>N/A</v>
      </c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</row>
    <row r="573" spans="4:22" s="611" customFormat="1" ht="15.75" thickBot="1" x14ac:dyDescent="0.3">
      <c r="D573" s="1" t="s">
        <v>1501</v>
      </c>
      <c r="E573" s="245" t="str">
        <f>IF(F573=1,"Yes",IF(F573=2,"No","N/A"))</f>
        <v>N/A</v>
      </c>
      <c r="F573" s="591">
        <v>0</v>
      </c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</row>
    <row r="574" spans="4:22" s="611" customFormat="1" x14ac:dyDescent="0.25">
      <c r="D574" s="1" t="s">
        <v>1424</v>
      </c>
      <c r="E574" s="245" t="str">
        <f>IF(E272="","N/A",E272)</f>
        <v>N/A</v>
      </c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</row>
    <row r="575" spans="4:22" s="611" customFormat="1" x14ac:dyDescent="0.25">
      <c r="D575" s="1" t="s">
        <v>984</v>
      </c>
      <c r="E575" s="298" t="str">
        <f>IF(OR(F577=1,E273=""),"",E273)</f>
        <v>N/A</v>
      </c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</row>
    <row r="576" spans="4:22" s="611" customFormat="1" ht="15.75" thickBot="1" x14ac:dyDescent="0.3">
      <c r="D576" s="1" t="s">
        <v>985</v>
      </c>
      <c r="E576" s="298" t="str">
        <f>IF(OR(F577=1,E274=""),"",E274)</f>
        <v>N/A</v>
      </c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</row>
    <row r="577" spans="1:22" s="611" customFormat="1" ht="15.75" thickBot="1" x14ac:dyDescent="0.3">
      <c r="D577" s="1" t="s">
        <v>1501</v>
      </c>
      <c r="E577" s="245" t="str">
        <f>IF(F577=1,"Yes",IF(F577=2,"No","N/A"))</f>
        <v>N/A</v>
      </c>
      <c r="F577" s="591">
        <v>0</v>
      </c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</row>
    <row r="578" spans="1:22" s="611" customFormat="1" x14ac:dyDescent="0.25">
      <c r="D578" s="1" t="s">
        <v>1425</v>
      </c>
      <c r="E578" s="245" t="str">
        <f>IF(E276="","N/A",E276)</f>
        <v>N/A</v>
      </c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</row>
    <row r="579" spans="1:22" s="611" customFormat="1" x14ac:dyDescent="0.25">
      <c r="D579" s="1" t="s">
        <v>984</v>
      </c>
      <c r="E579" s="298" t="str">
        <f>IF(OR(F581=1,E277=""),"",E277)</f>
        <v>N/A</v>
      </c>
    </row>
    <row r="580" spans="1:22" s="611" customFormat="1" ht="15.75" thickBot="1" x14ac:dyDescent="0.3">
      <c r="D580" s="1" t="s">
        <v>985</v>
      </c>
      <c r="E580" s="298" t="str">
        <f>IF(OR(F581=1,E278=""),"",E278)</f>
        <v>N/A</v>
      </c>
    </row>
    <row r="581" spans="1:22" s="611" customFormat="1" ht="15.75" thickBot="1" x14ac:dyDescent="0.3">
      <c r="D581" s="1" t="s">
        <v>1501</v>
      </c>
      <c r="E581" s="245" t="str">
        <f>IF(F581=1,"Yes",IF(F581=2,"No","N/A"))</f>
        <v>N/A</v>
      </c>
      <c r="F581" s="591">
        <v>0</v>
      </c>
    </row>
    <row r="582" spans="1:22" s="611" customFormat="1" x14ac:dyDescent="0.25">
      <c r="D582" s="1" t="s">
        <v>1313</v>
      </c>
      <c r="E582" s="611" t="s">
        <v>131</v>
      </c>
    </row>
    <row r="583" spans="1:22" s="611" customFormat="1" x14ac:dyDescent="0.25">
      <c r="D583" s="1"/>
    </row>
    <row r="584" spans="1:22" s="611" customFormat="1" x14ac:dyDescent="0.25">
      <c r="A584" s="611" t="s">
        <v>1505</v>
      </c>
      <c r="D584" s="1"/>
    </row>
    <row r="585" spans="1:22" s="611" customFormat="1" ht="15.75" thickBot="1" x14ac:dyDescent="0.3">
      <c r="D585" s="516" t="s">
        <v>1506</v>
      </c>
      <c r="E585" s="245" t="str">
        <f>'Released Misc Fits'!O22</f>
        <v/>
      </c>
      <c r="F585" s="245" t="str">
        <f>IF(F586=2,E288,"")</f>
        <v/>
      </c>
    </row>
    <row r="586" spans="1:22" s="611" customFormat="1" ht="15.75" thickBot="1" x14ac:dyDescent="0.3">
      <c r="D586" s="1" t="s">
        <v>1316</v>
      </c>
      <c r="E586" s="734" t="str">
        <f>IF(VLOOKUP(F586,Data!BV2:BW5,2)="","N/A",VLOOKUP(F586,Data!BV2:BW5,2))</f>
        <v>N/A</v>
      </c>
      <c r="F586" s="538">
        <v>1</v>
      </c>
      <c r="H586" s="464"/>
    </row>
    <row r="587" spans="1:22" s="611" customFormat="1" ht="15.75" thickBot="1" x14ac:dyDescent="0.3">
      <c r="D587" s="1" t="s">
        <v>1315</v>
      </c>
      <c r="E587" s="245" t="str">
        <f>'Released Misc Fits'!O26</f>
        <v/>
      </c>
      <c r="F587" s="245" t="str">
        <f>IF(F588&lt;=1,"",E286)</f>
        <v/>
      </c>
    </row>
    <row r="588" spans="1:22" s="611" customFormat="1" ht="15.75" thickBot="1" x14ac:dyDescent="0.3">
      <c r="D588" s="1" t="s">
        <v>1427</v>
      </c>
      <c r="E588" s="734" t="str">
        <f>IF(F588=1,"Good",IF(F588=2,"Bad","N/A"))</f>
        <v>N/A</v>
      </c>
      <c r="F588" s="538">
        <v>0</v>
      </c>
    </row>
    <row r="589" spans="1:22" s="611" customFormat="1" ht="15.75" thickBot="1" x14ac:dyDescent="0.3">
      <c r="D589" s="1" t="s">
        <v>1507</v>
      </c>
      <c r="E589" s="20" t="str">
        <f>'Released Misc Fits'!T22</f>
        <v/>
      </c>
      <c r="F589" s="245" t="str">
        <f>IF(F590=2,E293,"")</f>
        <v/>
      </c>
    </row>
    <row r="590" spans="1:22" s="611" customFormat="1" ht="15.75" thickBot="1" x14ac:dyDescent="0.3">
      <c r="D590" s="1" t="s">
        <v>1316</v>
      </c>
      <c r="E590" s="734" t="str">
        <f>IF(VLOOKUP(F590,Data!BV2:BW5,2)="","N/A",VLOOKUP(F590,Data!BV2:BW5,2))</f>
        <v>N/A</v>
      </c>
      <c r="F590" s="538">
        <v>1</v>
      </c>
      <c r="G590" s="523"/>
    </row>
    <row r="591" spans="1:22" s="611" customFormat="1" ht="15.75" thickBot="1" x14ac:dyDescent="0.3">
      <c r="D591" s="1" t="s">
        <v>1315</v>
      </c>
      <c r="E591" s="245" t="str">
        <f>'Released Misc Fits'!T26</f>
        <v/>
      </c>
      <c r="F591" s="245" t="str">
        <f>IF(F592&lt;=1,"",E291)</f>
        <v/>
      </c>
      <c r="G591" s="523"/>
    </row>
    <row r="592" spans="1:22" s="611" customFormat="1" ht="15.75" thickBot="1" x14ac:dyDescent="0.3">
      <c r="D592" s="1" t="s">
        <v>1427</v>
      </c>
      <c r="E592" s="724" t="str">
        <f>IF(F592=1,"Good",IF(F592=2,"Bad","N/A"))</f>
        <v>N/A</v>
      </c>
      <c r="F592" s="538">
        <v>0</v>
      </c>
      <c r="G592" s="523"/>
    </row>
    <row r="593" spans="1:10" s="611" customFormat="1" ht="15.75" thickBot="1" x14ac:dyDescent="0.3">
      <c r="D593" s="1" t="s">
        <v>1508</v>
      </c>
      <c r="E593" s="245" t="str">
        <f>'Released Misc Fits'!O34</f>
        <v/>
      </c>
      <c r="F593" s="245" t="str">
        <f>IF(F594=2,E298,"")</f>
        <v/>
      </c>
      <c r="G593" s="523"/>
    </row>
    <row r="594" spans="1:10" s="611" customFormat="1" ht="15.75" thickBot="1" x14ac:dyDescent="0.3">
      <c r="D594" s="1" t="s">
        <v>1316</v>
      </c>
      <c r="E594" s="734" t="str">
        <f>IF(VLOOKUP(F594,Data!BV2:BW5,2)="","N/A",VLOOKUP(F594,Data!BV2:BW5,2))</f>
        <v>N/A</v>
      </c>
      <c r="F594" s="538">
        <v>1</v>
      </c>
      <c r="G594" s="602"/>
    </row>
    <row r="595" spans="1:10" s="611" customFormat="1" ht="15.75" thickBot="1" x14ac:dyDescent="0.3">
      <c r="D595" s="1" t="s">
        <v>1315</v>
      </c>
      <c r="E595" s="20" t="str">
        <f>'Released Misc Fits'!O38</f>
        <v/>
      </c>
      <c r="F595" s="245" t="str">
        <f>IF(F596&lt;=1,"",E296)</f>
        <v/>
      </c>
      <c r="G595" s="523"/>
    </row>
    <row r="596" spans="1:10" s="611" customFormat="1" ht="15.75" thickBot="1" x14ac:dyDescent="0.3">
      <c r="D596" s="1" t="s">
        <v>1316</v>
      </c>
      <c r="E596" s="724" t="str">
        <f>IF(F596=1,"Good",IF(F596=2,"Bad","N/A"))</f>
        <v>N/A</v>
      </c>
      <c r="F596" s="538">
        <v>0</v>
      </c>
      <c r="G596" s="523"/>
    </row>
    <row r="597" spans="1:10" s="611" customFormat="1" ht="15.75" thickBot="1" x14ac:dyDescent="0.3">
      <c r="D597" s="1" t="s">
        <v>1509</v>
      </c>
      <c r="E597" s="20" t="str">
        <f>'Released Misc Fits'!T34</f>
        <v/>
      </c>
      <c r="F597" s="245" t="str">
        <f>IF(F598=2,E303,"")</f>
        <v/>
      </c>
      <c r="G597" s="523"/>
    </row>
    <row r="598" spans="1:10" s="611" customFormat="1" ht="15.75" thickBot="1" x14ac:dyDescent="0.3">
      <c r="D598" s="1" t="s">
        <v>1316</v>
      </c>
      <c r="E598" s="734" t="str">
        <f>IF(VLOOKUP(F598,Data!BV2:BW5,2)="","N/A",VLOOKUP(F598,Data!BV2:BW5,2))</f>
        <v>N/A</v>
      </c>
      <c r="F598" s="538">
        <v>1</v>
      </c>
      <c r="G598" s="523"/>
    </row>
    <row r="599" spans="1:10" s="611" customFormat="1" ht="15.75" thickBot="1" x14ac:dyDescent="0.3">
      <c r="D599" s="1" t="s">
        <v>1315</v>
      </c>
      <c r="E599" s="611" t="str">
        <f>'Released Misc Fits'!T38</f>
        <v/>
      </c>
      <c r="F599" s="245" t="str">
        <f>IF(F600&lt;=1,"",E301)</f>
        <v/>
      </c>
      <c r="G599" s="602"/>
    </row>
    <row r="600" spans="1:10" s="611" customFormat="1" ht="15.75" thickBot="1" x14ac:dyDescent="0.3">
      <c r="D600" s="1" t="s">
        <v>1316</v>
      </c>
      <c r="E600" s="724" t="str">
        <f>IF(F600=1,"Good",IF(F600=2,"Bad","N/A"))</f>
        <v>N/A</v>
      </c>
      <c r="F600" s="538">
        <v>0</v>
      </c>
      <c r="G600" s="523"/>
    </row>
    <row r="601" spans="1:10" s="464" customFormat="1" x14ac:dyDescent="0.25">
      <c r="A601" s="611"/>
      <c r="B601" s="611"/>
      <c r="C601" s="611"/>
      <c r="D601" s="1" t="s">
        <v>1317</v>
      </c>
      <c r="E601" s="725" t="s">
        <v>131</v>
      </c>
      <c r="F601" s="611"/>
      <c r="G601" s="523"/>
      <c r="H601" s="611"/>
      <c r="I601" s="464" t="s">
        <v>1502</v>
      </c>
    </row>
    <row r="602" spans="1:10" s="611" customFormat="1" x14ac:dyDescent="0.25"/>
    <row r="603" spans="1:10" s="611" customFormat="1" ht="15.75" x14ac:dyDescent="0.25">
      <c r="A603" s="1455" t="s">
        <v>1576</v>
      </c>
      <c r="B603" s="1455"/>
      <c r="C603" s="1455"/>
      <c r="D603" s="1455"/>
      <c r="E603" s="1455"/>
      <c r="F603" s="1455"/>
    </row>
    <row r="604" spans="1:10" x14ac:dyDescent="0.25">
      <c r="D604" s="887" t="s">
        <v>753</v>
      </c>
      <c r="E604" s="887"/>
      <c r="F604" s="887"/>
      <c r="G604" t="str">
        <f>IF(H604=1,"Yes",IF(H604=2,"No","N/A"))</f>
        <v>N/A</v>
      </c>
      <c r="H604" s="887">
        <v>0</v>
      </c>
      <c r="I604" s="887" t="str">
        <f>IF('Pre-Assembly Checklist'!M8="","",'Pre-Assembly Checklist'!M8)</f>
        <v/>
      </c>
      <c r="J604" s="887"/>
    </row>
    <row r="605" spans="1:10" x14ac:dyDescent="0.25">
      <c r="D605" s="887" t="s">
        <v>1543</v>
      </c>
      <c r="E605" s="887"/>
      <c r="F605" s="887"/>
      <c r="G605" s="611" t="str">
        <f t="shared" ref="G605:G617" si="9">IF(H605=1,"Yes",IF(H605=2,"No","N/A"))</f>
        <v>N/A</v>
      </c>
      <c r="H605" s="887">
        <v>0</v>
      </c>
      <c r="I605" s="887" t="str">
        <f>IF('Pre-Assembly Checklist'!M10="","",'Pre-Assembly Checklist'!M10)</f>
        <v/>
      </c>
      <c r="J605" s="887"/>
    </row>
    <row r="606" spans="1:10" x14ac:dyDescent="0.25">
      <c r="D606" s="887" t="s">
        <v>1091</v>
      </c>
      <c r="E606" s="887"/>
      <c r="F606" s="887"/>
      <c r="G606" s="611" t="str">
        <f t="shared" si="9"/>
        <v>N/A</v>
      </c>
      <c r="H606" s="887">
        <v>0</v>
      </c>
      <c r="I606" s="887" t="str">
        <f>IF('Pre-Assembly Checklist'!M12="","",'Pre-Assembly Checklist'!M12)</f>
        <v/>
      </c>
      <c r="J606" s="887"/>
    </row>
    <row r="607" spans="1:10" x14ac:dyDescent="0.25">
      <c r="D607" s="887" t="s">
        <v>1542</v>
      </c>
      <c r="E607" s="887"/>
      <c r="F607" s="887"/>
      <c r="G607" s="611" t="str">
        <f t="shared" si="9"/>
        <v>N/A</v>
      </c>
      <c r="H607" s="887">
        <v>0</v>
      </c>
      <c r="I607" s="887" t="str">
        <f>IF('Pre-Assembly Checklist'!M14="","",'Pre-Assembly Checklist'!M14)</f>
        <v/>
      </c>
      <c r="J607" s="887"/>
    </row>
    <row r="608" spans="1:10" x14ac:dyDescent="0.25">
      <c r="D608" s="887" t="s">
        <v>883</v>
      </c>
      <c r="E608" s="887"/>
      <c r="F608" s="887"/>
      <c r="G608" s="611" t="str">
        <f t="shared" si="9"/>
        <v>N/A</v>
      </c>
      <c r="H608" s="887">
        <v>0</v>
      </c>
      <c r="I608" s="887" t="str">
        <f>IF('Pre-Assembly Checklist'!M18="","",'Pre-Assembly Checklist'!M18)</f>
        <v/>
      </c>
      <c r="J608" s="887"/>
    </row>
    <row r="609" spans="1:10" x14ac:dyDescent="0.25">
      <c r="D609" s="887" t="s">
        <v>895</v>
      </c>
      <c r="E609" s="887"/>
      <c r="F609" s="887"/>
      <c r="G609" s="611" t="str">
        <f t="shared" si="9"/>
        <v>N/A</v>
      </c>
      <c r="H609" s="887">
        <v>0</v>
      </c>
      <c r="I609" s="887" t="str">
        <f>IF('Pre-Assembly Checklist'!M20="","",'Pre-Assembly Checklist'!M20)</f>
        <v/>
      </c>
      <c r="J609" s="887"/>
    </row>
    <row r="610" spans="1:10" x14ac:dyDescent="0.25">
      <c r="D610" s="887" t="s">
        <v>1035</v>
      </c>
      <c r="E610" s="887"/>
      <c r="F610" s="887"/>
      <c r="G610" s="611" t="str">
        <f t="shared" si="9"/>
        <v>N/A</v>
      </c>
      <c r="H610" s="887">
        <v>0</v>
      </c>
      <c r="I610" s="887" t="str">
        <f>IF('Pre-Assembly Checklist'!M22="","",'Pre-Assembly Checklist'!M22)</f>
        <v/>
      </c>
      <c r="J610" s="887"/>
    </row>
    <row r="611" spans="1:10" x14ac:dyDescent="0.25">
      <c r="D611" s="887" t="s">
        <v>757</v>
      </c>
      <c r="E611" s="887"/>
      <c r="F611" s="887"/>
      <c r="G611" s="611" t="str">
        <f t="shared" si="9"/>
        <v>N/A</v>
      </c>
      <c r="H611" s="887">
        <v>0</v>
      </c>
      <c r="I611" s="887" t="str">
        <f>IF('Pre-Assembly Checklist'!M24="","",'Pre-Assembly Checklist'!M24)</f>
        <v/>
      </c>
      <c r="J611" s="887"/>
    </row>
    <row r="612" spans="1:10" x14ac:dyDescent="0.25">
      <c r="D612" s="887" t="s">
        <v>718</v>
      </c>
      <c r="E612" s="887"/>
      <c r="F612" s="887"/>
      <c r="G612" s="611" t="str">
        <f t="shared" si="9"/>
        <v>N/A</v>
      </c>
      <c r="H612" s="887">
        <v>0</v>
      </c>
      <c r="I612" s="887" t="str">
        <f>IF('Pre-Assembly Checklist'!M26="","",'Pre-Assembly Checklist'!M26)</f>
        <v/>
      </c>
      <c r="J612" s="887"/>
    </row>
    <row r="613" spans="1:10" x14ac:dyDescent="0.25">
      <c r="D613" s="887" t="s">
        <v>892</v>
      </c>
      <c r="E613" s="887"/>
      <c r="F613" s="887"/>
      <c r="G613" s="611" t="str">
        <f t="shared" si="9"/>
        <v>N/A</v>
      </c>
      <c r="H613" s="887">
        <v>0</v>
      </c>
      <c r="I613" s="887" t="str">
        <f>IF('Pre-Assembly Checklist'!M28="","",'Pre-Assembly Checklist'!M28)</f>
        <v/>
      </c>
      <c r="J613" s="887"/>
    </row>
    <row r="614" spans="1:10" x14ac:dyDescent="0.25">
      <c r="D614" s="887" t="s">
        <v>893</v>
      </c>
      <c r="E614" s="887"/>
      <c r="F614" s="887"/>
      <c r="G614" s="611" t="str">
        <f t="shared" si="9"/>
        <v>N/A</v>
      </c>
      <c r="H614" s="887">
        <v>0</v>
      </c>
      <c r="I614" s="887" t="str">
        <f>IF('Pre-Assembly Checklist'!M30="","",'Pre-Assembly Checklist'!M30)</f>
        <v/>
      </c>
      <c r="J614" s="887"/>
    </row>
    <row r="615" spans="1:10" x14ac:dyDescent="0.25">
      <c r="D615" s="887" t="s">
        <v>756</v>
      </c>
      <c r="E615" s="887"/>
      <c r="F615" s="887"/>
      <c r="G615" s="611" t="str">
        <f t="shared" si="9"/>
        <v>N/A</v>
      </c>
      <c r="H615" s="887">
        <v>0</v>
      </c>
      <c r="I615" s="887" t="str">
        <f>IF('Pre-Assembly Checklist'!M32="","",'Pre-Assembly Checklist'!M32)</f>
        <v/>
      </c>
      <c r="J615" s="887"/>
    </row>
    <row r="616" spans="1:10" x14ac:dyDescent="0.25">
      <c r="D616" s="887" t="s">
        <v>1544</v>
      </c>
      <c r="E616" s="887"/>
      <c r="F616" s="887"/>
      <c r="G616" s="611" t="str">
        <f t="shared" si="9"/>
        <v>N/A</v>
      </c>
      <c r="H616" s="887">
        <v>0</v>
      </c>
      <c r="I616" s="887" t="str">
        <f>IF('Pre-Assembly Checklist'!M34="","",'Pre-Assembly Checklist'!M34)</f>
        <v/>
      </c>
      <c r="J616" s="887"/>
    </row>
    <row r="617" spans="1:10" x14ac:dyDescent="0.25">
      <c r="A617" s="611"/>
      <c r="B617" s="611"/>
      <c r="C617" s="611"/>
      <c r="D617" s="887" t="s">
        <v>725</v>
      </c>
      <c r="E617" s="887"/>
      <c r="F617" s="887"/>
      <c r="G617" s="611" t="str">
        <f t="shared" si="9"/>
        <v>N/A</v>
      </c>
      <c r="H617" s="887">
        <v>0</v>
      </c>
      <c r="I617" s="887" t="str">
        <f>IF('Pre-Assembly Checklist'!M36="","",'Pre-Assembly Checklist'!M36)</f>
        <v/>
      </c>
      <c r="J617" s="887"/>
    </row>
    <row r="618" spans="1:10" s="611" customFormat="1" x14ac:dyDescent="0.25">
      <c r="D618" s="887" t="s">
        <v>1577</v>
      </c>
      <c r="E618" s="887" t="s">
        <v>131</v>
      </c>
      <c r="F618" s="887"/>
      <c r="G618" s="887"/>
      <c r="H618" s="887"/>
      <c r="I618" s="887"/>
      <c r="J618" s="887"/>
    </row>
    <row r="619" spans="1:10" s="611" customFormat="1" x14ac:dyDescent="0.25">
      <c r="D619" s="887"/>
      <c r="E619" s="887"/>
      <c r="F619" s="887"/>
      <c r="G619" s="887"/>
      <c r="H619" s="887"/>
      <c r="I619" s="887"/>
      <c r="J619" s="887"/>
    </row>
    <row r="620" spans="1:10" x14ac:dyDescent="0.25">
      <c r="C620" s="157"/>
      <c r="D620" t="s">
        <v>684</v>
      </c>
    </row>
    <row r="621" spans="1:10" x14ac:dyDescent="0.25">
      <c r="D621" s="13" t="s">
        <v>590</v>
      </c>
    </row>
    <row r="622" spans="1:10" x14ac:dyDescent="0.25">
      <c r="D622" s="1"/>
      <c r="E622" t="s">
        <v>593</v>
      </c>
      <c r="F622" t="s">
        <v>599</v>
      </c>
      <c r="G622" t="s">
        <v>683</v>
      </c>
    </row>
    <row r="623" spans="1:10" x14ac:dyDescent="0.25">
      <c r="D623" s="1"/>
      <c r="E623" t="e">
        <f>IF(OR(F625="N",G625=""),"",(G625*28.3495)/2)</f>
        <v>#VALUE!</v>
      </c>
      <c r="F623" t="str">
        <f>IFERROR(ROUND(E623,2),"")</f>
        <v/>
      </c>
      <c r="G623" s="55" t="str">
        <f>IFERROR(ROUND(G625,4),"")</f>
        <v/>
      </c>
    </row>
    <row r="624" spans="1:10" x14ac:dyDescent="0.25">
      <c r="E624" t="str">
        <f>IF(E636=TRUE,"4W",IF(E233&lt;&gt;0,"2","2W/4W"))</f>
        <v>2W/4W</v>
      </c>
      <c r="F624" t="s">
        <v>591</v>
      </c>
      <c r="G624" t="s">
        <v>592</v>
      </c>
    </row>
    <row r="625" spans="1:8" x14ac:dyDescent="0.25">
      <c r="D625" s="1" t="s">
        <v>588</v>
      </c>
      <c r="E625" t="str">
        <f>IF(E636=TRUE,IF(E233&lt;&gt;0,(4*E233),"4 x W"),IF(E233&lt;&gt;0,(2*E233),"2 X W"))</f>
        <v>2 X W</v>
      </c>
      <c r="F625" t="str">
        <f>IF(F28="","N",IF(AND(F28&gt;300,F28&lt;=600),"600",IF(AND(F28&gt;600,F28&lt;=900),"900",IF(AND(F28&gt;900,F28&lt;=1200),"1200",IF(AND(F28&gt;1200,F28&lt;=1800),"1800",IF(AND(F28&gt;1800,F28&lt;=3600),"3600","N"))))))</f>
        <v>1800</v>
      </c>
      <c r="G625" t="e">
        <f>IF(OR(E625="2W",E625="4W",F625="N"),"",(E625/F625))</f>
        <v>#VALUE!</v>
      </c>
    </row>
    <row r="626" spans="1:8" s="611" customFormat="1" x14ac:dyDescent="0.25">
      <c r="A626"/>
      <c r="B626"/>
      <c r="C626" s="157"/>
      <c r="D626" s="1"/>
      <c r="E626" t="s">
        <v>685</v>
      </c>
      <c r="F626" t="s">
        <v>645</v>
      </c>
      <c r="G626" t="str">
        <f>IF(E636=TRUE,"4W","2W")</f>
        <v>2W</v>
      </c>
      <c r="H626"/>
    </row>
    <row r="627" spans="1:8" s="611" customFormat="1" x14ac:dyDescent="0.25">
      <c r="A627"/>
      <c r="B627"/>
      <c r="C627" s="157"/>
      <c r="D627" s="1" t="s">
        <v>72</v>
      </c>
      <c r="E627" s="173">
        <f>IF(E233=0,F627,E233)</f>
        <v>0</v>
      </c>
      <c r="F627" s="173">
        <f>'Balancing and Bearing'!I18</f>
        <v>0</v>
      </c>
      <c r="G627"/>
      <c r="H627"/>
    </row>
    <row r="628" spans="1:8" s="611" customFormat="1" x14ac:dyDescent="0.25">
      <c r="A628"/>
      <c r="B628"/>
      <c r="C628" s="157"/>
      <c r="D628" s="1" t="s">
        <v>641</v>
      </c>
      <c r="E628" s="157" t="str">
        <f>IF(ISBLANK('Balancing and Bearing'!E14),"N/A",'Balancing and Bearing'!E14)</f>
        <v>N/A</v>
      </c>
      <c r="F628" t="str">
        <f>IF(ISBLANK('Balancing and Bearing'!I14),"N/A",'Balancing and Bearing'!I14)</f>
        <v>N/A</v>
      </c>
      <c r="G628"/>
      <c r="H628"/>
    </row>
    <row r="629" spans="1:8" s="611" customFormat="1" x14ac:dyDescent="0.25">
      <c r="A629"/>
      <c r="B629"/>
      <c r="C629" s="157"/>
      <c r="D629" s="1" t="s">
        <v>686</v>
      </c>
      <c r="E629" t="str">
        <f>IF(ISBLANK('Balancing and Bearing'!N14),"N/A",'Balancing and Bearing'!N14)</f>
        <v>N/A</v>
      </c>
      <c r="F629" t="str">
        <f>IF(ISBLANK('Balancing and Bearing'!R14),"N/A",'Balancing and Bearing'!R14)</f>
        <v>N/A</v>
      </c>
      <c r="G629"/>
      <c r="H629"/>
    </row>
    <row r="630" spans="1:8" s="611" customFormat="1" x14ac:dyDescent="0.25">
      <c r="A630"/>
      <c r="B630"/>
      <c r="C630" s="157"/>
      <c r="D630" s="1" t="s">
        <v>640</v>
      </c>
      <c r="E630" t="str">
        <f>IF(ISBLANK('Balancing and Bearing'!E16),"N/A",'Balancing and Bearing'!E16)</f>
        <v>N/A</v>
      </c>
      <c r="F630" t="str">
        <f>IF(ISBLANK('Balancing and Bearing'!I16),"N/A",'Balancing and Bearing'!I16)</f>
        <v>N/A</v>
      </c>
      <c r="G630"/>
      <c r="H630"/>
    </row>
    <row r="631" spans="1:8" s="611" customFormat="1" x14ac:dyDescent="0.25">
      <c r="A631"/>
      <c r="B631"/>
      <c r="C631" s="157"/>
      <c r="D631" s="1" t="s">
        <v>687</v>
      </c>
      <c r="E631" t="str">
        <f>IF(ISBLANK('Balancing and Bearing'!N16),"N/A",'Balancing and Bearing'!N16)</f>
        <v>N/A</v>
      </c>
      <c r="F631" t="str">
        <f>IF(ISBLANK('Balancing and Bearing'!R16),"N/A",'Balancing and Bearing'!R16)</f>
        <v>N/A</v>
      </c>
      <c r="G631"/>
      <c r="H631"/>
    </row>
    <row r="632" spans="1:8" s="611" customFormat="1" x14ac:dyDescent="0.25">
      <c r="A632"/>
      <c r="B632"/>
      <c r="C632" s="157"/>
      <c r="D632" s="1" t="s">
        <v>872</v>
      </c>
      <c r="E632" s="55" t="str">
        <f>IF(ISBLANK('Balancing and Bearing'!I20),"N/A",'Balancing and Bearing'!I20)</f>
        <v>N/A</v>
      </c>
      <c r="F632"/>
      <c r="G632"/>
      <c r="H632"/>
    </row>
    <row r="633" spans="1:8" s="611" customFormat="1" x14ac:dyDescent="0.25">
      <c r="A633"/>
      <c r="B633"/>
      <c r="C633" s="157"/>
      <c r="D633" s="1" t="s">
        <v>873</v>
      </c>
      <c r="E633" s="55" t="str">
        <f>IF(ISBLANK('Balancing and Bearing'!I22),"N/A",'Balancing and Bearing'!I22)</f>
        <v>N/A</v>
      </c>
      <c r="F633"/>
      <c r="G633"/>
      <c r="H633"/>
    </row>
    <row r="634" spans="1:8" s="611" customFormat="1" x14ac:dyDescent="0.25">
      <c r="A634"/>
      <c r="B634"/>
      <c r="C634" s="157"/>
      <c r="D634" s="1"/>
      <c r="E634" t="s">
        <v>875</v>
      </c>
      <c r="F634" t="s">
        <v>876</v>
      </c>
      <c r="G634" t="s">
        <v>877</v>
      </c>
      <c r="H634" t="s">
        <v>878</v>
      </c>
    </row>
    <row r="635" spans="1:8" s="611" customFormat="1" x14ac:dyDescent="0.25">
      <c r="A635"/>
      <c r="B635"/>
      <c r="C635" s="157"/>
      <c r="D635" s="1" t="s">
        <v>874</v>
      </c>
      <c r="E635" t="b">
        <v>0</v>
      </c>
      <c r="F635" t="b">
        <v>0</v>
      </c>
      <c r="G635" t="b">
        <v>0</v>
      </c>
      <c r="H635" t="b">
        <v>0</v>
      </c>
    </row>
    <row r="636" spans="1:8" s="611" customFormat="1" x14ac:dyDescent="0.25">
      <c r="A636"/>
      <c r="B636"/>
      <c r="C636" s="157"/>
      <c r="D636" s="1" t="s">
        <v>1488</v>
      </c>
      <c r="E636" t="b">
        <v>0</v>
      </c>
      <c r="F636"/>
      <c r="G636"/>
      <c r="H636"/>
    </row>
    <row r="637" spans="1:8" s="611" customFormat="1" x14ac:dyDescent="0.25">
      <c r="C637" s="604"/>
      <c r="D637" s="1" t="s">
        <v>1516</v>
      </c>
      <c r="E637" s="20" t="str">
        <f>IF(ISBLANK('Balancing and Bearing'!E24),"",'Balancing and Bearing'!E24)</f>
        <v>Fan</v>
      </c>
    </row>
    <row r="638" spans="1:8" s="611" customFormat="1" x14ac:dyDescent="0.25">
      <c r="C638" s="604"/>
      <c r="D638" s="1" t="s">
        <v>72</v>
      </c>
      <c r="E638" s="20" t="str">
        <f>IF(ISBLANK('Balancing and Bearing'!E26),"N/A",'Balancing and Bearing'!E26)</f>
        <v>N/A</v>
      </c>
    </row>
    <row r="639" spans="1:8" s="611" customFormat="1" x14ac:dyDescent="0.25">
      <c r="C639" s="604"/>
      <c r="D639" s="1" t="s">
        <v>588</v>
      </c>
      <c r="E639" s="20" t="str">
        <f>IFERROR(FIXED(ROUND((E638*E624)/F625*28.3945&amp;" Gin",2),2),"N/A")</f>
        <v>N/A</v>
      </c>
      <c r="F639" s="737" t="s">
        <v>645</v>
      </c>
    </row>
    <row r="640" spans="1:8" s="611" customFormat="1" x14ac:dyDescent="0.25">
      <c r="C640" s="604"/>
      <c r="D640" s="1" t="s">
        <v>1513</v>
      </c>
      <c r="E640" s="20" t="str">
        <f>IF(ISBLANK('Balancing and Bearing'!E30),"N/A",'Balancing and Bearing'!E30)</f>
        <v>N/A</v>
      </c>
      <c r="F640" s="20" t="str">
        <f>IF(ISBLANK('Balancing and Bearing'!G30),"N/A",'Balancing and Bearing'!G30)</f>
        <v>N/A</v>
      </c>
    </row>
    <row r="641" spans="1:8" s="611" customFormat="1" x14ac:dyDescent="0.25">
      <c r="C641" s="604"/>
      <c r="D641" s="1" t="s">
        <v>1514</v>
      </c>
      <c r="E641" s="20" t="str">
        <f>IF(ISBLANK('Balancing and Bearing'!E32),"N/A",'Balancing and Bearing'!E32)</f>
        <v>N/A</v>
      </c>
      <c r="F641" s="20" t="str">
        <f>IF(ISBLANK('Balancing and Bearing'!G32),"N/A",'Balancing and Bearing'!G32)</f>
        <v>N/A</v>
      </c>
    </row>
    <row r="642" spans="1:8" s="611" customFormat="1" x14ac:dyDescent="0.25">
      <c r="C642" s="604"/>
      <c r="D642" s="1"/>
      <c r="E642" s="611" t="s">
        <v>875</v>
      </c>
      <c r="F642" s="611" t="s">
        <v>876</v>
      </c>
      <c r="G642" s="611" t="s">
        <v>877</v>
      </c>
      <c r="H642" s="611" t="s">
        <v>878</v>
      </c>
    </row>
    <row r="643" spans="1:8" s="611" customFormat="1" x14ac:dyDescent="0.25">
      <c r="C643" s="604"/>
      <c r="D643" s="1" t="s">
        <v>874</v>
      </c>
      <c r="E643" s="611" t="b">
        <v>0</v>
      </c>
      <c r="F643" s="611" t="b">
        <v>0</v>
      </c>
      <c r="G643" s="611" t="b">
        <v>0</v>
      </c>
      <c r="H643" s="611" t="b">
        <v>0</v>
      </c>
    </row>
    <row r="644" spans="1:8" s="611" customFormat="1" x14ac:dyDescent="0.25">
      <c r="C644" s="604"/>
      <c r="D644" s="1" t="s">
        <v>1516</v>
      </c>
      <c r="E644" s="20" t="str">
        <f>IF(ISBLANK('Balancing and Bearing'!N24),"",'Balancing and Bearing'!N24)</f>
        <v/>
      </c>
    </row>
    <row r="645" spans="1:8" s="611" customFormat="1" x14ac:dyDescent="0.25">
      <c r="C645" s="604"/>
      <c r="D645" s="1" t="s">
        <v>72</v>
      </c>
      <c r="E645" s="20" t="str">
        <f>IF(ISBLANK('Balancing and Bearing'!N26),"N/A",'Balancing and Bearing'!N26)</f>
        <v>N/A</v>
      </c>
    </row>
    <row r="646" spans="1:8" s="611" customFormat="1" x14ac:dyDescent="0.25">
      <c r="C646" s="604"/>
      <c r="D646" s="1" t="s">
        <v>588</v>
      </c>
      <c r="E646" s="20" t="str">
        <f>IFERROR(FIXED(ROUND((E645*E624)/F625*28.3945 &amp;" Gin",2),2),"N/A")</f>
        <v>N/A</v>
      </c>
      <c r="F646" s="737" t="s">
        <v>645</v>
      </c>
    </row>
    <row r="647" spans="1:8" s="611" customFormat="1" x14ac:dyDescent="0.25">
      <c r="C647" s="604"/>
      <c r="D647" s="1" t="s">
        <v>1513</v>
      </c>
      <c r="E647" s="20" t="str">
        <f>IF(ISBLANK('Balancing and Bearing'!P30),"N/A",'Balancing and Bearing'!P30)</f>
        <v>N/A</v>
      </c>
      <c r="F647" s="20" t="str">
        <f>IF(ISBLANK('Balancing and Bearing'!R30),"N/A",'Balancing and Bearing'!R30)</f>
        <v>N/A</v>
      </c>
    </row>
    <row r="648" spans="1:8" s="611" customFormat="1" x14ac:dyDescent="0.25">
      <c r="A648"/>
      <c r="B648"/>
      <c r="C648" s="157"/>
      <c r="D648" s="1" t="s">
        <v>1514</v>
      </c>
      <c r="E648" s="20" t="str">
        <f>IF(ISBLANK('Balancing and Bearing'!P32),"N/A",'Balancing and Bearing'!P32)</f>
        <v>N/A</v>
      </c>
      <c r="F648" s="20" t="str">
        <f>IF(ISBLANK('Balancing and Bearing'!R32),"N/A",'Balancing and Bearing'!R32)</f>
        <v>N/A</v>
      </c>
    </row>
    <row r="649" spans="1:8" s="611" customFormat="1" x14ac:dyDescent="0.25">
      <c r="C649" s="604"/>
      <c r="D649" s="1" t="s">
        <v>648</v>
      </c>
      <c r="E649" s="396" t="s">
        <v>131</v>
      </c>
      <c r="F649" s="396"/>
    </row>
    <row r="650" spans="1:8" s="611" customFormat="1" x14ac:dyDescent="0.25">
      <c r="A650"/>
      <c r="B650"/>
      <c r="C650" s="157"/>
      <c r="D650" s="1"/>
      <c r="E650" s="611" t="s">
        <v>875</v>
      </c>
      <c r="F650" s="611" t="s">
        <v>876</v>
      </c>
      <c r="G650" s="611" t="s">
        <v>877</v>
      </c>
      <c r="H650" s="611" t="s">
        <v>878</v>
      </c>
    </row>
    <row r="651" spans="1:8" s="611" customFormat="1" x14ac:dyDescent="0.25">
      <c r="A651"/>
      <c r="B651"/>
      <c r="C651" s="157"/>
      <c r="D651" s="1" t="s">
        <v>874</v>
      </c>
      <c r="E651" s="611" t="b">
        <v>0</v>
      </c>
      <c r="F651" s="611" t="b">
        <v>0</v>
      </c>
      <c r="G651" s="611" t="b">
        <v>0</v>
      </c>
      <c r="H651" s="611" t="b">
        <v>0</v>
      </c>
    </row>
    <row r="652" spans="1:8" s="611" customFormat="1" x14ac:dyDescent="0.25">
      <c r="A652"/>
      <c r="B652"/>
      <c r="C652" s="157"/>
      <c r="D652" s="1" t="s">
        <v>285</v>
      </c>
      <c r="E652" s="157">
        <v>1</v>
      </c>
      <c r="F652" t="str">
        <f>IF(E652=1,"N/A",VLOOKUP(E652,Data!AQ2:AR5,2,FALSE))</f>
        <v>N/A</v>
      </c>
      <c r="G652">
        <v>1</v>
      </c>
      <c r="H652" t="str">
        <f>IF(G652=1,"N/A",VLOOKUP(G652,Data!AS2:AT5,2,FALSE))</f>
        <v>N/A</v>
      </c>
    </row>
    <row r="653" spans="1:8" s="611" customFormat="1" x14ac:dyDescent="0.25">
      <c r="A653"/>
      <c r="B653"/>
      <c r="C653" s="157"/>
      <c r="D653" s="1" t="s">
        <v>286</v>
      </c>
      <c r="E653" s="157">
        <v>1</v>
      </c>
      <c r="F653" t="str">
        <f>IF(E653=1,"N/A",VLOOKUP(E653,Data!AQ3:AR6,2,FALSE))</f>
        <v>N/A</v>
      </c>
      <c r="G653">
        <v>1</v>
      </c>
      <c r="H653" t="str">
        <f>IF(G653=1,"N/A",VLOOKUP(G653,Data!AS3:AT6,2,FALSE))</f>
        <v>N/A</v>
      </c>
    </row>
    <row r="654" spans="1:8" x14ac:dyDescent="0.25">
      <c r="C654" s="157"/>
      <c r="D654" s="1" t="s">
        <v>862</v>
      </c>
      <c r="E654">
        <f>IF(F654=1,'Balancing and Bearing'!AC14,VLOOKUP(F654,Data!CN2:CO7,2,FALSE))</f>
        <v>0</v>
      </c>
      <c r="F654" s="157">
        <v>1</v>
      </c>
    </row>
    <row r="655" spans="1:8" x14ac:dyDescent="0.25">
      <c r="C655" s="157"/>
      <c r="D655" s="1" t="s">
        <v>1040</v>
      </c>
      <c r="E655" s="157" t="str">
        <f>IF(ISBLANK('Balancing and Bearing'!AC8),"N/A",'Balancing and Bearing'!AC8)</f>
        <v>N/A</v>
      </c>
    </row>
    <row r="656" spans="1:8" x14ac:dyDescent="0.25">
      <c r="C656" s="157"/>
      <c r="D656" s="1" t="s">
        <v>1039</v>
      </c>
      <c r="E656" s="157" t="str">
        <f>IF(ISBLANK('Balancing and Bearing'!AC10),"N/A",'Balancing and Bearing'!AC10)</f>
        <v>N/A</v>
      </c>
    </row>
    <row r="657" spans="1:8" x14ac:dyDescent="0.25">
      <c r="C657" s="157"/>
      <c r="D657" s="1" t="s">
        <v>861</v>
      </c>
      <c r="E657" t="str">
        <f>IF(F657=1,"N/A",VLOOKUP(F657,Data!CP2:CQ8,2,FALSE))</f>
        <v>N/A</v>
      </c>
      <c r="F657" s="157">
        <v>1</v>
      </c>
    </row>
    <row r="658" spans="1:8" s="611" customFormat="1" x14ac:dyDescent="0.25">
      <c r="C658" s="604"/>
      <c r="D658" s="1" t="s">
        <v>1042</v>
      </c>
      <c r="E658" s="157">
        <f>IF(F657=1,'Balancing and Bearing'!Z16,VLOOKUP(F657,Data!CP2:CQ9,2))</f>
        <v>0</v>
      </c>
    </row>
    <row r="659" spans="1:8" s="611" customFormat="1" x14ac:dyDescent="0.25">
      <c r="C659" s="604"/>
      <c r="D659" s="1" t="s">
        <v>1517</v>
      </c>
      <c r="E659" s="611">
        <f>IF(F659=1,'Balancing and Bearing'!Z18,VLOOKUP(F659,Data!DR2:DS4,2))</f>
        <v>0</v>
      </c>
      <c r="F659" s="604">
        <v>1</v>
      </c>
    </row>
    <row r="660" spans="1:8" x14ac:dyDescent="0.25">
      <c r="C660" s="157"/>
      <c r="D660" s="1" t="s">
        <v>863</v>
      </c>
      <c r="E660" s="157"/>
    </row>
    <row r="661" spans="1:8" x14ac:dyDescent="0.25">
      <c r="C661" s="157"/>
      <c r="D661" s="1"/>
      <c r="E661" s="157"/>
    </row>
    <row r="662" spans="1:8" x14ac:dyDescent="0.25">
      <c r="C662" s="157"/>
      <c r="D662" s="1" t="s">
        <v>760</v>
      </c>
      <c r="E662" t="str">
        <f>IF(E218=TRUE,"Yes",IF(E218=FALSE,"No","N/A"))</f>
        <v>No</v>
      </c>
    </row>
    <row r="663" spans="1:8" x14ac:dyDescent="0.25">
      <c r="C663" s="157"/>
      <c r="D663" s="1"/>
      <c r="E663" t="s">
        <v>524</v>
      </c>
      <c r="F663" s="55" t="str">
        <f>IF('Balancing and Bearing'!Z26="","",'Balancing and Bearing'!Z26)</f>
        <v>N/A</v>
      </c>
    </row>
    <row r="664" spans="1:8" x14ac:dyDescent="0.25">
      <c r="C664" s="157"/>
      <c r="D664" s="1"/>
      <c r="E664" t="s">
        <v>525</v>
      </c>
      <c r="F664" s="55" t="str">
        <f>IF('Balancing and Bearing'!Z28="","",'Balancing and Bearing'!Z28)</f>
        <v>N/A</v>
      </c>
    </row>
    <row r="665" spans="1:8" x14ac:dyDescent="0.25">
      <c r="C665" s="157"/>
      <c r="D665" s="1"/>
      <c r="E665" t="s">
        <v>526</v>
      </c>
      <c r="F665" s="55" t="str">
        <f>IF('Balancing and Bearing'!Z30="","",'Balancing and Bearing'!Z30)</f>
        <v>N/A</v>
      </c>
    </row>
    <row r="666" spans="1:8" x14ac:dyDescent="0.25">
      <c r="C666" s="157"/>
      <c r="D666" s="1"/>
      <c r="E666" t="s">
        <v>527</v>
      </c>
      <c r="F666" s="55" t="str">
        <f>IFERROR(IF(G669&lt;5,(F665*2+F668)-(F663-F664),F665+F668-(F663-F664)),"N/A")</f>
        <v>N/A</v>
      </c>
    </row>
    <row r="667" spans="1:8" s="611" customFormat="1" x14ac:dyDescent="0.25">
      <c r="A667"/>
      <c r="B667"/>
      <c r="C667" s="157"/>
      <c r="D667" s="1"/>
      <c r="E667" t="s">
        <v>864</v>
      </c>
      <c r="F667" t="str">
        <f>IF(G667=1,"N/A",VLOOKUP(G667,Data!CR2:CS6,2,FALSE))</f>
        <v>N/A</v>
      </c>
      <c r="G667">
        <v>1</v>
      </c>
    </row>
    <row r="668" spans="1:8" x14ac:dyDescent="0.25">
      <c r="C668" s="157"/>
      <c r="D668" s="1"/>
      <c r="E668" t="s">
        <v>800</v>
      </c>
      <c r="F668" t="str">
        <f>IF('Balancing and Bearing'!Z36="","N/A",'Balancing and Bearing'!Z36)</f>
        <v>N/A</v>
      </c>
    </row>
    <row r="669" spans="1:8" x14ac:dyDescent="0.25">
      <c r="C669" s="157"/>
      <c r="D669" s="1"/>
      <c r="E669" t="s">
        <v>565</v>
      </c>
      <c r="F669" t="str">
        <f>IF(G669=2,"Back-to-Back",IF(G669=1,"Face-to-Face",IF(G669=3,"Tandem",IF(G669=4,"Back-To-Face",IF(G669=5,"Single","N/A")))))</f>
        <v>N/A</v>
      </c>
      <c r="G669">
        <v>0</v>
      </c>
    </row>
    <row r="670" spans="1:8" x14ac:dyDescent="0.25">
      <c r="C670" s="157"/>
      <c r="D670" s="1"/>
      <c r="E670" t="s">
        <v>648</v>
      </c>
      <c r="F670" s="74" t="s">
        <v>131</v>
      </c>
    </row>
    <row r="672" spans="1:8" x14ac:dyDescent="0.25">
      <c r="C672" s="157"/>
      <c r="D672" s="10" t="s">
        <v>761</v>
      </c>
      <c r="F672" t="s">
        <v>727</v>
      </c>
      <c r="G672" t="s">
        <v>869</v>
      </c>
      <c r="H672" t="s">
        <v>868</v>
      </c>
    </row>
    <row r="673" spans="3:8" x14ac:dyDescent="0.25">
      <c r="C673" s="157"/>
      <c r="D673" s="1"/>
      <c r="E673" t="s">
        <v>758</v>
      </c>
      <c r="F673">
        <v>0</v>
      </c>
      <c r="G673" t="str">
        <f>IF(F673=1,"Yes",IF(F673=2,"No","N/A"))</f>
        <v>N/A</v>
      </c>
      <c r="H673" t="str">
        <f>IF('Assembly Checklist'!M8="","",'Assembly Checklist'!M8)</f>
        <v/>
      </c>
    </row>
    <row r="674" spans="3:8" x14ac:dyDescent="0.25">
      <c r="C674" s="157"/>
      <c r="D674" s="1"/>
      <c r="E674" t="s">
        <v>754</v>
      </c>
      <c r="F674">
        <v>0</v>
      </c>
      <c r="G674" t="str">
        <f t="shared" ref="G674:G687" si="10">IF(F674=1,"Yes",IF(F674=2,"No","N/A"))</f>
        <v>N/A</v>
      </c>
      <c r="H674" t="str">
        <f>IF('Assembly Checklist'!M10="","",'Assembly Checklist'!M10)</f>
        <v/>
      </c>
    </row>
    <row r="675" spans="3:8" x14ac:dyDescent="0.25">
      <c r="C675" s="157"/>
      <c r="D675" s="1"/>
      <c r="E675" t="s">
        <v>763</v>
      </c>
      <c r="F675">
        <v>0</v>
      </c>
      <c r="G675" t="str">
        <f t="shared" si="10"/>
        <v>N/A</v>
      </c>
      <c r="H675" t="str">
        <f>IF('Assembly Checklist'!M14="","",'Assembly Checklist'!M14)</f>
        <v/>
      </c>
    </row>
    <row r="676" spans="3:8" x14ac:dyDescent="0.25">
      <c r="C676" s="157"/>
      <c r="D676" s="1"/>
      <c r="E676" t="s">
        <v>764</v>
      </c>
      <c r="F676">
        <v>0</v>
      </c>
      <c r="G676" t="str">
        <f t="shared" si="10"/>
        <v>N/A</v>
      </c>
      <c r="H676" t="str">
        <f>IF('Assembly Checklist'!M16="","",'Assembly Checklist'!M16)</f>
        <v/>
      </c>
    </row>
    <row r="677" spans="3:8" x14ac:dyDescent="0.25">
      <c r="C677" s="157"/>
      <c r="D677" s="1"/>
      <c r="E677" t="s">
        <v>762</v>
      </c>
      <c r="F677">
        <v>0</v>
      </c>
      <c r="G677" t="str">
        <f t="shared" si="10"/>
        <v>N/A</v>
      </c>
      <c r="H677" t="str">
        <f>IF('Assembly Checklist'!M18="","",'Assembly Checklist'!M18)</f>
        <v/>
      </c>
    </row>
    <row r="678" spans="3:8" x14ac:dyDescent="0.25">
      <c r="C678" s="157"/>
      <c r="D678" s="1"/>
      <c r="E678" t="s">
        <v>771</v>
      </c>
      <c r="F678">
        <v>0</v>
      </c>
      <c r="G678" t="str">
        <f t="shared" si="10"/>
        <v>N/A</v>
      </c>
      <c r="H678" t="str">
        <f>IF('Assembly Checklist'!M20="","",'Assembly Checklist'!M20)</f>
        <v/>
      </c>
    </row>
    <row r="679" spans="3:8" x14ac:dyDescent="0.25">
      <c r="C679" s="157"/>
      <c r="D679" s="1"/>
      <c r="E679" t="s">
        <v>770</v>
      </c>
      <c r="F679">
        <v>0</v>
      </c>
      <c r="G679" t="str">
        <f t="shared" si="10"/>
        <v>N/A</v>
      </c>
      <c r="H679" t="str">
        <f>IF('Assembly Checklist'!M22="","",'Assembly Checklist'!M22)</f>
        <v/>
      </c>
    </row>
    <row r="680" spans="3:8" x14ac:dyDescent="0.25">
      <c r="C680" s="157"/>
      <c r="D680" s="1"/>
      <c r="E680" t="s">
        <v>932</v>
      </c>
      <c r="F680">
        <v>0</v>
      </c>
      <c r="G680" t="str">
        <f t="shared" si="10"/>
        <v>N/A</v>
      </c>
      <c r="H680" t="str">
        <f>IF('Assembly Checklist'!M26="","",'Assembly Checklist'!M26)</f>
        <v/>
      </c>
    </row>
    <row r="681" spans="3:8" x14ac:dyDescent="0.25">
      <c r="C681" s="157"/>
      <c r="D681" s="1"/>
      <c r="E681" t="s">
        <v>765</v>
      </c>
      <c r="F681">
        <v>0</v>
      </c>
      <c r="G681" t="str">
        <f t="shared" si="10"/>
        <v>N/A</v>
      </c>
      <c r="H681" t="str">
        <f>IF('Assembly Checklist'!M28="","",'Assembly Checklist'!M28)</f>
        <v/>
      </c>
    </row>
    <row r="682" spans="3:8" x14ac:dyDescent="0.25">
      <c r="C682" s="157"/>
      <c r="D682" s="1"/>
      <c r="E682" t="s">
        <v>766</v>
      </c>
      <c r="F682">
        <v>0</v>
      </c>
      <c r="G682" t="str">
        <f t="shared" si="10"/>
        <v>N/A</v>
      </c>
      <c r="H682" t="str">
        <f>IF('Assembly Checklist'!M30="","",'Assembly Checklist'!M30)</f>
        <v/>
      </c>
    </row>
    <row r="683" spans="3:8" x14ac:dyDescent="0.25">
      <c r="C683" s="157"/>
      <c r="D683" s="1"/>
      <c r="E683" t="s">
        <v>767</v>
      </c>
      <c r="F683">
        <v>0</v>
      </c>
      <c r="G683" t="str">
        <f t="shared" si="10"/>
        <v>N/A</v>
      </c>
      <c r="H683" t="str">
        <f>IF('Assembly Checklist'!M32="","",'Assembly Checklist'!M32)</f>
        <v/>
      </c>
    </row>
    <row r="684" spans="3:8" x14ac:dyDescent="0.25">
      <c r="C684" s="157"/>
      <c r="D684" s="1"/>
      <c r="E684" t="s">
        <v>934</v>
      </c>
      <c r="F684">
        <v>0</v>
      </c>
      <c r="G684" t="str">
        <f t="shared" si="10"/>
        <v>N/A</v>
      </c>
      <c r="H684" t="str">
        <f>IF('Assembly Checklist'!M34="","",'Assembly Checklist'!M34)</f>
        <v/>
      </c>
    </row>
    <row r="685" spans="3:8" x14ac:dyDescent="0.25">
      <c r="C685" s="157"/>
      <c r="D685" s="1"/>
      <c r="E685" t="s">
        <v>933</v>
      </c>
      <c r="F685">
        <v>0</v>
      </c>
      <c r="G685" t="str">
        <f t="shared" si="10"/>
        <v>N/A</v>
      </c>
      <c r="H685" t="str">
        <f>IF('Assembly Checklist'!M36="","",'Assembly Checklist'!M36)</f>
        <v/>
      </c>
    </row>
    <row r="686" spans="3:8" x14ac:dyDescent="0.25">
      <c r="C686" s="157"/>
      <c r="D686" s="1"/>
      <c r="E686" t="s">
        <v>768</v>
      </c>
      <c r="F686">
        <v>0</v>
      </c>
      <c r="G686" t="str">
        <f t="shared" si="10"/>
        <v>N/A</v>
      </c>
      <c r="H686" t="str">
        <f>IF('Assembly Checklist'!M38="","",'Assembly Checklist'!M38)</f>
        <v/>
      </c>
    </row>
    <row r="687" spans="3:8" x14ac:dyDescent="0.25">
      <c r="C687" s="157"/>
      <c r="D687" s="1"/>
      <c r="E687" t="s">
        <v>769</v>
      </c>
      <c r="F687">
        <v>0</v>
      </c>
      <c r="G687" t="str">
        <f t="shared" si="10"/>
        <v>N/A</v>
      </c>
      <c r="H687" t="str">
        <f>IF('Assembly Checklist'!M40="","",'Assembly Checklist'!M40)</f>
        <v/>
      </c>
    </row>
    <row r="688" spans="3:8" x14ac:dyDescent="0.25">
      <c r="C688" s="157"/>
      <c r="D688" s="1"/>
    </row>
    <row r="689" spans="3:7" x14ac:dyDescent="0.25">
      <c r="C689" s="157"/>
      <c r="D689" s="1"/>
    </row>
    <row r="690" spans="3:7" x14ac:dyDescent="0.25">
      <c r="C690" s="157"/>
      <c r="D690" s="1"/>
    </row>
    <row r="691" spans="3:7" x14ac:dyDescent="0.25">
      <c r="C691" s="157"/>
      <c r="D691" s="1"/>
    </row>
    <row r="692" spans="3:7" x14ac:dyDescent="0.25">
      <c r="C692" s="157"/>
      <c r="D692" s="1"/>
    </row>
    <row r="693" spans="3:7" x14ac:dyDescent="0.25">
      <c r="C693" s="157"/>
      <c r="D693" s="1"/>
    </row>
    <row r="694" spans="3:7" x14ac:dyDescent="0.25">
      <c r="E694" s="2" t="s">
        <v>648</v>
      </c>
      <c r="F694" t="s">
        <v>131</v>
      </c>
    </row>
    <row r="695" spans="3:7" x14ac:dyDescent="0.25">
      <c r="C695" t="s">
        <v>903</v>
      </c>
      <c r="D695" s="1"/>
      <c r="E695" s="37"/>
    </row>
    <row r="696" spans="3:7" x14ac:dyDescent="0.25">
      <c r="C696" s="157"/>
      <c r="D696" s="1" t="s">
        <v>772</v>
      </c>
      <c r="E696" t="s">
        <v>904</v>
      </c>
      <c r="F696" t="s">
        <v>905</v>
      </c>
      <c r="G696" t="s">
        <v>906</v>
      </c>
    </row>
    <row r="697" spans="3:7" x14ac:dyDescent="0.25">
      <c r="C697" s="157"/>
      <c r="D697" s="2" t="s">
        <v>879</v>
      </c>
      <c r="E697">
        <v>0</v>
      </c>
      <c r="F697" t="str">
        <f t="shared" ref="F697:F702" si="11">IF(E697=1,"Yes",IF(E697=2,"No","N/A"))</f>
        <v>N/A</v>
      </c>
      <c r="G697" t="str">
        <f>IF('Acceptance Testing'!Q8="","",'Acceptance Testing'!Q8)</f>
        <v/>
      </c>
    </row>
    <row r="698" spans="3:7" x14ac:dyDescent="0.25">
      <c r="C698" s="157"/>
      <c r="D698" s="9" t="s">
        <v>801</v>
      </c>
      <c r="E698">
        <v>0</v>
      </c>
      <c r="F698" t="str">
        <f t="shared" si="11"/>
        <v>N/A</v>
      </c>
      <c r="G698" t="str">
        <f>IF('Acceptance Testing'!Q10="","",'Acceptance Testing'!Q10)</f>
        <v/>
      </c>
    </row>
    <row r="699" spans="3:7" x14ac:dyDescent="0.25">
      <c r="C699" s="157"/>
      <c r="D699" s="9" t="s">
        <v>793</v>
      </c>
      <c r="E699">
        <v>0</v>
      </c>
      <c r="F699" t="str">
        <f t="shared" si="11"/>
        <v>N/A</v>
      </c>
      <c r="G699" t="str">
        <f>IF('Acceptance Testing'!Q12="","",'Acceptance Testing'!Q12)</f>
        <v/>
      </c>
    </row>
    <row r="700" spans="3:7" x14ac:dyDescent="0.25">
      <c r="C700" s="157"/>
      <c r="D700" s="9" t="s">
        <v>794</v>
      </c>
      <c r="E700">
        <v>0</v>
      </c>
      <c r="F700" t="str">
        <f t="shared" si="11"/>
        <v>N/A</v>
      </c>
      <c r="G700" t="str">
        <f>IF('Acceptance Testing'!Q14="","",'Acceptance Testing'!Q14)</f>
        <v/>
      </c>
    </row>
    <row r="701" spans="3:7" x14ac:dyDescent="0.25">
      <c r="C701" s="157"/>
      <c r="D701" s="9" t="s">
        <v>795</v>
      </c>
      <c r="E701">
        <v>0</v>
      </c>
      <c r="F701" t="str">
        <f t="shared" si="11"/>
        <v>N/A</v>
      </c>
      <c r="G701" t="str">
        <f>IF('Acceptance Testing'!Q16="","",'Acceptance Testing'!Q16)</f>
        <v/>
      </c>
    </row>
    <row r="702" spans="3:7" x14ac:dyDescent="0.25">
      <c r="C702" s="157"/>
      <c r="D702" s="9" t="s">
        <v>796</v>
      </c>
      <c r="E702">
        <v>0</v>
      </c>
      <c r="F702" t="str">
        <f t="shared" si="11"/>
        <v>N/A</v>
      </c>
      <c r="G702" t="str">
        <f>IF('Acceptance Testing'!Q18="","",'Acceptance Testing'!Q18)</f>
        <v/>
      </c>
    </row>
    <row r="703" spans="3:7" x14ac:dyDescent="0.25">
      <c r="C703" s="157"/>
      <c r="D703" s="1"/>
    </row>
    <row r="704" spans="3:7" x14ac:dyDescent="0.25">
      <c r="C704" t="s">
        <v>915</v>
      </c>
      <c r="D704" s="1"/>
    </row>
    <row r="705" spans="3:8" x14ac:dyDescent="0.25">
      <c r="C705" s="157"/>
      <c r="D705" s="1" t="s">
        <v>228</v>
      </c>
      <c r="E705" t="str">
        <f>IF(ISBLANK('Acceptance Testing'!F24),"",'Acceptance Testing'!F24)</f>
        <v>ERROR</v>
      </c>
    </row>
    <row r="706" spans="3:8" x14ac:dyDescent="0.25">
      <c r="C706" s="157"/>
      <c r="D706" s="1" t="s">
        <v>453</v>
      </c>
      <c r="E706" t="str">
        <f>E177</f>
        <v>ERROR</v>
      </c>
    </row>
    <row r="707" spans="3:8" x14ac:dyDescent="0.25">
      <c r="C707" s="157"/>
      <c r="D707" s="1" t="s">
        <v>916</v>
      </c>
    </row>
    <row r="708" spans="3:8" x14ac:dyDescent="0.25">
      <c r="C708" s="157"/>
      <c r="D708" s="1"/>
      <c r="E708" t="s">
        <v>225</v>
      </c>
      <c r="F708" t="s">
        <v>226</v>
      </c>
      <c r="G708" t="s">
        <v>227</v>
      </c>
    </row>
    <row r="709" spans="3:8" x14ac:dyDescent="0.25">
      <c r="C709" s="157"/>
      <c r="D709" s="1" t="s">
        <v>917</v>
      </c>
      <c r="E709" t="str">
        <f>IF('Acceptance Testing'!F28="","N/A",'Acceptance Testing'!F28)</f>
        <v>N/A</v>
      </c>
      <c r="F709" s="392" t="str">
        <f>IF('Acceptance Testing'!I28="","N/A",'Acceptance Testing'!I28)</f>
        <v>N/A</v>
      </c>
      <c r="G709" s="392" t="str">
        <f>IF('Acceptance Testing'!L28="","N/A",'Acceptance Testing'!L28)</f>
        <v>N/A</v>
      </c>
    </row>
    <row r="710" spans="3:8" x14ac:dyDescent="0.25">
      <c r="C710" s="157"/>
      <c r="D710" s="1" t="s">
        <v>918</v>
      </c>
      <c r="F710" t="s">
        <v>441</v>
      </c>
      <c r="G710" t="s">
        <v>442</v>
      </c>
      <c r="H710" t="s">
        <v>797</v>
      </c>
    </row>
    <row r="711" spans="3:8" x14ac:dyDescent="0.25">
      <c r="C711" s="157"/>
      <c r="D711" s="1"/>
      <c r="E711" t="s">
        <v>597</v>
      </c>
      <c r="F711" t="str">
        <f>IF(ISBLANK('Acceptance Testing'!U26),"N/A",'Acceptance Testing'!U26&amp;"° F")</f>
        <v>N/A</v>
      </c>
      <c r="G711" t="str">
        <f>IF(ISBLANK('Acceptance Testing'!W26),"N/A",'Acceptance Testing'!W26&amp;"° F")</f>
        <v>N/A</v>
      </c>
      <c r="H711" t="str">
        <f>IF(ISBLANK('Acceptance Testing'!Y26),"N/A",'Acceptance Testing'!Y26)</f>
        <v>N/A</v>
      </c>
    </row>
    <row r="712" spans="3:8" x14ac:dyDescent="0.25">
      <c r="C712" s="157"/>
      <c r="D712" s="1"/>
      <c r="E712" t="s">
        <v>601</v>
      </c>
      <c r="F712" t="str">
        <f>IF(ISBLANK('Acceptance Testing'!U28),"N/A",'Acceptance Testing'!U28&amp;"° F")</f>
        <v>N/A</v>
      </c>
      <c r="G712" t="str">
        <f>IF(ISBLANK('Acceptance Testing'!W28),"N/A",'Acceptance Testing'!W28&amp;"° F")</f>
        <v>N/A</v>
      </c>
      <c r="H712" t="str">
        <f>IF(ISBLANK('Acceptance Testing'!Y28),"N/A",'Acceptance Testing'!Y28)</f>
        <v>N/A</v>
      </c>
    </row>
    <row r="713" spans="3:8" x14ac:dyDescent="0.25">
      <c r="C713" s="1" t="s">
        <v>919</v>
      </c>
      <c r="F713" t="s">
        <v>441</v>
      </c>
      <c r="G713" t="s">
        <v>442</v>
      </c>
    </row>
    <row r="714" spans="3:8" x14ac:dyDescent="0.25">
      <c r="C714" s="157"/>
      <c r="D714" s="1"/>
      <c r="E714" t="s">
        <v>370</v>
      </c>
      <c r="F714" t="str">
        <f>IF(ISBLANK('Acceptance Testing'!AF24),"N/A",'Acceptance Testing'!AF24)</f>
        <v>N/A</v>
      </c>
      <c r="G714" t="str">
        <f>IF(ISBLANK('Acceptance Testing'!AI24),"N/A",'Acceptance Testing'!AI24)</f>
        <v>N/A</v>
      </c>
    </row>
    <row r="715" spans="3:8" x14ac:dyDescent="0.25">
      <c r="C715" s="157"/>
      <c r="D715" s="1"/>
      <c r="E715" t="s">
        <v>69</v>
      </c>
      <c r="F715" t="str">
        <f>IF(ISBLANK('Acceptance Testing'!AF26),"N/A",'Acceptance Testing'!AF26)</f>
        <v>N/A</v>
      </c>
      <c r="G715" t="str">
        <f>IF(ISBLANK('Acceptance Testing'!AI26),"N/A",'Acceptance Testing'!AI26)</f>
        <v>N/A</v>
      </c>
    </row>
    <row r="716" spans="3:8" x14ac:dyDescent="0.25">
      <c r="C716" s="157"/>
      <c r="D716" s="1"/>
      <c r="E716" t="s">
        <v>70</v>
      </c>
      <c r="F716" t="str">
        <f>IF(ISBLANK('Acceptance Testing'!AF28),"N/A",'Acceptance Testing'!AF28)</f>
        <v>N/A</v>
      </c>
    </row>
    <row r="717" spans="3:8" x14ac:dyDescent="0.25">
      <c r="C717" t="s">
        <v>920</v>
      </c>
      <c r="D717" s="1"/>
    </row>
    <row r="718" spans="3:8" x14ac:dyDescent="0.25">
      <c r="C718" s="157"/>
      <c r="D718" s="1" t="s">
        <v>595</v>
      </c>
      <c r="E718" t="str">
        <f>IF(ISBLANK('Acceptance Testing'!AI8),"N/A",'Acceptance Testing'!AI8)</f>
        <v>N/A</v>
      </c>
    </row>
    <row r="719" spans="3:8" x14ac:dyDescent="0.25">
      <c r="C719" s="157"/>
      <c r="D719" s="1" t="s">
        <v>921</v>
      </c>
      <c r="E719" t="str">
        <f>IF(ISBLANK('Acceptance Testing'!AI10),"N/A",'Acceptance Testing'!AI10)</f>
        <v>N/A</v>
      </c>
    </row>
    <row r="720" spans="3:8" x14ac:dyDescent="0.25">
      <c r="C720" s="157"/>
      <c r="D720" s="1" t="s">
        <v>596</v>
      </c>
      <c r="E720" t="str">
        <f>IF(ISBLANK('Acceptance Testing'!AI12),"N/A",'Acceptance Testing'!AI12)</f>
        <v>N/A</v>
      </c>
    </row>
    <row r="721" spans="1:7" x14ac:dyDescent="0.25">
      <c r="C721" s="157"/>
      <c r="D721" s="1" t="s">
        <v>600</v>
      </c>
      <c r="E721" t="str">
        <f>IF(ISBLANK('Acceptance Testing'!AI14),"N/A",'Acceptance Testing'!AI14)</f>
        <v>N/A</v>
      </c>
    </row>
    <row r="722" spans="1:7" x14ac:dyDescent="0.25">
      <c r="C722" s="157"/>
      <c r="D722" s="1" t="s">
        <v>653</v>
      </c>
      <c r="E722" t="str">
        <f>IF(ISBLANK('Acceptance Testing'!AI16),"N/A",'Acceptance Testing'!AI16)</f>
        <v>N/A</v>
      </c>
    </row>
    <row r="723" spans="1:7" x14ac:dyDescent="0.25">
      <c r="C723" s="157"/>
      <c r="D723" s="1" t="s">
        <v>1048</v>
      </c>
      <c r="E723" t="str">
        <f>IF(ISBLANK('Acceptance Testing'!AI18),"N/A",'Acceptance Testing'!AI18)</f>
        <v>N/A</v>
      </c>
    </row>
    <row r="724" spans="1:7" x14ac:dyDescent="0.25">
      <c r="C724" t="s">
        <v>642</v>
      </c>
      <c r="D724" s="1"/>
    </row>
    <row r="725" spans="1:7" x14ac:dyDescent="0.25">
      <c r="C725" s="157"/>
      <c r="D725" s="1" t="s">
        <v>922</v>
      </c>
      <c r="E725" t="str">
        <f>IF(F56=TRUE,"Coupling Originally "&amp;IF(F57=1,"On Shaft By: "&amp;G56,IF(F57=2,"Off Shaft By: "&amp;G56,IF(F57=3,"Flush W/ End Of Shaft",""))),"No Coupling")</f>
        <v>No Coupling</v>
      </c>
    </row>
    <row r="726" spans="1:7" ht="14.25" customHeight="1" x14ac:dyDescent="0.25">
      <c r="C726" s="157"/>
      <c r="D726" s="1" t="s">
        <v>926</v>
      </c>
      <c r="E726">
        <v>0</v>
      </c>
      <c r="F726" t="str">
        <f>IF(E726=1,"On-Shaft",IF(E726=2,"Off-Shaft",IF(E726=3,"Flush","N/A")))</f>
        <v>N/A</v>
      </c>
    </row>
    <row r="727" spans="1:7" ht="14.25" customHeight="1" x14ac:dyDescent="0.25">
      <c r="D727" s="1" t="s">
        <v>927</v>
      </c>
      <c r="E727" s="1" t="str">
        <f>IF(ISBLANK('Acceptance Testing'!AD34),"N/A",'Acceptance Testing'!AD34)</f>
        <v>N/A</v>
      </c>
    </row>
    <row r="728" spans="1:7" ht="14.25" customHeight="1" x14ac:dyDescent="0.25">
      <c r="C728" s="157"/>
      <c r="D728" s="1" t="s">
        <v>923</v>
      </c>
      <c r="E728" t="str">
        <f>IF(ISBLANK('Acceptance Testing'!AF36),"N/A",'Acceptance Testing'!AF36)</f>
        <v>N/A</v>
      </c>
    </row>
    <row r="729" spans="1:7" ht="14.25" customHeight="1" x14ac:dyDescent="0.25">
      <c r="D729" s="1" t="s">
        <v>924</v>
      </c>
      <c r="E729" t="str">
        <f>IF(ISBLANK('Acceptance Testing'!AF38),"N/A",'Acceptance Testing'!AF38)</f>
        <v>N/A</v>
      </c>
    </row>
    <row r="730" spans="1:7" ht="14.25" customHeight="1" x14ac:dyDescent="0.25">
      <c r="C730" s="1" t="s">
        <v>925</v>
      </c>
      <c r="D730" t="s">
        <v>131</v>
      </c>
    </row>
    <row r="731" spans="1:7" ht="14.25" customHeight="1" x14ac:dyDescent="0.25">
      <c r="C731" s="157"/>
      <c r="D731" s="1"/>
    </row>
    <row r="732" spans="1:7" ht="14.25" customHeight="1" x14ac:dyDescent="0.25">
      <c r="A732" t="s">
        <v>972</v>
      </c>
      <c r="C732" s="157"/>
      <c r="D732" s="1"/>
      <c r="E732" t="s">
        <v>727</v>
      </c>
      <c r="F732" t="s">
        <v>869</v>
      </c>
      <c r="G732" t="s">
        <v>868</v>
      </c>
    </row>
    <row r="733" spans="1:7" ht="14.25" customHeight="1" x14ac:dyDescent="0.25">
      <c r="C733" s="157"/>
      <c r="D733" s="291" t="s">
        <v>959</v>
      </c>
      <c r="E733">
        <v>0</v>
      </c>
      <c r="F733" t="str">
        <f>IF(E733=1,"Yes",IF(E733=2,"No","N/A"))</f>
        <v>N/A</v>
      </c>
      <c r="G733" t="str">
        <f>IF('Quality Assurance'!M8="","",'Quality Assurance'!M8)</f>
        <v/>
      </c>
    </row>
    <row r="734" spans="1:7" ht="14.25" customHeight="1" x14ac:dyDescent="0.25">
      <c r="C734" s="157"/>
      <c r="D734" s="291" t="s">
        <v>778</v>
      </c>
      <c r="E734">
        <v>0</v>
      </c>
      <c r="F734" t="str">
        <f t="shared" ref="F734:F765" si="12">IF(E734=1,"Yes",IF(E734=2,"No","N/A"))</f>
        <v>N/A</v>
      </c>
      <c r="G734" t="str">
        <f>IF('Quality Assurance'!M10="","",'Quality Assurance'!M10)</f>
        <v/>
      </c>
    </row>
    <row r="735" spans="1:7" ht="14.25" customHeight="1" x14ac:dyDescent="0.25">
      <c r="C735" s="157"/>
      <c r="D735" s="291" t="s">
        <v>970</v>
      </c>
      <c r="E735">
        <v>0</v>
      </c>
      <c r="F735" t="str">
        <f t="shared" si="12"/>
        <v>N/A</v>
      </c>
      <c r="G735" t="str">
        <f>IF('Quality Assurance'!M12="","",'Quality Assurance'!M12)</f>
        <v/>
      </c>
    </row>
    <row r="736" spans="1:7" ht="14.25" customHeight="1" x14ac:dyDescent="0.25">
      <c r="C736" s="157"/>
      <c r="D736" s="291" t="s">
        <v>956</v>
      </c>
      <c r="E736">
        <v>0</v>
      </c>
      <c r="F736" t="str">
        <f t="shared" si="12"/>
        <v>N/A</v>
      </c>
      <c r="G736" t="str">
        <f>IF('Quality Assurance'!M14="","",'Quality Assurance'!M14)</f>
        <v/>
      </c>
    </row>
    <row r="737" spans="3:7" ht="14.25" customHeight="1" x14ac:dyDescent="0.25">
      <c r="C737" s="157"/>
      <c r="D737" s="291" t="s">
        <v>955</v>
      </c>
      <c r="E737">
        <v>0</v>
      </c>
      <c r="F737" t="str">
        <f t="shared" si="12"/>
        <v>N/A</v>
      </c>
      <c r="G737" t="str">
        <f>IF('Quality Assurance'!M16="","",'Quality Assurance'!M16)</f>
        <v/>
      </c>
    </row>
    <row r="738" spans="3:7" ht="14.25" customHeight="1" x14ac:dyDescent="0.25">
      <c r="C738" s="157"/>
      <c r="D738" s="291" t="s">
        <v>962</v>
      </c>
      <c r="E738">
        <v>0</v>
      </c>
      <c r="F738" t="str">
        <f t="shared" si="12"/>
        <v>N/A</v>
      </c>
      <c r="G738" t="str">
        <f>IF('Quality Assurance'!M18="","",'Quality Assurance'!M18)</f>
        <v/>
      </c>
    </row>
    <row r="739" spans="3:7" ht="14.25" customHeight="1" x14ac:dyDescent="0.25">
      <c r="C739" s="157"/>
      <c r="D739" s="291" t="s">
        <v>964</v>
      </c>
      <c r="E739">
        <v>0</v>
      </c>
      <c r="F739" t="str">
        <f t="shared" si="12"/>
        <v>N/A</v>
      </c>
      <c r="G739" t="str">
        <f>IF('Quality Assurance'!M20="","",'Quality Assurance'!M20)</f>
        <v/>
      </c>
    </row>
    <row r="740" spans="3:7" ht="14.25" customHeight="1" x14ac:dyDescent="0.25">
      <c r="C740" s="157"/>
      <c r="D740" s="291" t="s">
        <v>965</v>
      </c>
      <c r="E740">
        <v>0</v>
      </c>
      <c r="F740" t="str">
        <f t="shared" si="12"/>
        <v>N/A</v>
      </c>
      <c r="G740" t="str">
        <f>IF('Quality Assurance'!M22="","",'Quality Assurance'!M22)</f>
        <v/>
      </c>
    </row>
    <row r="741" spans="3:7" ht="14.25" customHeight="1" x14ac:dyDescent="0.25">
      <c r="C741" s="157"/>
      <c r="D741" s="291" t="s">
        <v>963</v>
      </c>
      <c r="E741">
        <v>0</v>
      </c>
      <c r="F741" t="str">
        <f t="shared" si="12"/>
        <v>N/A</v>
      </c>
      <c r="G741" t="str">
        <f>IF('Quality Assurance'!M24="","",'Quality Assurance'!M24)</f>
        <v/>
      </c>
    </row>
    <row r="742" spans="3:7" ht="14.25" customHeight="1" x14ac:dyDescent="0.25">
      <c r="C742" s="157"/>
      <c r="D742" s="291" t="s">
        <v>776</v>
      </c>
      <c r="E742">
        <v>0</v>
      </c>
      <c r="F742" t="str">
        <f t="shared" si="12"/>
        <v>N/A</v>
      </c>
      <c r="G742" t="str">
        <f>IF('Quality Assurance'!M28="","",'Quality Assurance'!M28)</f>
        <v/>
      </c>
    </row>
    <row r="743" spans="3:7" ht="14.25" customHeight="1" x14ac:dyDescent="0.25">
      <c r="C743" s="157"/>
      <c r="D743" s="291" t="s">
        <v>966</v>
      </c>
      <c r="E743">
        <v>0</v>
      </c>
      <c r="F743" t="str">
        <f t="shared" si="12"/>
        <v>N/A</v>
      </c>
      <c r="G743" t="str">
        <f>IF('Quality Assurance'!M30="","",'Quality Assurance'!M30)</f>
        <v/>
      </c>
    </row>
    <row r="744" spans="3:7" ht="14.25" customHeight="1" x14ac:dyDescent="0.25">
      <c r="C744" s="157"/>
      <c r="D744" s="291" t="s">
        <v>784</v>
      </c>
      <c r="E744">
        <v>0</v>
      </c>
      <c r="F744" t="str">
        <f t="shared" si="12"/>
        <v>N/A</v>
      </c>
      <c r="G744" t="str">
        <f>IF('Quality Assurance'!M32="","",'Quality Assurance'!M32)</f>
        <v/>
      </c>
    </row>
    <row r="745" spans="3:7" ht="14.25" customHeight="1" x14ac:dyDescent="0.25">
      <c r="C745" s="157"/>
      <c r="D745" s="291" t="s">
        <v>967</v>
      </c>
      <c r="E745">
        <v>0</v>
      </c>
      <c r="F745" t="str">
        <f t="shared" si="12"/>
        <v>N/A</v>
      </c>
      <c r="G745" t="str">
        <f>IF('Quality Assurance'!M34="","",'Quality Assurance'!M34)</f>
        <v/>
      </c>
    </row>
    <row r="746" spans="3:7" ht="14.25" customHeight="1" x14ac:dyDescent="0.25">
      <c r="C746" s="157"/>
      <c r="D746" s="291" t="s">
        <v>960</v>
      </c>
      <c r="E746">
        <v>0</v>
      </c>
      <c r="F746" t="str">
        <f t="shared" si="12"/>
        <v>N/A</v>
      </c>
      <c r="G746" t="str">
        <f>IF('Quality Assurance'!M38="","",'Quality Assurance'!M38)</f>
        <v/>
      </c>
    </row>
    <row r="747" spans="3:7" ht="14.25" customHeight="1" x14ac:dyDescent="0.25">
      <c r="C747" s="157"/>
      <c r="D747" s="291" t="s">
        <v>787</v>
      </c>
      <c r="E747">
        <v>0</v>
      </c>
      <c r="F747" t="str">
        <f t="shared" si="12"/>
        <v>N/A</v>
      </c>
      <c r="G747" t="e">
        <f>IF('Quality Assurance'!#REF!="","",'Quality Assurance'!#REF!)</f>
        <v>#REF!</v>
      </c>
    </row>
    <row r="748" spans="3:7" ht="14.25" customHeight="1" x14ac:dyDescent="0.25">
      <c r="C748" s="157"/>
      <c r="D748" s="291" t="s">
        <v>788</v>
      </c>
      <c r="E748">
        <v>0</v>
      </c>
      <c r="F748" t="str">
        <f t="shared" si="12"/>
        <v>N/A</v>
      </c>
      <c r="G748" t="e">
        <f>IF('Quality Assurance'!#REF!="","",'Quality Assurance'!#REF!)</f>
        <v>#REF!</v>
      </c>
    </row>
    <row r="749" spans="3:7" ht="14.25" customHeight="1" x14ac:dyDescent="0.25">
      <c r="C749" s="157"/>
      <c r="D749" s="291" t="s">
        <v>957</v>
      </c>
      <c r="E749">
        <v>0</v>
      </c>
      <c r="F749" t="str">
        <f t="shared" si="12"/>
        <v>N/A</v>
      </c>
      <c r="G749" t="str">
        <f>IF('Quality Assurance'!M40="","",'Quality Assurance'!M40)</f>
        <v/>
      </c>
    </row>
    <row r="750" spans="3:7" ht="14.25" customHeight="1" x14ac:dyDescent="0.25">
      <c r="C750" s="157"/>
      <c r="D750" s="291" t="s">
        <v>880</v>
      </c>
      <c r="E750">
        <v>0</v>
      </c>
      <c r="F750" t="str">
        <f t="shared" si="12"/>
        <v>N/A</v>
      </c>
      <c r="G750" t="str">
        <f>IF('Quality Assurance'!M44="","",'Quality Assurance'!M44)</f>
        <v/>
      </c>
    </row>
    <row r="751" spans="3:7" ht="14.25" customHeight="1" x14ac:dyDescent="0.25">
      <c r="C751" s="157"/>
      <c r="D751" s="291" t="s">
        <v>954</v>
      </c>
      <c r="E751">
        <v>0</v>
      </c>
      <c r="F751" t="str">
        <f t="shared" si="12"/>
        <v>N/A</v>
      </c>
      <c r="G751" t="str">
        <f>IF('Quality Assurance'!M46="","",'Quality Assurance'!M46)</f>
        <v/>
      </c>
    </row>
    <row r="752" spans="3:7" ht="14.25" customHeight="1" x14ac:dyDescent="0.25">
      <c r="C752" s="157"/>
      <c r="D752" s="291" t="s">
        <v>774</v>
      </c>
      <c r="E752">
        <v>0</v>
      </c>
      <c r="F752" t="str">
        <f t="shared" si="12"/>
        <v>N/A</v>
      </c>
      <c r="G752" t="str">
        <f>IF('Quality Assurance'!M48="","",'Quality Assurance'!M48)</f>
        <v/>
      </c>
    </row>
    <row r="753" spans="1:7" ht="14.25" customHeight="1" x14ac:dyDescent="0.25">
      <c r="C753" s="157"/>
      <c r="D753" s="291" t="s">
        <v>775</v>
      </c>
      <c r="E753">
        <v>0</v>
      </c>
      <c r="F753" t="str">
        <f t="shared" si="12"/>
        <v>N/A</v>
      </c>
      <c r="G753" t="str">
        <f>IF('Quality Assurance'!M50="","",'Quality Assurance'!M50)</f>
        <v/>
      </c>
    </row>
    <row r="754" spans="1:7" ht="14.25" customHeight="1" x14ac:dyDescent="0.25">
      <c r="C754" s="157"/>
      <c r="D754" s="291" t="s">
        <v>777</v>
      </c>
      <c r="E754">
        <v>0</v>
      </c>
      <c r="F754" t="str">
        <f t="shared" si="12"/>
        <v>N/A</v>
      </c>
      <c r="G754" t="str">
        <f>IF('Quality Assurance'!M52="","",'Quality Assurance'!M52)</f>
        <v/>
      </c>
    </row>
    <row r="755" spans="1:7" ht="14.25" customHeight="1" x14ac:dyDescent="0.25">
      <c r="C755" s="157"/>
      <c r="D755" s="291" t="s">
        <v>779</v>
      </c>
      <c r="E755">
        <v>0</v>
      </c>
      <c r="F755" t="str">
        <f t="shared" si="12"/>
        <v>N/A</v>
      </c>
      <c r="G755" t="str">
        <f>IF('Quality Assurance'!M54="","",'Quality Assurance'!M54)</f>
        <v/>
      </c>
    </row>
    <row r="756" spans="1:7" ht="14.25" customHeight="1" x14ac:dyDescent="0.25">
      <c r="C756" s="157"/>
      <c r="D756" s="291" t="s">
        <v>802</v>
      </c>
      <c r="E756">
        <v>0</v>
      </c>
      <c r="F756" t="str">
        <f t="shared" si="12"/>
        <v>N/A</v>
      </c>
      <c r="G756" t="str">
        <f>IF('Quality Assurance'!M56="","",'Quality Assurance'!M56)</f>
        <v/>
      </c>
    </row>
    <row r="757" spans="1:7" ht="14.25" customHeight="1" x14ac:dyDescent="0.25">
      <c r="C757" s="157"/>
      <c r="D757" s="291" t="s">
        <v>780</v>
      </c>
      <c r="E757">
        <v>0</v>
      </c>
      <c r="F757" t="str">
        <f t="shared" si="12"/>
        <v>N/A</v>
      </c>
      <c r="G757" t="str">
        <f>IF('Quality Assurance'!M58="","",'Quality Assurance'!M58)</f>
        <v/>
      </c>
    </row>
    <row r="758" spans="1:7" ht="14.25" customHeight="1" x14ac:dyDescent="0.25">
      <c r="C758" s="157"/>
      <c r="D758" s="291" t="s">
        <v>781</v>
      </c>
      <c r="E758">
        <v>0</v>
      </c>
      <c r="F758" t="str">
        <f t="shared" si="12"/>
        <v>N/A</v>
      </c>
      <c r="G758" t="str">
        <f>IF('Quality Assurance'!M60="","",'Quality Assurance'!M60)</f>
        <v/>
      </c>
    </row>
    <row r="759" spans="1:7" ht="14.25" customHeight="1" x14ac:dyDescent="0.25">
      <c r="C759" s="157"/>
      <c r="D759" s="291" t="s">
        <v>782</v>
      </c>
      <c r="E759">
        <v>0</v>
      </c>
      <c r="F759" t="str">
        <f t="shared" si="12"/>
        <v>N/A</v>
      </c>
      <c r="G759" t="str">
        <f>IF('Quality Assurance'!M62="","",'Quality Assurance'!M62)</f>
        <v/>
      </c>
    </row>
    <row r="760" spans="1:7" ht="14.25" customHeight="1" x14ac:dyDescent="0.25">
      <c r="C760" s="157"/>
      <c r="D760" s="291" t="s">
        <v>783</v>
      </c>
      <c r="E760">
        <v>0</v>
      </c>
      <c r="F760" t="str">
        <f t="shared" si="12"/>
        <v>N/A</v>
      </c>
      <c r="G760" t="str">
        <f>IF('Quality Assurance'!M64="","",'Quality Assurance'!M64)</f>
        <v/>
      </c>
    </row>
    <row r="761" spans="1:7" ht="14.25" customHeight="1" x14ac:dyDescent="0.25">
      <c r="C761" s="157"/>
      <c r="D761" s="291" t="s">
        <v>882</v>
      </c>
      <c r="E761">
        <v>0</v>
      </c>
      <c r="F761" t="str">
        <f t="shared" si="12"/>
        <v>N/A</v>
      </c>
      <c r="G761" t="str">
        <f>IF('Quality Assurance'!M66="","",'Quality Assurance'!M66)</f>
        <v/>
      </c>
    </row>
    <row r="762" spans="1:7" ht="14.25" customHeight="1" x14ac:dyDescent="0.25">
      <c r="C762" s="157"/>
      <c r="D762" s="291" t="s">
        <v>881</v>
      </c>
      <c r="E762">
        <v>0</v>
      </c>
      <c r="F762" t="str">
        <f t="shared" si="12"/>
        <v>N/A</v>
      </c>
      <c r="G762" t="str">
        <f>IF('Quality Assurance'!M68="","",'Quality Assurance'!M68)</f>
        <v/>
      </c>
    </row>
    <row r="763" spans="1:7" ht="15.75" x14ac:dyDescent="0.25">
      <c r="C763" s="157"/>
      <c r="D763" s="291" t="s">
        <v>958</v>
      </c>
      <c r="E763" s="157">
        <v>0</v>
      </c>
      <c r="F763" t="str">
        <f t="shared" si="12"/>
        <v>N/A</v>
      </c>
      <c r="G763" t="str">
        <f>IF('Quality Assurance'!M70="","",'Quality Assurance'!M70)</f>
        <v/>
      </c>
    </row>
    <row r="764" spans="1:7" ht="15.75" x14ac:dyDescent="0.25">
      <c r="C764" s="157"/>
      <c r="D764" s="291" t="s">
        <v>961</v>
      </c>
      <c r="E764" s="157">
        <v>0</v>
      </c>
      <c r="F764" t="str">
        <f t="shared" si="12"/>
        <v>N/A</v>
      </c>
      <c r="G764" t="str">
        <f>IF('Quality Assurance'!M72="","",'Quality Assurance'!M72)</f>
        <v/>
      </c>
    </row>
    <row r="765" spans="1:7" ht="15.75" x14ac:dyDescent="0.25">
      <c r="C765" s="157"/>
      <c r="D765" s="291" t="s">
        <v>786</v>
      </c>
      <c r="E765">
        <v>0</v>
      </c>
      <c r="F765" t="str">
        <f t="shared" si="12"/>
        <v>N/A</v>
      </c>
      <c r="G765" t="str">
        <f>IF('Quality Assurance'!M74="","",'Quality Assurance'!M74)</f>
        <v/>
      </c>
    </row>
    <row r="766" spans="1:7" ht="15.75" x14ac:dyDescent="0.25">
      <c r="C766" s="157"/>
      <c r="D766" s="291" t="s">
        <v>648</v>
      </c>
      <c r="E766" s="74" t="s">
        <v>131</v>
      </c>
    </row>
    <row r="768" spans="1:7" x14ac:dyDescent="0.25">
      <c r="A768" t="s">
        <v>986</v>
      </c>
    </row>
    <row r="769" spans="4:5" x14ac:dyDescent="0.25">
      <c r="D769" t="s">
        <v>987</v>
      </c>
      <c r="E769" t="str">
        <f>IF(E524=1,"Yes, "&amp;L524,IF(E524=2,"No, Fit Acceptable","N/A"))</f>
        <v>N/A</v>
      </c>
    </row>
    <row r="770" spans="4:5" x14ac:dyDescent="0.25">
      <c r="D770" t="s">
        <v>991</v>
      </c>
      <c r="E770" t="str">
        <f>IF(E525=1,"Yes, "&amp;L525,IF(E525=2,"No, Fit Acceptable","N/A"))</f>
        <v>N/A</v>
      </c>
    </row>
    <row r="771" spans="4:5" x14ac:dyDescent="0.25">
      <c r="D771" t="s">
        <v>990</v>
      </c>
      <c r="E771" t="str">
        <f>IF(E526=1,"Yes, "&amp;L526,IF(E526=2,"No, Fit Acceptable","N/A"))</f>
        <v>N/A</v>
      </c>
    </row>
    <row r="772" spans="4:5" x14ac:dyDescent="0.25">
      <c r="D772" t="s">
        <v>992</v>
      </c>
      <c r="E772" t="str">
        <f>IF(E527=1,"Yes, " &amp; L527,IF(E527=2,"No, Fit Acceptable","N/A"))</f>
        <v>N/A</v>
      </c>
    </row>
    <row r="773" spans="4:5" x14ac:dyDescent="0.25">
      <c r="D773" t="s">
        <v>995</v>
      </c>
      <c r="E773" t="str">
        <f>IF(E528=1,"Yes, " &amp; L528,IF(E528=2,"No, Fit Acceptable","N/A"))</f>
        <v>N/A</v>
      </c>
    </row>
    <row r="774" spans="4:5" x14ac:dyDescent="0.25">
      <c r="D774" t="s">
        <v>996</v>
      </c>
      <c r="E774" t="str">
        <f>IF(E529=1,"Yes, " &amp; L529,IF(E529=2,"No, Fit Acceptable","N/A"))</f>
        <v>N/A</v>
      </c>
    </row>
    <row r="775" spans="4:5" x14ac:dyDescent="0.25">
      <c r="D775" t="s">
        <v>1025</v>
      </c>
      <c r="E775" t="str">
        <f>IF(F56=TRUE,IF(F57=1,"On Shaft By: "&amp;E58,IF(F57=2,"Off Shaft By: "&amp;E58,IF(F57=3,"Flush W/ End Of Shaft",""))),"No Coupling")</f>
        <v>No Coupling</v>
      </c>
    </row>
    <row r="776" spans="4:5" x14ac:dyDescent="0.25">
      <c r="D776" t="s">
        <v>1026</v>
      </c>
      <c r="E776" t="str">
        <f>IF(F726="N/A","N/A",F726&amp;" By: "&amp;E727)</f>
        <v>N/A</v>
      </c>
    </row>
    <row r="3107" spans="8:8" x14ac:dyDescent="0.25">
      <c r="H3107" t="b">
        <v>1</v>
      </c>
    </row>
    <row r="185465" spans="5:5" x14ac:dyDescent="0.25">
      <c r="E185465" t="b">
        <v>1</v>
      </c>
    </row>
  </sheetData>
  <sheetProtection selectLockedCells="1" selectUnlockedCells="1"/>
  <mergeCells count="18">
    <mergeCell ref="N210:S210"/>
    <mergeCell ref="D312:D313"/>
    <mergeCell ref="L211:M211"/>
    <mergeCell ref="A83:F83"/>
    <mergeCell ref="D47:E47"/>
    <mergeCell ref="D55:E55"/>
    <mergeCell ref="D60:E60"/>
    <mergeCell ref="D75:E75"/>
    <mergeCell ref="D68:E68"/>
    <mergeCell ref="A603:F603"/>
    <mergeCell ref="A1:F1"/>
    <mergeCell ref="A17:F17"/>
    <mergeCell ref="A46:F46"/>
    <mergeCell ref="A125:F125"/>
    <mergeCell ref="E509:K509"/>
    <mergeCell ref="A155:F155"/>
    <mergeCell ref="A439:F439"/>
    <mergeCell ref="J171:L171"/>
  </mergeCells>
  <conditionalFormatting sqref="G131:I132">
    <cfRule type="expression" dxfId="5" priority="14">
      <formula>$L$213=2</formula>
    </cfRule>
  </conditionalFormatting>
  <conditionalFormatting sqref="M9:P9">
    <cfRule type="expression" dxfId="4" priority="12">
      <formula>$C$200=1</formula>
    </cfRule>
  </conditionalFormatting>
  <conditionalFormatting sqref="AA8:AC8">
    <cfRule type="expression" dxfId="3" priority="9">
      <formula>$C$232=1</formula>
    </cfRule>
    <cfRule type="expression" dxfId="2" priority="10">
      <formula>$C$232=1</formula>
    </cfRule>
  </conditionalFormatting>
  <conditionalFormatting sqref="I4:N4">
    <cfRule type="expression" dxfId="1" priority="1">
      <formula>$C$55&gt;0</formula>
    </cfRule>
  </conditionalFormatting>
  <conditionalFormatting sqref="H62:H64 H78:H125 H76">
    <cfRule type="expression" priority="7979">
      <formula>$E$529=2</formula>
    </cfRule>
  </conditionalFormatting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AE38"/>
  <sheetViews>
    <sheetView workbookViewId="0">
      <selection activeCell="B26" sqref="B26"/>
    </sheetView>
  </sheetViews>
  <sheetFormatPr defaultRowHeight="15" x14ac:dyDescent="0.25"/>
  <cols>
    <col min="2" max="2" width="7.7109375" style="8" customWidth="1"/>
    <col min="3" max="3" width="11.42578125" bestFit="1" customWidth="1"/>
    <col min="4" max="4" width="15.28515625" bestFit="1" customWidth="1"/>
    <col min="5" max="5" width="15.7109375" bestFit="1" customWidth="1"/>
    <col min="6" max="6" width="11" bestFit="1" customWidth="1"/>
    <col min="7" max="7" width="11.42578125" bestFit="1" customWidth="1"/>
    <col min="8" max="8" width="11.42578125" customWidth="1"/>
    <col min="9" max="9" width="11" bestFit="1" customWidth="1"/>
    <col min="10" max="10" width="11.42578125" bestFit="1" customWidth="1"/>
    <col min="11" max="11" width="11.42578125" customWidth="1"/>
    <col min="12" max="12" width="3.28515625" customWidth="1"/>
    <col min="13" max="13" width="7.7109375" style="8" customWidth="1"/>
    <col min="14" max="14" width="11.42578125" customWidth="1"/>
    <col min="15" max="15" width="15.28515625" customWidth="1"/>
    <col min="16" max="16" width="15.7109375" customWidth="1"/>
    <col min="17" max="17" width="11" customWidth="1"/>
    <col min="18" max="18" width="11.42578125" customWidth="1"/>
    <col min="19" max="19" width="11" customWidth="1"/>
    <col min="20" max="20" width="11.42578125" customWidth="1"/>
    <col min="21" max="21" width="14.28515625" customWidth="1"/>
    <col min="22" max="22" width="31.42578125" bestFit="1" customWidth="1"/>
    <col min="23" max="23" width="12.5703125" bestFit="1" customWidth="1"/>
    <col min="24" max="24" width="2.140625" customWidth="1"/>
    <col min="25" max="25" width="24" bestFit="1" customWidth="1"/>
    <col min="27" max="27" width="2.42578125" customWidth="1"/>
    <col min="28" max="28" width="24" customWidth="1"/>
    <col min="30" max="30" width="13" customWidth="1"/>
  </cols>
  <sheetData>
    <row r="1" spans="1:31" x14ac:dyDescent="0.25">
      <c r="B1" s="8" t="s">
        <v>213</v>
      </c>
      <c r="F1" s="1222" t="s">
        <v>209</v>
      </c>
      <c r="G1" s="1222"/>
      <c r="H1" s="21"/>
      <c r="I1" s="1222" t="s">
        <v>210</v>
      </c>
      <c r="J1" s="1222"/>
      <c r="K1" s="393"/>
      <c r="M1" s="8" t="s">
        <v>216</v>
      </c>
      <c r="Q1" s="1222">
        <v>200</v>
      </c>
      <c r="R1" s="1222"/>
      <c r="S1" s="1222">
        <v>300</v>
      </c>
      <c r="T1" s="1222"/>
      <c r="V1" s="20" t="s">
        <v>246</v>
      </c>
      <c r="Y1" s="20" t="s">
        <v>250</v>
      </c>
      <c r="AB1" s="20" t="s">
        <v>255</v>
      </c>
      <c r="AD1" s="20" t="s">
        <v>391</v>
      </c>
    </row>
    <row r="2" spans="1:31" x14ac:dyDescent="0.25">
      <c r="B2" s="39" t="s">
        <v>205</v>
      </c>
      <c r="C2" s="21" t="s">
        <v>206</v>
      </c>
      <c r="D2" s="20" t="s">
        <v>208</v>
      </c>
      <c r="E2" s="20" t="s">
        <v>207</v>
      </c>
      <c r="F2" s="20" t="s">
        <v>211</v>
      </c>
      <c r="G2" s="20" t="s">
        <v>212</v>
      </c>
      <c r="H2" s="20" t="s">
        <v>1159</v>
      </c>
      <c r="I2" s="20" t="s">
        <v>211</v>
      </c>
      <c r="J2" s="20" t="s">
        <v>212</v>
      </c>
      <c r="K2" s="394" t="s">
        <v>1159</v>
      </c>
      <c r="M2" s="57" t="s">
        <v>205</v>
      </c>
      <c r="N2" s="20" t="s">
        <v>206</v>
      </c>
      <c r="O2" s="20" t="s">
        <v>208</v>
      </c>
      <c r="P2" s="20" t="s">
        <v>207</v>
      </c>
      <c r="Q2" s="20" t="s">
        <v>211</v>
      </c>
      <c r="R2" s="20" t="s">
        <v>212</v>
      </c>
      <c r="S2" s="20" t="s">
        <v>211</v>
      </c>
      <c r="T2" s="20" t="s">
        <v>212</v>
      </c>
      <c r="V2" t="s">
        <v>248</v>
      </c>
      <c r="W2" s="28">
        <v>9999999</v>
      </c>
      <c r="Y2" t="s">
        <v>251</v>
      </c>
      <c r="Z2">
        <v>2E-3</v>
      </c>
      <c r="AB2" t="s">
        <v>256</v>
      </c>
      <c r="AC2" s="25">
        <v>0.05</v>
      </c>
      <c r="AD2" t="s">
        <v>392</v>
      </c>
      <c r="AE2" s="174">
        <v>0.09</v>
      </c>
    </row>
    <row r="3" spans="1:31" x14ac:dyDescent="0.25">
      <c r="A3">
        <v>1</v>
      </c>
      <c r="B3" s="14"/>
      <c r="C3" s="13"/>
      <c r="V3" t="s">
        <v>247</v>
      </c>
      <c r="W3">
        <v>30</v>
      </c>
      <c r="Y3" t="s">
        <v>252</v>
      </c>
      <c r="Z3">
        <v>2E-3</v>
      </c>
      <c r="AB3" t="s">
        <v>257</v>
      </c>
      <c r="AC3" s="25">
        <v>0.35</v>
      </c>
    </row>
    <row r="4" spans="1:31" x14ac:dyDescent="0.25">
      <c r="A4">
        <v>2</v>
      </c>
      <c r="B4" s="22" t="s">
        <v>191</v>
      </c>
      <c r="C4" s="23" t="s">
        <v>192</v>
      </c>
      <c r="D4" s="103">
        <v>0.39360000000000001</v>
      </c>
      <c r="E4" s="103">
        <v>0.39389999999999997</v>
      </c>
      <c r="F4" s="103">
        <v>1.1811</v>
      </c>
      <c r="G4" s="103">
        <v>1.1816</v>
      </c>
      <c r="H4" s="103">
        <v>0.3543</v>
      </c>
      <c r="I4" s="103">
        <v>1.3779999999999999</v>
      </c>
      <c r="J4" s="103">
        <v>1.3786</v>
      </c>
      <c r="K4" s="103">
        <v>0.43309999999999998</v>
      </c>
      <c r="M4" s="22" t="s">
        <v>191</v>
      </c>
      <c r="N4" s="23" t="s">
        <v>203</v>
      </c>
      <c r="O4" s="103">
        <v>0.39389999999999997</v>
      </c>
      <c r="P4" s="103">
        <v>0.39419999999999999</v>
      </c>
      <c r="Q4" s="103">
        <v>1.1811</v>
      </c>
      <c r="R4" s="103">
        <v>1.1816</v>
      </c>
      <c r="S4" s="103">
        <v>1.3779999999999999</v>
      </c>
      <c r="T4" s="103">
        <v>1.3786</v>
      </c>
      <c r="V4" t="s">
        <v>249</v>
      </c>
      <c r="W4" s="27">
        <v>0.05</v>
      </c>
      <c r="X4" s="27"/>
      <c r="Y4" t="s">
        <v>253</v>
      </c>
      <c r="Z4">
        <v>2E-3</v>
      </c>
    </row>
    <row r="5" spans="1:31" x14ac:dyDescent="0.25">
      <c r="A5">
        <v>3</v>
      </c>
      <c r="B5" s="22" t="s">
        <v>193</v>
      </c>
      <c r="C5" s="23" t="s">
        <v>192</v>
      </c>
      <c r="D5" s="103">
        <v>0.4723</v>
      </c>
      <c r="E5" s="103">
        <v>0.47260000000000002</v>
      </c>
      <c r="F5" s="103">
        <v>1.2598</v>
      </c>
      <c r="G5" s="103">
        <v>1.2604</v>
      </c>
      <c r="H5" s="103">
        <v>0.39369999999999999</v>
      </c>
      <c r="I5" s="103">
        <v>1.4567000000000001</v>
      </c>
      <c r="J5" s="103">
        <v>1.4573</v>
      </c>
      <c r="K5" s="103">
        <v>0.47239999999999999</v>
      </c>
      <c r="M5" s="22" t="s">
        <v>193</v>
      </c>
      <c r="N5" s="23" t="s">
        <v>203</v>
      </c>
      <c r="O5" s="103">
        <v>0.47270000000000001</v>
      </c>
      <c r="P5" s="103">
        <v>0.47299999999999998</v>
      </c>
      <c r="Q5" s="103">
        <v>1.2598</v>
      </c>
      <c r="R5" s="103">
        <v>1.2604</v>
      </c>
      <c r="S5" s="103">
        <v>1.4567000000000001</v>
      </c>
      <c r="T5" s="103">
        <v>1.4573</v>
      </c>
      <c r="Y5" t="s">
        <v>254</v>
      </c>
      <c r="Z5">
        <v>2E-3</v>
      </c>
    </row>
    <row r="6" spans="1:31" x14ac:dyDescent="0.25">
      <c r="A6">
        <v>4</v>
      </c>
      <c r="B6" s="22" t="s">
        <v>194</v>
      </c>
      <c r="C6" s="23" t="s">
        <v>192</v>
      </c>
      <c r="D6" s="103">
        <v>0.59050000000000002</v>
      </c>
      <c r="E6" s="103">
        <v>0.59079999999999999</v>
      </c>
      <c r="F6" s="103">
        <v>1.3779999999999999</v>
      </c>
      <c r="G6" s="103">
        <v>1.3786</v>
      </c>
      <c r="H6" s="103">
        <v>0.43309999999999998</v>
      </c>
      <c r="I6" s="103">
        <v>1.6535</v>
      </c>
      <c r="J6" s="103">
        <v>1.6540999999999999</v>
      </c>
      <c r="K6" s="103">
        <v>0.55179999999999996</v>
      </c>
      <c r="M6" s="22" t="s">
        <v>194</v>
      </c>
      <c r="N6" s="23" t="s">
        <v>203</v>
      </c>
      <c r="O6" s="103">
        <v>0.59089999999999998</v>
      </c>
      <c r="P6" s="103">
        <v>0.59119999999999995</v>
      </c>
      <c r="Q6" s="103">
        <v>1.3779999999999999</v>
      </c>
      <c r="R6" s="103">
        <v>1.3786</v>
      </c>
      <c r="S6" s="103">
        <v>1.6535</v>
      </c>
      <c r="T6" s="103">
        <v>1.6540999999999999</v>
      </c>
      <c r="Y6" t="s">
        <v>272</v>
      </c>
      <c r="Z6">
        <v>2E-3</v>
      </c>
    </row>
    <row r="7" spans="1:31" x14ac:dyDescent="0.25">
      <c r="A7">
        <v>5</v>
      </c>
      <c r="B7" s="22" t="s">
        <v>195</v>
      </c>
      <c r="C7" s="23" t="s">
        <v>192</v>
      </c>
      <c r="D7" s="103">
        <v>0.66920000000000002</v>
      </c>
      <c r="E7" s="103">
        <v>0.66949999999999998</v>
      </c>
      <c r="F7" s="103">
        <v>1.5748</v>
      </c>
      <c r="G7" s="103">
        <v>1.5753999999999999</v>
      </c>
      <c r="H7" s="103">
        <v>0.47239999999999999</v>
      </c>
      <c r="I7" s="103">
        <v>1.8504</v>
      </c>
      <c r="J7" s="103">
        <v>1.851</v>
      </c>
      <c r="K7" s="103">
        <v>0.55120000000000002</v>
      </c>
      <c r="M7" s="22" t="s">
        <v>195</v>
      </c>
      <c r="N7" s="23" t="s">
        <v>203</v>
      </c>
      <c r="O7" s="103">
        <v>0.66959999999999997</v>
      </c>
      <c r="P7" s="103">
        <v>0.66990000000000005</v>
      </c>
      <c r="Q7" s="103">
        <v>1.5748</v>
      </c>
      <c r="R7" s="103">
        <v>1.5753999999999999</v>
      </c>
      <c r="S7" s="103">
        <v>1.8504</v>
      </c>
      <c r="T7" s="103">
        <v>1.851</v>
      </c>
      <c r="Y7" t="s">
        <v>564</v>
      </c>
      <c r="Z7">
        <v>5.0000000000000001E-3</v>
      </c>
    </row>
    <row r="8" spans="1:31" x14ac:dyDescent="0.25">
      <c r="A8">
        <v>6</v>
      </c>
      <c r="B8" s="22" t="s">
        <v>196</v>
      </c>
      <c r="C8" s="23" t="s">
        <v>197</v>
      </c>
      <c r="D8" s="103">
        <v>0.78749999999999998</v>
      </c>
      <c r="E8" s="103">
        <v>0.78779999999999994</v>
      </c>
      <c r="F8" s="103">
        <v>1.8504</v>
      </c>
      <c r="G8" s="103">
        <v>1.851</v>
      </c>
      <c r="H8" s="103">
        <v>0.55120000000000002</v>
      </c>
      <c r="I8" s="103">
        <v>2.0472000000000001</v>
      </c>
      <c r="J8" s="103">
        <v>2.0478999999999998</v>
      </c>
      <c r="K8" s="103">
        <v>0.59060000000000001</v>
      </c>
      <c r="M8" s="22" t="s">
        <v>196</v>
      </c>
      <c r="N8" s="23" t="s">
        <v>203</v>
      </c>
      <c r="O8" s="103">
        <v>0.78769999999999996</v>
      </c>
      <c r="P8" s="103">
        <v>0.78810000000000002</v>
      </c>
      <c r="Q8" s="103">
        <v>1.8504</v>
      </c>
      <c r="R8" s="103">
        <v>1.851</v>
      </c>
      <c r="S8" s="103">
        <v>2.0472000000000001</v>
      </c>
      <c r="T8" s="103">
        <v>2.0478999999999998</v>
      </c>
      <c r="Y8" t="s">
        <v>653</v>
      </c>
      <c r="Z8">
        <v>4.0000000000000001E-3</v>
      </c>
    </row>
    <row r="9" spans="1:31" x14ac:dyDescent="0.25">
      <c r="A9">
        <v>7</v>
      </c>
      <c r="B9" s="22" t="s">
        <v>198</v>
      </c>
      <c r="C9" s="23" t="s">
        <v>197</v>
      </c>
      <c r="D9" s="103">
        <v>0.98440000000000005</v>
      </c>
      <c r="E9" s="103">
        <v>0.98470000000000002</v>
      </c>
      <c r="F9" s="103">
        <v>2.0472000000000001</v>
      </c>
      <c r="G9" s="103">
        <v>2.0478999999999998</v>
      </c>
      <c r="H9" s="103">
        <v>0.59060000000000001</v>
      </c>
      <c r="I9" s="103">
        <v>2.4409000000000001</v>
      </c>
      <c r="J9" s="103">
        <v>2.4416000000000002</v>
      </c>
      <c r="K9" s="103">
        <v>0.66930000000000001</v>
      </c>
      <c r="M9" s="22" t="s">
        <v>198</v>
      </c>
      <c r="N9" s="23" t="s">
        <v>203</v>
      </c>
      <c r="O9" s="103">
        <v>0.98460000000000003</v>
      </c>
      <c r="P9" s="103">
        <v>0.98499999999999999</v>
      </c>
      <c r="Q9" s="103">
        <v>2.0472000000000001</v>
      </c>
      <c r="R9" s="103">
        <v>2.0478999999999998</v>
      </c>
      <c r="S9" s="103">
        <v>2.4409000000000001</v>
      </c>
      <c r="T9" s="103">
        <v>2.4416000000000002</v>
      </c>
      <c r="Y9" t="s">
        <v>696</v>
      </c>
      <c r="Z9">
        <v>1E-3</v>
      </c>
    </row>
    <row r="10" spans="1:31" x14ac:dyDescent="0.25">
      <c r="A10">
        <v>8</v>
      </c>
      <c r="B10" s="22" t="s">
        <v>199</v>
      </c>
      <c r="C10" s="23" t="s">
        <v>197</v>
      </c>
      <c r="D10" s="103">
        <v>1.1812</v>
      </c>
      <c r="E10" s="103">
        <v>1.1815</v>
      </c>
      <c r="F10" s="103">
        <v>2.4409000000000001</v>
      </c>
      <c r="G10" s="103">
        <v>2.4416000000000002</v>
      </c>
      <c r="H10" s="103">
        <v>0.62990000000000002</v>
      </c>
      <c r="I10" s="103">
        <v>2.8346</v>
      </c>
      <c r="J10" s="103">
        <v>2.8353000000000002</v>
      </c>
      <c r="K10" s="103">
        <v>0.748</v>
      </c>
      <c r="M10" s="22" t="s">
        <v>199</v>
      </c>
      <c r="N10" s="23" t="s">
        <v>203</v>
      </c>
      <c r="O10" s="103">
        <v>1.1814</v>
      </c>
      <c r="P10" s="103">
        <v>1.1818</v>
      </c>
      <c r="Q10" s="103">
        <v>2.4409000000000001</v>
      </c>
      <c r="R10" s="103">
        <v>2.4416000000000002</v>
      </c>
      <c r="S10" s="103">
        <v>2.8346</v>
      </c>
      <c r="T10" s="103">
        <v>2.8353000000000002</v>
      </c>
    </row>
    <row r="11" spans="1:31" x14ac:dyDescent="0.25">
      <c r="A11">
        <v>9</v>
      </c>
      <c r="B11" s="22" t="s">
        <v>200</v>
      </c>
      <c r="C11" s="23" t="s">
        <v>197</v>
      </c>
      <c r="D11" s="103">
        <v>1.3781000000000001</v>
      </c>
      <c r="E11" s="103">
        <v>1.3785000000000001</v>
      </c>
      <c r="F11" s="103">
        <v>2.8346</v>
      </c>
      <c r="G11" s="103">
        <v>2.8353000000000002</v>
      </c>
      <c r="H11" s="103">
        <v>0.66930000000000001</v>
      </c>
      <c r="I11" s="103">
        <v>3.1496</v>
      </c>
      <c r="J11" s="103">
        <v>3.1503000000000001</v>
      </c>
      <c r="K11" s="103">
        <v>0.82679999999999998</v>
      </c>
      <c r="M11" s="22" t="s">
        <v>200</v>
      </c>
      <c r="N11" s="23" t="s">
        <v>203</v>
      </c>
      <c r="O11" s="103">
        <v>1.3784000000000001</v>
      </c>
      <c r="P11" s="103">
        <v>1.3788</v>
      </c>
      <c r="Q11" s="103">
        <v>2.8346</v>
      </c>
      <c r="R11" s="103">
        <v>2.8353000000000002</v>
      </c>
      <c r="S11" s="103">
        <v>3.1496</v>
      </c>
      <c r="T11" s="103">
        <v>3.1503000000000001</v>
      </c>
    </row>
    <row r="12" spans="1:31" x14ac:dyDescent="0.25">
      <c r="A12">
        <v>10</v>
      </c>
      <c r="B12" s="22" t="s">
        <v>201</v>
      </c>
      <c r="C12" s="23" t="s">
        <v>197</v>
      </c>
      <c r="D12" s="103">
        <v>1.5749</v>
      </c>
      <c r="E12" s="103">
        <v>1.5752999999999999</v>
      </c>
      <c r="F12" s="103">
        <v>3.1496</v>
      </c>
      <c r="G12" s="103">
        <v>3.1503000000000001</v>
      </c>
      <c r="H12" s="103">
        <v>0.7087</v>
      </c>
      <c r="I12" s="103">
        <v>3.5432999999999999</v>
      </c>
      <c r="J12" s="103">
        <v>3.5442</v>
      </c>
      <c r="K12" s="103">
        <v>0.90549999999999997</v>
      </c>
      <c r="M12" s="22" t="s">
        <v>201</v>
      </c>
      <c r="N12" s="23" t="s">
        <v>203</v>
      </c>
      <c r="O12" s="103">
        <v>1.5751999999999999</v>
      </c>
      <c r="P12" s="103">
        <v>1.5755999999999999</v>
      </c>
      <c r="Q12" s="103">
        <v>3.1496</v>
      </c>
      <c r="R12" s="103">
        <v>3.1503000000000001</v>
      </c>
      <c r="S12" s="103">
        <v>3.5432999999999999</v>
      </c>
      <c r="T12" s="103">
        <v>3.5442</v>
      </c>
    </row>
    <row r="13" spans="1:31" x14ac:dyDescent="0.25">
      <c r="A13">
        <v>11</v>
      </c>
      <c r="B13" s="22" t="s">
        <v>202</v>
      </c>
      <c r="C13" s="23" t="s">
        <v>197</v>
      </c>
      <c r="D13" s="103">
        <v>1.7718</v>
      </c>
      <c r="E13" s="103">
        <v>1.7722</v>
      </c>
      <c r="F13" s="103">
        <v>3.3464999999999998</v>
      </c>
      <c r="G13" s="103">
        <v>3.3473999999999999</v>
      </c>
      <c r="H13" s="103">
        <v>0.748</v>
      </c>
      <c r="I13" s="103">
        <v>3.9369999999999998</v>
      </c>
      <c r="J13" s="103">
        <v>3.9379</v>
      </c>
      <c r="K13" s="103">
        <v>0.98429999999999995</v>
      </c>
      <c r="M13" s="22" t="s">
        <v>202</v>
      </c>
      <c r="N13" s="23" t="s">
        <v>204</v>
      </c>
      <c r="O13" s="103">
        <v>1.7721</v>
      </c>
      <c r="P13" s="103">
        <v>1.7726999999999999</v>
      </c>
      <c r="Q13" s="103">
        <v>3.3464999999999998</v>
      </c>
      <c r="R13" s="103">
        <v>3.3473999999999999</v>
      </c>
      <c r="S13" s="103">
        <v>3.9369999999999998</v>
      </c>
      <c r="T13" s="103">
        <v>3.9379</v>
      </c>
    </row>
    <row r="14" spans="1:31" x14ac:dyDescent="0.25">
      <c r="A14">
        <v>12</v>
      </c>
      <c r="B14" s="22" t="s">
        <v>413</v>
      </c>
      <c r="C14" s="23" t="s">
        <v>197</v>
      </c>
      <c r="D14" s="103">
        <v>1.9685999999999999</v>
      </c>
      <c r="E14" s="103">
        <v>1.9690000000000001</v>
      </c>
      <c r="F14" s="103">
        <v>3.5432999999999999</v>
      </c>
      <c r="G14" s="103">
        <v>3.5442</v>
      </c>
      <c r="H14" s="103">
        <v>0.78739999999999999</v>
      </c>
      <c r="I14" s="103">
        <v>4.3307000000000002</v>
      </c>
      <c r="J14" s="103">
        <v>4.3315999999999999</v>
      </c>
      <c r="K14" s="103">
        <v>1.0629999999999999</v>
      </c>
      <c r="M14" s="22" t="s">
        <v>413</v>
      </c>
      <c r="N14" s="23" t="s">
        <v>204</v>
      </c>
      <c r="O14" s="103">
        <v>1.9689000000000001</v>
      </c>
      <c r="P14" s="103">
        <v>1.9695</v>
      </c>
      <c r="Q14" s="103">
        <v>3.5432999999999999</v>
      </c>
      <c r="R14" s="103">
        <v>3.5442</v>
      </c>
      <c r="S14" s="103">
        <v>4.3307000000000002</v>
      </c>
      <c r="T14" s="103">
        <v>4.3315999999999999</v>
      </c>
    </row>
    <row r="15" spans="1:31" x14ac:dyDescent="0.25">
      <c r="A15">
        <v>13</v>
      </c>
      <c r="B15" s="22" t="s">
        <v>414</v>
      </c>
      <c r="C15" s="23" t="s">
        <v>197</v>
      </c>
      <c r="D15" s="103">
        <v>2.1655000000000002</v>
      </c>
      <c r="E15" s="103">
        <v>2.1659999999999999</v>
      </c>
      <c r="F15" s="103">
        <v>3.9369999999999998</v>
      </c>
      <c r="G15" s="103">
        <v>3.9379</v>
      </c>
      <c r="H15" s="103">
        <v>0.82679999999999998</v>
      </c>
      <c r="I15" s="103">
        <v>4.7244000000000002</v>
      </c>
      <c r="J15" s="103">
        <v>4.7252999999999998</v>
      </c>
      <c r="K15" s="103">
        <v>1.1416999999999999</v>
      </c>
      <c r="M15" s="22" t="s">
        <v>414</v>
      </c>
      <c r="N15" s="23" t="s">
        <v>204</v>
      </c>
      <c r="O15" s="103">
        <v>2.1657999999999999</v>
      </c>
      <c r="P15" s="103">
        <v>2.1665999999999999</v>
      </c>
      <c r="Q15" s="103">
        <v>3.9369999999999998</v>
      </c>
      <c r="R15" s="103">
        <v>3.9379</v>
      </c>
      <c r="S15" s="103">
        <v>4.7244000000000002</v>
      </c>
      <c r="T15" s="103">
        <v>4.7252999999999998</v>
      </c>
    </row>
    <row r="16" spans="1:31" x14ac:dyDescent="0.25">
      <c r="A16">
        <v>14</v>
      </c>
      <c r="B16" s="22" t="s">
        <v>415</v>
      </c>
      <c r="C16" s="23" t="s">
        <v>197</v>
      </c>
      <c r="D16" s="103">
        <v>2.3622999999999998</v>
      </c>
      <c r="E16" s="103">
        <v>2.3628</v>
      </c>
      <c r="F16" s="103">
        <v>4.3307000000000002</v>
      </c>
      <c r="G16" s="103">
        <v>4.3315999999999999</v>
      </c>
      <c r="H16" s="103">
        <v>0.86609999999999998</v>
      </c>
      <c r="I16" s="103">
        <v>5.1181000000000001</v>
      </c>
      <c r="J16" s="103">
        <v>5.1191000000000004</v>
      </c>
      <c r="K16" s="103">
        <v>1.2204999999999999</v>
      </c>
      <c r="M16" s="22" t="s">
        <v>415</v>
      </c>
      <c r="N16" s="23" t="s">
        <v>204</v>
      </c>
      <c r="O16" s="103">
        <v>2.3626</v>
      </c>
      <c r="P16" s="103">
        <v>2.3633999999999999</v>
      </c>
      <c r="Q16" s="103">
        <v>4.3307000000000002</v>
      </c>
      <c r="R16" s="103">
        <v>4.3315999999999999</v>
      </c>
      <c r="S16" s="103">
        <v>5.1181000000000001</v>
      </c>
      <c r="T16" s="103">
        <v>5.1191000000000004</v>
      </c>
    </row>
    <row r="17" spans="1:20" x14ac:dyDescent="0.25">
      <c r="A17">
        <v>15</v>
      </c>
      <c r="B17" s="22" t="s">
        <v>416</v>
      </c>
      <c r="C17" s="23" t="s">
        <v>197</v>
      </c>
      <c r="D17" s="103">
        <v>2.5592000000000001</v>
      </c>
      <c r="E17" s="103">
        <v>2.5596999999999999</v>
      </c>
      <c r="F17" s="103">
        <v>4.7244000000000002</v>
      </c>
      <c r="G17" s="103">
        <v>4.7252999999999998</v>
      </c>
      <c r="H17" s="103">
        <v>0.90549999999999997</v>
      </c>
      <c r="I17" s="103">
        <v>5.5118</v>
      </c>
      <c r="J17" s="103">
        <v>5.5128000000000004</v>
      </c>
      <c r="K17" s="103">
        <v>1.2991999999999999</v>
      </c>
      <c r="M17" s="22" t="s">
        <v>416</v>
      </c>
      <c r="N17" s="23" t="s">
        <v>204</v>
      </c>
      <c r="O17" s="103">
        <v>2.5594999999999999</v>
      </c>
      <c r="P17" s="103">
        <v>2.5602999999999998</v>
      </c>
      <c r="Q17" s="103">
        <v>4.7244000000000002</v>
      </c>
      <c r="R17" s="103">
        <v>4.7252999999999998</v>
      </c>
      <c r="S17" s="103">
        <v>5.5118</v>
      </c>
      <c r="T17" s="103">
        <v>5.5128000000000004</v>
      </c>
    </row>
    <row r="18" spans="1:20" x14ac:dyDescent="0.25">
      <c r="A18">
        <v>16</v>
      </c>
      <c r="B18" s="22" t="s">
        <v>417</v>
      </c>
      <c r="C18" s="23" t="s">
        <v>197</v>
      </c>
      <c r="D18" s="103">
        <v>2.7559999999999998</v>
      </c>
      <c r="E18" s="103">
        <v>2.7565</v>
      </c>
      <c r="F18" s="103">
        <v>4.9212999999999996</v>
      </c>
      <c r="G18" s="103">
        <v>4.9222999999999999</v>
      </c>
      <c r="H18" s="103">
        <v>0.94489999999999996</v>
      </c>
      <c r="I18" s="103">
        <v>5.9055</v>
      </c>
      <c r="J18" s="103">
        <v>5.9065000000000003</v>
      </c>
      <c r="K18" s="103">
        <v>1.3779999999999999</v>
      </c>
      <c r="M18" s="22" t="s">
        <v>417</v>
      </c>
      <c r="N18" s="23" t="s">
        <v>214</v>
      </c>
      <c r="O18" s="103">
        <v>2.7566999999999999</v>
      </c>
      <c r="P18" s="103">
        <v>2.7574000000000001</v>
      </c>
      <c r="Q18" s="103">
        <v>4.9212999999999996</v>
      </c>
      <c r="R18" s="103">
        <v>4.9222999999999999</v>
      </c>
      <c r="S18" s="103">
        <v>5.9055</v>
      </c>
      <c r="T18" s="103">
        <v>5.9065000000000003</v>
      </c>
    </row>
    <row r="19" spans="1:20" x14ac:dyDescent="0.25">
      <c r="A19">
        <v>17</v>
      </c>
      <c r="B19" s="22" t="s">
        <v>418</v>
      </c>
      <c r="C19" s="23" t="s">
        <v>197</v>
      </c>
      <c r="D19" s="103">
        <v>2.9529000000000001</v>
      </c>
      <c r="E19" s="103">
        <v>2.9533999999999998</v>
      </c>
      <c r="F19" s="103">
        <v>5.1181000000000001</v>
      </c>
      <c r="G19" s="103">
        <v>5.1191000000000004</v>
      </c>
      <c r="H19" s="103">
        <v>0.98429999999999995</v>
      </c>
      <c r="I19" s="103">
        <v>6.2991999999999999</v>
      </c>
      <c r="J19" s="103">
        <v>6.3002000000000002</v>
      </c>
      <c r="K19" s="103">
        <v>1.4567000000000001</v>
      </c>
      <c r="M19" s="22" t="s">
        <v>418</v>
      </c>
      <c r="N19" s="23" t="s">
        <v>214</v>
      </c>
      <c r="O19" s="103">
        <v>2.9535999999999998</v>
      </c>
      <c r="P19" s="103">
        <v>2.9542999999999999</v>
      </c>
      <c r="Q19" s="103">
        <v>5.1181000000000001</v>
      </c>
      <c r="R19" s="103">
        <v>5.1191000000000004</v>
      </c>
      <c r="S19" s="103">
        <v>6.2991999999999999</v>
      </c>
      <c r="T19" s="103">
        <v>6.3002000000000002</v>
      </c>
    </row>
    <row r="20" spans="1:20" x14ac:dyDescent="0.25">
      <c r="A20">
        <v>18</v>
      </c>
      <c r="B20" s="22" t="s">
        <v>419</v>
      </c>
      <c r="C20" s="23" t="s">
        <v>197</v>
      </c>
      <c r="D20" s="103">
        <v>3.1497000000000002</v>
      </c>
      <c r="E20" s="103">
        <v>3.1501999999999999</v>
      </c>
      <c r="F20" s="103">
        <v>5.5118</v>
      </c>
      <c r="G20" s="103">
        <v>5.5128000000000004</v>
      </c>
      <c r="H20" s="103">
        <v>1.0236000000000001</v>
      </c>
      <c r="I20" s="103">
        <v>6.6928999999999998</v>
      </c>
      <c r="J20" s="103">
        <v>6.6939000000000002</v>
      </c>
      <c r="K20" s="103">
        <v>1.5354000000000001</v>
      </c>
      <c r="M20" s="22" t="s">
        <v>419</v>
      </c>
      <c r="N20" s="23" t="s">
        <v>214</v>
      </c>
      <c r="O20" s="103">
        <v>3.1503999999999999</v>
      </c>
      <c r="P20" s="103">
        <v>3.1511</v>
      </c>
      <c r="Q20" s="103">
        <v>5.5118</v>
      </c>
      <c r="R20" s="103">
        <v>5.5128000000000004</v>
      </c>
      <c r="S20" s="103">
        <v>6.6928999999999998</v>
      </c>
      <c r="T20" s="103">
        <v>6.6939000000000002</v>
      </c>
    </row>
    <row r="21" spans="1:20" x14ac:dyDescent="0.25">
      <c r="A21">
        <v>19</v>
      </c>
      <c r="B21" s="22" t="s">
        <v>420</v>
      </c>
      <c r="C21" s="23" t="s">
        <v>197</v>
      </c>
      <c r="D21" s="103">
        <v>3.3466</v>
      </c>
      <c r="E21" s="103">
        <v>3.3472</v>
      </c>
      <c r="F21" s="103">
        <v>5.9055</v>
      </c>
      <c r="G21" s="103">
        <v>5.9065000000000003</v>
      </c>
      <c r="H21" s="103">
        <v>1.1024</v>
      </c>
      <c r="I21" s="103">
        <v>7.0865999999999998</v>
      </c>
      <c r="J21" s="103">
        <v>7.0876000000000001</v>
      </c>
      <c r="K21" s="103">
        <v>1.6142000000000001</v>
      </c>
      <c r="M21" s="22" t="s">
        <v>420</v>
      </c>
      <c r="N21" s="23" t="s">
        <v>214</v>
      </c>
      <c r="O21" s="103">
        <v>3.3473999999999999</v>
      </c>
      <c r="P21" s="103">
        <v>3.3483000000000001</v>
      </c>
      <c r="Q21" s="103">
        <v>5.9055</v>
      </c>
      <c r="R21" s="103">
        <v>5.9065000000000003</v>
      </c>
      <c r="S21" s="103">
        <v>7.0865999999999998</v>
      </c>
      <c r="T21" s="103">
        <v>7.0876000000000001</v>
      </c>
    </row>
    <row r="22" spans="1:20" x14ac:dyDescent="0.25">
      <c r="A22">
        <v>20</v>
      </c>
      <c r="B22" s="22" t="s">
        <v>412</v>
      </c>
      <c r="C22" s="23" t="s">
        <v>197</v>
      </c>
      <c r="D22" s="103">
        <v>3.5434000000000001</v>
      </c>
      <c r="E22" s="103">
        <v>3.544</v>
      </c>
      <c r="F22" s="103">
        <v>6.2991999999999999</v>
      </c>
      <c r="G22" s="103">
        <v>6.3002000000000002</v>
      </c>
      <c r="H22" s="103">
        <v>1.1811</v>
      </c>
      <c r="I22" s="103">
        <v>7.4802999999999997</v>
      </c>
      <c r="J22" s="103">
        <v>7.4813999999999998</v>
      </c>
      <c r="K22" s="103">
        <v>1.6929000000000001</v>
      </c>
      <c r="M22" s="22" t="s">
        <v>412</v>
      </c>
      <c r="N22" s="23" t="s">
        <v>214</v>
      </c>
      <c r="O22" s="103">
        <v>3.5442</v>
      </c>
      <c r="P22" s="103">
        <v>3.5451000000000001</v>
      </c>
      <c r="Q22" s="103">
        <v>6.2991999999999999</v>
      </c>
      <c r="R22" s="103">
        <v>6.3002000000000002</v>
      </c>
      <c r="S22" s="103">
        <v>7.4802999999999997</v>
      </c>
      <c r="T22" s="103">
        <v>7.4813999999999998</v>
      </c>
    </row>
    <row r="23" spans="1:20" x14ac:dyDescent="0.25">
      <c r="A23">
        <v>21</v>
      </c>
      <c r="B23" s="22" t="s">
        <v>421</v>
      </c>
      <c r="C23" s="23" t="s">
        <v>197</v>
      </c>
      <c r="D23" s="103">
        <v>3.7403</v>
      </c>
      <c r="E23" s="103">
        <v>3.7408999999999999</v>
      </c>
      <c r="F23" s="103">
        <v>6.6928999999999998</v>
      </c>
      <c r="G23" s="103">
        <v>6.6939000000000002</v>
      </c>
      <c r="H23" s="103">
        <v>1.2598</v>
      </c>
      <c r="I23" s="103">
        <v>7.8739999999999997</v>
      </c>
      <c r="J23" s="103">
        <v>7.8750999999999998</v>
      </c>
      <c r="K23" s="103">
        <v>1.7717000000000001</v>
      </c>
      <c r="M23" s="22" t="s">
        <v>421</v>
      </c>
      <c r="N23" s="23" t="s">
        <v>214</v>
      </c>
      <c r="O23" s="103">
        <v>3.7410999999999999</v>
      </c>
      <c r="P23" s="103">
        <v>3.742</v>
      </c>
      <c r="Q23" s="103">
        <v>6.6928999999999998</v>
      </c>
      <c r="R23" s="103">
        <v>6.6939000000000002</v>
      </c>
      <c r="S23" s="103">
        <v>7.8739999999999997</v>
      </c>
      <c r="T23" s="103">
        <v>7.8750999999999998</v>
      </c>
    </row>
    <row r="24" spans="1:20" x14ac:dyDescent="0.25">
      <c r="A24">
        <v>22</v>
      </c>
      <c r="B24" s="22" t="s">
        <v>422</v>
      </c>
      <c r="C24" s="23" t="s">
        <v>197</v>
      </c>
      <c r="D24" s="103">
        <v>3.9371</v>
      </c>
      <c r="E24" s="103">
        <v>3.9377</v>
      </c>
      <c r="F24" s="103">
        <v>7.0865999999999998</v>
      </c>
      <c r="G24" s="103">
        <v>7.0876000000000001</v>
      </c>
      <c r="H24" s="103">
        <v>1.3386</v>
      </c>
      <c r="I24" s="103">
        <v>8.4646000000000008</v>
      </c>
      <c r="J24" s="103">
        <v>8.4657</v>
      </c>
      <c r="K24" s="103">
        <v>1.8504</v>
      </c>
      <c r="M24" s="22" t="s">
        <v>422</v>
      </c>
      <c r="N24" s="23" t="s">
        <v>214</v>
      </c>
      <c r="O24" s="103">
        <v>3.9379</v>
      </c>
      <c r="P24" s="103">
        <v>3.9388000000000001</v>
      </c>
      <c r="Q24" s="103">
        <v>7.0865999999999998</v>
      </c>
      <c r="R24" s="103">
        <v>7.0876000000000001</v>
      </c>
      <c r="S24" s="103">
        <v>8.4646000000000008</v>
      </c>
      <c r="T24" s="103">
        <v>8.4657</v>
      </c>
    </row>
    <row r="25" spans="1:20" x14ac:dyDescent="0.25">
      <c r="A25">
        <v>23</v>
      </c>
      <c r="B25" s="22" t="s">
        <v>423</v>
      </c>
      <c r="C25" s="23" t="s">
        <v>203</v>
      </c>
      <c r="D25" s="103">
        <v>4.1344000000000003</v>
      </c>
      <c r="E25" s="103">
        <v>4.1349999999999998</v>
      </c>
      <c r="F25" s="103">
        <v>7.4802999999999997</v>
      </c>
      <c r="G25" s="103">
        <v>7.4813999999999998</v>
      </c>
      <c r="H25" s="103">
        <v>1.4173</v>
      </c>
      <c r="I25" s="103">
        <v>8.8582999999999998</v>
      </c>
      <c r="J25" s="103">
        <v>8.8594000000000008</v>
      </c>
      <c r="K25" s="103">
        <v>1.9291</v>
      </c>
      <c r="M25" s="22" t="s">
        <v>423</v>
      </c>
      <c r="N25" s="23" t="s">
        <v>214</v>
      </c>
      <c r="O25" s="103">
        <v>4.1348000000000003</v>
      </c>
      <c r="P25" s="103">
        <v>4.1356999999999999</v>
      </c>
      <c r="Q25" s="103">
        <v>7.4802999999999997</v>
      </c>
      <c r="R25" s="103">
        <v>7.4813999999999998</v>
      </c>
      <c r="S25" s="103">
        <v>8.8582999999999998</v>
      </c>
      <c r="T25" s="103">
        <v>8.8594000000000008</v>
      </c>
    </row>
    <row r="26" spans="1:20" x14ac:dyDescent="0.25">
      <c r="A26">
        <v>24</v>
      </c>
      <c r="B26" s="22" t="s">
        <v>424</v>
      </c>
      <c r="C26" s="23" t="s">
        <v>203</v>
      </c>
      <c r="D26" s="103">
        <v>4.3311999999999999</v>
      </c>
      <c r="E26" s="103">
        <v>4.3318000000000003</v>
      </c>
      <c r="F26" s="103">
        <v>7.8739999999999997</v>
      </c>
      <c r="G26" s="103">
        <v>7.8750999999999998</v>
      </c>
      <c r="H26" s="103">
        <v>1.4961</v>
      </c>
      <c r="I26" s="103">
        <v>9.4488000000000003</v>
      </c>
      <c r="J26" s="103">
        <v>9.4498999999999995</v>
      </c>
      <c r="K26" s="103">
        <v>1.9684999999999999</v>
      </c>
      <c r="M26" s="22" t="s">
        <v>424</v>
      </c>
      <c r="N26" s="23" t="s">
        <v>214</v>
      </c>
      <c r="O26" s="103">
        <v>4.3315999999999999</v>
      </c>
      <c r="P26" s="103">
        <v>4.3324999999999996</v>
      </c>
      <c r="Q26" s="103">
        <v>7.8739999999999997</v>
      </c>
      <c r="R26" s="103">
        <v>7.8750999999999998</v>
      </c>
      <c r="S26" s="103">
        <v>9.4488000000000003</v>
      </c>
      <c r="T26" s="103">
        <v>9.4498999999999995</v>
      </c>
    </row>
    <row r="27" spans="1:20" x14ac:dyDescent="0.25">
      <c r="A27">
        <v>25</v>
      </c>
      <c r="B27" s="22" t="s">
        <v>425</v>
      </c>
      <c r="C27" s="23" t="s">
        <v>203</v>
      </c>
      <c r="D27" s="103">
        <v>4.7248999999999999</v>
      </c>
      <c r="E27" s="103">
        <v>4.7255000000000003</v>
      </c>
      <c r="F27" s="103">
        <v>8.4646000000000008</v>
      </c>
      <c r="G27" s="103">
        <v>8.4657</v>
      </c>
      <c r="H27" s="103">
        <v>1.5748</v>
      </c>
      <c r="I27" s="103">
        <v>10.2362</v>
      </c>
      <c r="J27" s="103">
        <v>10.237500000000001</v>
      </c>
      <c r="K27" s="103">
        <v>2.1654</v>
      </c>
      <c r="M27" s="22" t="s">
        <v>425</v>
      </c>
      <c r="N27" s="23" t="s">
        <v>214</v>
      </c>
      <c r="O27" s="103">
        <v>4.7252999999999998</v>
      </c>
      <c r="P27" s="103">
        <v>4.7262000000000004</v>
      </c>
      <c r="Q27" s="103">
        <v>8.4646000000000008</v>
      </c>
      <c r="R27" s="103">
        <v>8.4657</v>
      </c>
      <c r="S27" s="103">
        <v>10.2362</v>
      </c>
      <c r="T27" s="103">
        <v>10.237500000000001</v>
      </c>
    </row>
    <row r="28" spans="1:20" x14ac:dyDescent="0.25">
      <c r="A28">
        <v>26</v>
      </c>
      <c r="B28" s="22" t="s">
        <v>426</v>
      </c>
      <c r="C28" s="23" t="s">
        <v>203</v>
      </c>
      <c r="D28" s="103">
        <v>5.1186999999999996</v>
      </c>
      <c r="E28" s="103">
        <v>5.1193999999999997</v>
      </c>
      <c r="F28" s="103">
        <v>9.0550999999999995</v>
      </c>
      <c r="G28" s="103">
        <v>9.0562000000000005</v>
      </c>
      <c r="H28" s="103">
        <v>1.5748</v>
      </c>
      <c r="I28" s="103">
        <v>11.0236</v>
      </c>
      <c r="J28" s="103">
        <v>11.024900000000001</v>
      </c>
      <c r="K28" s="103">
        <v>2.2835000000000001</v>
      </c>
      <c r="M28" s="22" t="s">
        <v>426</v>
      </c>
      <c r="N28" s="23" t="s">
        <v>214</v>
      </c>
      <c r="O28" s="103">
        <v>5.1192000000000002</v>
      </c>
      <c r="P28" s="103">
        <v>5.1200999999999999</v>
      </c>
      <c r="Q28" s="103">
        <v>9.0550999999999995</v>
      </c>
      <c r="R28" s="103">
        <v>9.0562000000000005</v>
      </c>
      <c r="S28" s="103">
        <v>11.0236</v>
      </c>
      <c r="T28" s="103">
        <v>11.024900000000001</v>
      </c>
    </row>
    <row r="29" spans="1:20" x14ac:dyDescent="0.25">
      <c r="A29">
        <v>27</v>
      </c>
      <c r="B29" s="22" t="s">
        <v>427</v>
      </c>
      <c r="C29" s="23" t="s">
        <v>203</v>
      </c>
      <c r="D29" s="103">
        <v>5.5124000000000004</v>
      </c>
      <c r="E29" s="103">
        <v>5.5130999999999997</v>
      </c>
      <c r="F29" s="103">
        <v>9.8424999999999994</v>
      </c>
      <c r="G29" s="103">
        <v>9.8436000000000003</v>
      </c>
      <c r="H29" s="103">
        <v>1.6535</v>
      </c>
      <c r="I29" s="103">
        <v>11.811</v>
      </c>
      <c r="J29" s="103">
        <v>11.8123</v>
      </c>
      <c r="K29" s="103">
        <v>2.4409000000000001</v>
      </c>
      <c r="M29" s="22" t="s">
        <v>427</v>
      </c>
      <c r="N29" s="23" t="s">
        <v>214</v>
      </c>
      <c r="O29" s="103">
        <v>5.5129000000000001</v>
      </c>
      <c r="P29" s="103">
        <v>5.5137999999999998</v>
      </c>
      <c r="Q29" s="103">
        <v>9.8424999999999994</v>
      </c>
      <c r="R29" s="103">
        <v>9.8436000000000003</v>
      </c>
      <c r="S29" s="103">
        <v>11.811</v>
      </c>
      <c r="T29" s="103">
        <v>11.8123</v>
      </c>
    </row>
    <row r="30" spans="1:20" x14ac:dyDescent="0.25">
      <c r="A30">
        <v>28</v>
      </c>
      <c r="B30" s="22" t="s">
        <v>428</v>
      </c>
      <c r="C30" s="23" t="s">
        <v>203</v>
      </c>
      <c r="D30" s="103">
        <v>5.9061000000000003</v>
      </c>
      <c r="E30" s="103">
        <v>5.9067999999999996</v>
      </c>
      <c r="F30" s="103">
        <v>10.629899999999999</v>
      </c>
      <c r="G30" s="103">
        <v>10.6312</v>
      </c>
      <c r="H30" s="103">
        <v>1.7717000000000001</v>
      </c>
      <c r="I30" s="103">
        <v>12.5984</v>
      </c>
      <c r="J30" s="103">
        <v>12.5998</v>
      </c>
      <c r="K30" s="103">
        <v>2.5590999999999999</v>
      </c>
      <c r="M30" s="22" t="s">
        <v>428</v>
      </c>
      <c r="N30" s="23" t="s">
        <v>215</v>
      </c>
      <c r="O30" s="103">
        <v>5.9071999999999996</v>
      </c>
      <c r="P30" s="103">
        <v>5.9081999999999999</v>
      </c>
      <c r="Q30" s="103">
        <v>10.629899999999999</v>
      </c>
      <c r="R30" s="103">
        <v>10.6312</v>
      </c>
      <c r="S30" s="103">
        <v>12.5984</v>
      </c>
      <c r="T30" s="103">
        <v>12.5998</v>
      </c>
    </row>
    <row r="31" spans="1:20" x14ac:dyDescent="0.25">
      <c r="A31">
        <v>29</v>
      </c>
      <c r="B31" s="22" t="s">
        <v>429</v>
      </c>
      <c r="C31" s="23" t="s">
        <v>203</v>
      </c>
      <c r="D31" s="103">
        <v>6.2998000000000003</v>
      </c>
      <c r="E31" s="103">
        <v>6.3005000000000004</v>
      </c>
      <c r="F31" s="103">
        <v>11.417299999999999</v>
      </c>
      <c r="G31" s="103">
        <v>11.4186</v>
      </c>
      <c r="H31" s="103">
        <v>1.8897999999999999</v>
      </c>
      <c r="I31" s="103">
        <v>13.3858</v>
      </c>
      <c r="J31" s="103">
        <v>13.3872</v>
      </c>
      <c r="K31" s="103">
        <v>2.6772</v>
      </c>
      <c r="M31" s="22" t="s">
        <v>429</v>
      </c>
      <c r="N31" s="23" t="s">
        <v>215</v>
      </c>
      <c r="O31" s="103">
        <v>6.3009000000000004</v>
      </c>
      <c r="P31" s="103">
        <v>6.3018999999999998</v>
      </c>
      <c r="Q31" s="103">
        <v>11.417299999999999</v>
      </c>
      <c r="R31" s="103">
        <v>11.4186</v>
      </c>
      <c r="S31" s="103">
        <v>13.3858</v>
      </c>
      <c r="T31" s="103">
        <v>13.3872</v>
      </c>
    </row>
    <row r="32" spans="1:20" x14ac:dyDescent="0.25">
      <c r="A32">
        <v>30</v>
      </c>
      <c r="B32" s="22" t="s">
        <v>430</v>
      </c>
      <c r="C32" s="23" t="s">
        <v>204</v>
      </c>
      <c r="D32" s="103">
        <v>6.6935000000000002</v>
      </c>
      <c r="E32" s="103">
        <v>6.6944999999999997</v>
      </c>
      <c r="F32" s="103">
        <v>12.204700000000001</v>
      </c>
      <c r="G32" s="103">
        <v>12.206</v>
      </c>
      <c r="H32" s="103">
        <v>2.0472000000000001</v>
      </c>
      <c r="I32" s="103">
        <v>14.1732</v>
      </c>
      <c r="J32" s="103">
        <v>14.1746</v>
      </c>
      <c r="K32" s="103">
        <v>2.8346</v>
      </c>
      <c r="M32" s="22" t="s">
        <v>430</v>
      </c>
      <c r="N32" s="23" t="s">
        <v>215</v>
      </c>
      <c r="O32" s="103">
        <v>6.6946000000000003</v>
      </c>
      <c r="P32" s="103">
        <v>6.6955999999999998</v>
      </c>
      <c r="Q32" s="103">
        <v>12.204700000000001</v>
      </c>
      <c r="R32" s="103">
        <v>12.206</v>
      </c>
      <c r="S32" s="103">
        <v>14.1732</v>
      </c>
      <c r="T32" s="103">
        <v>14.1746</v>
      </c>
    </row>
    <row r="33" spans="1:20" x14ac:dyDescent="0.25">
      <c r="A33">
        <v>31</v>
      </c>
      <c r="B33" s="22" t="s">
        <v>431</v>
      </c>
      <c r="C33" s="23" t="s">
        <v>204</v>
      </c>
      <c r="D33" s="103">
        <v>7.0872000000000002</v>
      </c>
      <c r="E33" s="103">
        <v>7.0881999999999996</v>
      </c>
      <c r="F33" s="103">
        <v>12.5984</v>
      </c>
      <c r="G33" s="103">
        <v>12.5998</v>
      </c>
      <c r="H33" s="103">
        <v>2.0472000000000001</v>
      </c>
      <c r="I33" s="103">
        <v>14.960599999999999</v>
      </c>
      <c r="J33" s="103">
        <v>14.962</v>
      </c>
      <c r="K33" s="103">
        <v>2.9527999999999999</v>
      </c>
      <c r="M33" s="22" t="s">
        <v>431</v>
      </c>
      <c r="N33" s="23" t="s">
        <v>215</v>
      </c>
      <c r="O33" s="103">
        <v>7.0883000000000003</v>
      </c>
      <c r="P33" s="103">
        <v>7.0892999999999997</v>
      </c>
      <c r="Q33" s="103">
        <v>12.5984</v>
      </c>
      <c r="R33" s="103">
        <v>12.5998</v>
      </c>
      <c r="S33" s="103">
        <v>14.960599999999999</v>
      </c>
      <c r="T33" s="103">
        <v>14.962</v>
      </c>
    </row>
    <row r="34" spans="1:20" x14ac:dyDescent="0.25">
      <c r="A34">
        <v>32</v>
      </c>
      <c r="B34" s="22" t="s">
        <v>432</v>
      </c>
      <c r="C34" s="23" t="s">
        <v>204</v>
      </c>
      <c r="D34" s="103">
        <v>7.4809999999999999</v>
      </c>
      <c r="E34" s="103">
        <v>7.4821</v>
      </c>
      <c r="F34" s="103">
        <v>13.3858</v>
      </c>
      <c r="G34" s="103">
        <v>13.3872</v>
      </c>
      <c r="H34" s="103">
        <v>2.1654</v>
      </c>
      <c r="I34" s="103">
        <v>15.747999999999999</v>
      </c>
      <c r="J34" s="103">
        <v>15.7494</v>
      </c>
      <c r="K34" s="103">
        <v>3.0709</v>
      </c>
      <c r="M34" s="22" t="s">
        <v>432</v>
      </c>
      <c r="N34" s="23" t="s">
        <v>215</v>
      </c>
      <c r="O34" s="103">
        <v>7.4823000000000004</v>
      </c>
      <c r="P34" s="103">
        <v>7.4833999999999996</v>
      </c>
      <c r="Q34" s="103">
        <v>13.3858</v>
      </c>
      <c r="R34" s="103">
        <v>13.3872</v>
      </c>
      <c r="S34" s="103">
        <v>15.747999999999999</v>
      </c>
      <c r="T34" s="103">
        <v>15.7494</v>
      </c>
    </row>
    <row r="35" spans="1:20" x14ac:dyDescent="0.25">
      <c r="A35">
        <v>33</v>
      </c>
      <c r="B35" s="22" t="s">
        <v>433</v>
      </c>
      <c r="C35" s="23" t="s">
        <v>204</v>
      </c>
      <c r="D35" s="103">
        <v>7.8746999999999998</v>
      </c>
      <c r="E35" s="103">
        <v>7.8757999999999999</v>
      </c>
      <c r="F35" s="103">
        <v>24.173200000000001</v>
      </c>
      <c r="G35" s="103">
        <v>14.1746</v>
      </c>
      <c r="H35" s="103">
        <v>2.2835000000000001</v>
      </c>
      <c r="I35" s="103">
        <v>16.535399999999999</v>
      </c>
      <c r="J35" s="103">
        <v>16.536999999999999</v>
      </c>
      <c r="K35" s="103">
        <v>3.14961</v>
      </c>
      <c r="M35" s="22" t="s">
        <v>433</v>
      </c>
      <c r="N35" s="23" t="s">
        <v>215</v>
      </c>
      <c r="O35" s="103">
        <v>7.8760000000000003</v>
      </c>
      <c r="P35" s="103">
        <v>7.8771000000000004</v>
      </c>
      <c r="Q35" s="103">
        <v>24.173200000000001</v>
      </c>
      <c r="R35" s="103">
        <v>14.1746</v>
      </c>
      <c r="S35" s="103">
        <v>16.535399999999999</v>
      </c>
      <c r="T35" s="103">
        <v>16.536999999999999</v>
      </c>
    </row>
    <row r="37" spans="1:20" x14ac:dyDescent="0.25">
      <c r="A37" s="395" t="s">
        <v>390</v>
      </c>
    </row>
    <row r="38" spans="1:20" x14ac:dyDescent="0.25">
      <c r="A38" t="s">
        <v>1160</v>
      </c>
    </row>
  </sheetData>
  <mergeCells count="4">
    <mergeCell ref="F1:G1"/>
    <mergeCell ref="I1:J1"/>
    <mergeCell ref="Q1:R1"/>
    <mergeCell ref="S1:T1"/>
  </mergeCells>
  <conditionalFormatting sqref="D65">
    <cfRule type="expression" dxfId="0" priority="2374">
      <formula>#REF!&gt;$Z$6</formula>
    </cfRule>
  </conditionalFormatting>
  <hyperlinks>
    <hyperlink ref="A37" r:id="rId1" xr:uid="{CE26DD3C-ABA1-40B9-9997-5752FF7BE679}"/>
  </hyperlinks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DU35"/>
  <sheetViews>
    <sheetView topLeftCell="AS2" workbookViewId="0">
      <selection activeCell="BW7" sqref="BW7"/>
    </sheetView>
  </sheetViews>
  <sheetFormatPr defaultRowHeight="15" x14ac:dyDescent="0.25"/>
  <cols>
    <col min="1" max="1" width="9.140625" style="13"/>
    <col min="2" max="2" width="24" bestFit="1" customWidth="1"/>
    <col min="3" max="3" width="4.28515625" customWidth="1"/>
    <col min="4" max="4" width="23.28515625" bestFit="1" customWidth="1"/>
    <col min="5" max="5" width="3.85546875" customWidth="1"/>
    <col min="6" max="6" width="16" bestFit="1" customWidth="1"/>
    <col min="7" max="7" width="2.85546875" customWidth="1"/>
    <col min="8" max="8" width="10.42578125" bestFit="1" customWidth="1"/>
    <col min="9" max="9" width="3.5703125" customWidth="1"/>
    <col min="10" max="10" width="17.7109375" bestFit="1" customWidth="1"/>
    <col min="11" max="11" width="3.140625" customWidth="1"/>
    <col min="12" max="12" width="11.28515625" bestFit="1" customWidth="1"/>
    <col min="13" max="13" width="4.140625" customWidth="1"/>
    <col min="14" max="14" width="8.85546875" customWidth="1"/>
    <col min="15" max="15" width="3.5703125" customWidth="1"/>
    <col min="16" max="16" width="16.85546875" customWidth="1"/>
    <col min="17" max="17" width="3" customWidth="1"/>
    <col min="18" max="18" width="19.7109375" bestFit="1" customWidth="1"/>
    <col min="19" max="19" width="3.140625" customWidth="1"/>
    <col min="20" max="20" width="11.85546875" customWidth="1"/>
    <col min="21" max="21" width="8.42578125" customWidth="1"/>
    <col min="22" max="22" width="10.28515625" bestFit="1" customWidth="1"/>
    <col min="23" max="23" width="3" customWidth="1"/>
    <col min="24" max="24" width="11.85546875" bestFit="1" customWidth="1"/>
    <col min="25" max="25" width="3.28515625" customWidth="1"/>
    <col min="26" max="26" width="16.7109375" customWidth="1"/>
    <col min="27" max="27" width="13.140625" style="14" bestFit="1" customWidth="1"/>
    <col min="28" max="28" width="11.85546875" style="14" bestFit="1" customWidth="1"/>
    <col min="29" max="29" width="13.140625" style="14" bestFit="1" customWidth="1"/>
    <col min="30" max="30" width="2.7109375" style="14" customWidth="1"/>
    <col min="31" max="32" width="9.5703125" style="14" bestFit="1" customWidth="1"/>
    <col min="33" max="33" width="7.28515625" style="14" bestFit="1" customWidth="1"/>
    <col min="34" max="34" width="9.5703125" style="14" bestFit="1" customWidth="1"/>
    <col min="35" max="35" width="9.5703125" style="14" customWidth="1"/>
    <col min="36" max="36" width="9.140625" style="14"/>
    <col min="37" max="37" width="2.7109375" style="14" customWidth="1"/>
    <col min="38" max="38" width="9.140625" style="14"/>
    <col min="39" max="39" width="2.5703125" style="14" customWidth="1"/>
    <col min="40" max="40" width="10.28515625" style="14" customWidth="1"/>
    <col min="41" max="41" width="2.5703125" style="14" customWidth="1"/>
    <col min="42" max="42" width="14.42578125" style="14" customWidth="1"/>
    <col min="43" max="43" width="2.140625" style="14" customWidth="1"/>
    <col min="44" max="44" width="9.140625" style="14"/>
    <col min="45" max="45" width="2.140625" style="14" customWidth="1"/>
    <col min="46" max="46" width="9.140625" style="14"/>
    <col min="47" max="47" width="2.140625" style="14" customWidth="1"/>
    <col min="48" max="48" width="9.140625" style="14"/>
    <col min="49" max="49" width="2.7109375" style="14" customWidth="1"/>
    <col min="50" max="50" width="9.140625" style="14"/>
    <col min="51" max="51" width="2.5703125" style="14" customWidth="1"/>
    <col min="52" max="52" width="20" style="14" customWidth="1"/>
    <col min="53" max="53" width="2.140625" style="14" customWidth="1"/>
    <col min="54" max="54" width="20" style="14" customWidth="1"/>
    <col min="55" max="55" width="2.5703125" style="14" customWidth="1"/>
    <col min="56" max="56" width="9.140625" style="10"/>
    <col min="57" max="57" width="2.28515625" style="10" customWidth="1"/>
    <col min="58" max="58" width="20.42578125" bestFit="1" customWidth="1"/>
    <col min="59" max="59" width="3.28515625" customWidth="1"/>
    <col min="62" max="62" width="2.5703125" customWidth="1"/>
    <col min="63" max="63" width="15.140625" customWidth="1"/>
    <col min="64" max="64" width="2.5703125" customWidth="1"/>
    <col min="65" max="65" width="14.5703125" customWidth="1"/>
    <col min="66" max="66" width="2.42578125" customWidth="1"/>
    <col min="67" max="67" width="24.140625" customWidth="1"/>
    <col min="68" max="68" width="3.140625" customWidth="1"/>
    <col min="69" max="69" width="11.5703125" customWidth="1"/>
    <col min="77" max="77" width="14.42578125" customWidth="1"/>
    <col min="101" max="101" width="18.85546875" customWidth="1"/>
  </cols>
  <sheetData>
    <row r="1" spans="1:125" x14ac:dyDescent="0.25">
      <c r="A1" s="13" t="s">
        <v>161</v>
      </c>
      <c r="B1" t="s">
        <v>29</v>
      </c>
      <c r="C1">
        <v>3</v>
      </c>
      <c r="D1" t="s">
        <v>31</v>
      </c>
      <c r="E1">
        <v>5</v>
      </c>
      <c r="F1" t="s">
        <v>33</v>
      </c>
      <c r="G1">
        <v>7</v>
      </c>
      <c r="H1" t="s">
        <v>42</v>
      </c>
      <c r="I1">
        <v>9</v>
      </c>
      <c r="J1" t="s">
        <v>162</v>
      </c>
      <c r="K1">
        <v>11</v>
      </c>
      <c r="L1" t="s">
        <v>150</v>
      </c>
      <c r="M1">
        <v>13</v>
      </c>
      <c r="N1" t="s">
        <v>139</v>
      </c>
      <c r="O1">
        <v>15</v>
      </c>
      <c r="P1" t="s">
        <v>160</v>
      </c>
      <c r="Q1">
        <v>17</v>
      </c>
      <c r="R1" t="s">
        <v>61</v>
      </c>
      <c r="S1">
        <v>19</v>
      </c>
      <c r="T1" t="s">
        <v>505</v>
      </c>
      <c r="U1">
        <v>21</v>
      </c>
      <c r="V1" t="s">
        <v>126</v>
      </c>
      <c r="W1">
        <v>23</v>
      </c>
      <c r="X1" t="s">
        <v>129</v>
      </c>
      <c r="Y1">
        <v>25</v>
      </c>
      <c r="AA1" s="1460" t="s">
        <v>123</v>
      </c>
      <c r="AB1" s="1460"/>
      <c r="AC1" s="1460"/>
      <c r="AD1" s="14" t="s">
        <v>812</v>
      </c>
      <c r="AE1" s="1460" t="s">
        <v>124</v>
      </c>
      <c r="AF1" s="1460"/>
      <c r="AG1" s="1460"/>
      <c r="AH1" s="1460"/>
      <c r="AI1" s="14" t="s">
        <v>445</v>
      </c>
      <c r="AJ1" s="14" t="s">
        <v>176</v>
      </c>
      <c r="AL1" s="14" t="s">
        <v>180</v>
      </c>
      <c r="AN1" s="14" t="s">
        <v>186</v>
      </c>
      <c r="AP1" s="14" t="s">
        <v>529</v>
      </c>
      <c r="AR1" s="14" t="s">
        <v>448</v>
      </c>
      <c r="AS1" s="14" t="s">
        <v>813</v>
      </c>
      <c r="AT1" s="14" t="s">
        <v>548</v>
      </c>
      <c r="AV1" s="14" t="s">
        <v>218</v>
      </c>
      <c r="AX1" s="14" t="s">
        <v>440</v>
      </c>
      <c r="AY1" s="13">
        <v>52</v>
      </c>
      <c r="AZ1" s="14" t="s">
        <v>274</v>
      </c>
      <c r="BA1" s="14" t="s">
        <v>814</v>
      </c>
      <c r="BB1" s="14" t="s">
        <v>566</v>
      </c>
      <c r="BC1" s="14" t="s">
        <v>815</v>
      </c>
      <c r="BD1" s="35" t="s">
        <v>290</v>
      </c>
      <c r="BE1" s="35" t="s">
        <v>816</v>
      </c>
      <c r="BF1" s="14" t="s">
        <v>299</v>
      </c>
      <c r="BG1">
        <v>60</v>
      </c>
      <c r="BH1" t="s">
        <v>307</v>
      </c>
      <c r="BI1">
        <v>62</v>
      </c>
      <c r="BJ1">
        <v>63</v>
      </c>
      <c r="BK1" t="s">
        <v>676</v>
      </c>
      <c r="BL1">
        <v>65</v>
      </c>
      <c r="BM1" t="s">
        <v>677</v>
      </c>
      <c r="BN1">
        <v>67</v>
      </c>
      <c r="BO1" t="s">
        <v>680</v>
      </c>
      <c r="BP1">
        <v>69</v>
      </c>
      <c r="BQ1" t="s">
        <v>458</v>
      </c>
      <c r="BR1">
        <v>71</v>
      </c>
      <c r="BT1">
        <v>73</v>
      </c>
      <c r="BV1">
        <v>75</v>
      </c>
      <c r="BX1">
        <v>77</v>
      </c>
      <c r="BY1" t="s">
        <v>811</v>
      </c>
      <c r="BZ1">
        <v>79</v>
      </c>
      <c r="CB1">
        <v>81</v>
      </c>
      <c r="CD1">
        <v>85</v>
      </c>
      <c r="CE1" t="s">
        <v>832</v>
      </c>
      <c r="CF1">
        <v>87</v>
      </c>
      <c r="CG1" t="s">
        <v>833</v>
      </c>
      <c r="CH1">
        <v>89</v>
      </c>
      <c r="CI1" t="s">
        <v>834</v>
      </c>
      <c r="CJ1">
        <v>91</v>
      </c>
      <c r="CK1" t="s">
        <v>839</v>
      </c>
      <c r="CL1">
        <v>93</v>
      </c>
      <c r="CM1" t="s">
        <v>840</v>
      </c>
      <c r="CN1">
        <v>95</v>
      </c>
      <c r="CO1" t="s">
        <v>847</v>
      </c>
      <c r="CP1">
        <v>97</v>
      </c>
      <c r="CQ1" t="s">
        <v>460</v>
      </c>
      <c r="CR1">
        <v>99</v>
      </c>
      <c r="CS1" t="s">
        <v>865</v>
      </c>
      <c r="CT1">
        <v>101</v>
      </c>
      <c r="CU1" t="s">
        <v>1005</v>
      </c>
      <c r="CV1">
        <v>103</v>
      </c>
      <c r="CW1" t="s">
        <v>1219</v>
      </c>
      <c r="CY1" t="s">
        <v>1223</v>
      </c>
      <c r="DA1" t="s">
        <v>1112</v>
      </c>
      <c r="DC1" t="s">
        <v>1250</v>
      </c>
      <c r="DE1" t="s">
        <v>1297</v>
      </c>
      <c r="DG1" t="s">
        <v>1303</v>
      </c>
      <c r="DI1" t="s">
        <v>739</v>
      </c>
      <c r="DK1" t="s">
        <v>738</v>
      </c>
      <c r="DM1" t="s">
        <v>1304</v>
      </c>
      <c r="DS1" t="s">
        <v>1124</v>
      </c>
      <c r="DU1" t="s">
        <v>1560</v>
      </c>
    </row>
    <row r="2" spans="1:125" x14ac:dyDescent="0.25">
      <c r="A2" s="13">
        <v>1</v>
      </c>
      <c r="I2">
        <v>1</v>
      </c>
      <c r="O2">
        <v>1</v>
      </c>
      <c r="Q2">
        <v>1</v>
      </c>
      <c r="Z2" s="7"/>
      <c r="AA2" s="14">
        <v>1</v>
      </c>
      <c r="AB2" s="7">
        <v>2</v>
      </c>
      <c r="AC2" s="7" t="s">
        <v>86</v>
      </c>
      <c r="AD2" s="7"/>
      <c r="AE2" s="14" t="s">
        <v>91</v>
      </c>
      <c r="AF2" s="7" t="s">
        <v>127</v>
      </c>
      <c r="AG2" s="7" t="s">
        <v>86</v>
      </c>
      <c r="AH2" s="14" t="s">
        <v>128</v>
      </c>
      <c r="AJ2" s="7"/>
      <c r="AK2" s="13">
        <v>1</v>
      </c>
      <c r="AO2" s="619">
        <v>1</v>
      </c>
      <c r="AQ2" s="19">
        <v>1</v>
      </c>
      <c r="AS2" s="13">
        <v>1</v>
      </c>
      <c r="AU2" s="7"/>
      <c r="AW2" s="7"/>
      <c r="AY2" s="13">
        <v>1</v>
      </c>
      <c r="BA2" s="14" t="s">
        <v>91</v>
      </c>
      <c r="BE2">
        <v>1</v>
      </c>
      <c r="BG2">
        <v>1</v>
      </c>
      <c r="BJ2">
        <v>1</v>
      </c>
      <c r="BL2">
        <v>1</v>
      </c>
      <c r="BN2">
        <v>1</v>
      </c>
      <c r="BP2">
        <v>1</v>
      </c>
      <c r="BR2">
        <v>1</v>
      </c>
      <c r="BT2">
        <v>1</v>
      </c>
      <c r="BV2">
        <v>1</v>
      </c>
      <c r="BX2">
        <v>1</v>
      </c>
      <c r="BY2" t="s">
        <v>1163</v>
      </c>
      <c r="BZ2">
        <v>1</v>
      </c>
      <c r="CA2" t="s">
        <v>803</v>
      </c>
      <c r="CB2">
        <v>1</v>
      </c>
      <c r="CC2" t="s">
        <v>807</v>
      </c>
      <c r="CD2">
        <v>1</v>
      </c>
      <c r="CF2">
        <v>1</v>
      </c>
      <c r="CH2">
        <v>1</v>
      </c>
      <c r="CJ2">
        <v>1</v>
      </c>
      <c r="CL2">
        <v>1</v>
      </c>
      <c r="CN2">
        <v>1</v>
      </c>
      <c r="CP2">
        <v>1</v>
      </c>
      <c r="CR2">
        <v>1</v>
      </c>
      <c r="CS2" t="s">
        <v>151</v>
      </c>
      <c r="CT2">
        <v>1</v>
      </c>
      <c r="CV2">
        <v>1</v>
      </c>
      <c r="CX2">
        <v>1</v>
      </c>
      <c r="CZ2">
        <v>1</v>
      </c>
      <c r="DB2">
        <v>1</v>
      </c>
      <c r="DD2">
        <v>1</v>
      </c>
      <c r="DF2">
        <v>1</v>
      </c>
      <c r="DH2">
        <v>1</v>
      </c>
      <c r="DJ2">
        <v>1</v>
      </c>
      <c r="DL2">
        <v>1</v>
      </c>
      <c r="DN2">
        <v>1</v>
      </c>
      <c r="DO2" t="s">
        <v>445</v>
      </c>
      <c r="DP2">
        <v>1</v>
      </c>
      <c r="DQ2" t="s">
        <v>62</v>
      </c>
      <c r="DR2">
        <v>1</v>
      </c>
      <c r="DT2">
        <v>1</v>
      </c>
    </row>
    <row r="3" spans="1:125" x14ac:dyDescent="0.25">
      <c r="A3" s="13">
        <v>2</v>
      </c>
      <c r="B3" t="s">
        <v>6</v>
      </c>
      <c r="D3" t="s">
        <v>32</v>
      </c>
      <c r="F3" t="s">
        <v>343</v>
      </c>
      <c r="H3" t="s">
        <v>1170</v>
      </c>
      <c r="I3">
        <v>2</v>
      </c>
      <c r="J3" t="s">
        <v>73</v>
      </c>
      <c r="L3" t="s">
        <v>151</v>
      </c>
      <c r="N3">
        <v>0</v>
      </c>
      <c r="O3">
        <v>2</v>
      </c>
      <c r="P3" t="s">
        <v>1339</v>
      </c>
      <c r="Q3">
        <v>2</v>
      </c>
      <c r="R3" t="s">
        <v>62</v>
      </c>
      <c r="T3" t="s">
        <v>151</v>
      </c>
      <c r="V3" t="s">
        <v>79</v>
      </c>
      <c r="X3">
        <v>3</v>
      </c>
      <c r="Z3" s="7"/>
      <c r="AB3" s="7"/>
      <c r="AC3" s="7"/>
      <c r="AD3" s="7"/>
      <c r="AE3" s="15" t="s">
        <v>131</v>
      </c>
      <c r="AF3" s="16" t="s">
        <v>131</v>
      </c>
      <c r="AG3" s="16" t="s">
        <v>131</v>
      </c>
      <c r="AH3" s="15" t="s">
        <v>131</v>
      </c>
      <c r="AI3" s="15" t="s">
        <v>177</v>
      </c>
      <c r="AJ3" s="7" t="s">
        <v>177</v>
      </c>
      <c r="AK3" s="13">
        <v>2</v>
      </c>
      <c r="AL3" s="14" t="s">
        <v>179</v>
      </c>
      <c r="AN3" s="7" t="s">
        <v>187</v>
      </c>
      <c r="AO3" s="715">
        <v>2</v>
      </c>
      <c r="AP3" s="14" t="s">
        <v>613</v>
      </c>
      <c r="AQ3" s="19">
        <v>2</v>
      </c>
      <c r="AR3" s="14" t="s">
        <v>449</v>
      </c>
      <c r="AS3" s="13">
        <v>2</v>
      </c>
      <c r="AT3" s="14" t="s">
        <v>626</v>
      </c>
      <c r="AU3" s="7"/>
      <c r="AV3" s="14" t="s">
        <v>219</v>
      </c>
      <c r="AW3" s="7"/>
      <c r="AX3" s="14" t="s">
        <v>441</v>
      </c>
      <c r="AY3" s="13">
        <v>2</v>
      </c>
      <c r="AZ3" s="14" t="s">
        <v>275</v>
      </c>
      <c r="BA3" s="14" t="s">
        <v>127</v>
      </c>
      <c r="BB3" s="14" t="s">
        <v>567</v>
      </c>
      <c r="BD3" s="9" t="s">
        <v>291</v>
      </c>
      <c r="BE3" s="13">
        <v>2</v>
      </c>
      <c r="BF3" s="2" t="s">
        <v>300</v>
      </c>
      <c r="BG3" s="13">
        <v>2</v>
      </c>
      <c r="BH3" t="s">
        <v>312</v>
      </c>
      <c r="BJ3">
        <v>2</v>
      </c>
      <c r="BK3" t="s">
        <v>988</v>
      </c>
      <c r="BL3">
        <v>2</v>
      </c>
      <c r="BM3" t="s">
        <v>830</v>
      </c>
      <c r="BN3">
        <v>2</v>
      </c>
      <c r="BO3" t="s">
        <v>988</v>
      </c>
      <c r="BP3">
        <v>2</v>
      </c>
      <c r="BQ3" t="s">
        <v>948</v>
      </c>
      <c r="BR3">
        <v>2</v>
      </c>
      <c r="BS3" t="s">
        <v>217</v>
      </c>
      <c r="BT3">
        <v>2</v>
      </c>
      <c r="BU3" t="s">
        <v>441</v>
      </c>
      <c r="BV3">
        <v>2</v>
      </c>
      <c r="BW3" t="s">
        <v>732</v>
      </c>
      <c r="BX3">
        <v>2</v>
      </c>
      <c r="BY3" t="s">
        <v>1164</v>
      </c>
      <c r="BZ3">
        <v>2</v>
      </c>
      <c r="CA3" t="s">
        <v>804</v>
      </c>
      <c r="CB3">
        <v>2</v>
      </c>
      <c r="CC3" t="s">
        <v>808</v>
      </c>
      <c r="CD3">
        <v>2</v>
      </c>
      <c r="CE3" t="s">
        <v>828</v>
      </c>
      <c r="CF3">
        <v>2</v>
      </c>
      <c r="CG3" t="s">
        <v>828</v>
      </c>
      <c r="CH3">
        <v>2</v>
      </c>
      <c r="CI3" t="s">
        <v>835</v>
      </c>
      <c r="CJ3">
        <v>2</v>
      </c>
      <c r="CK3" t="s">
        <v>828</v>
      </c>
      <c r="CL3">
        <v>2</v>
      </c>
      <c r="CM3" t="s">
        <v>835</v>
      </c>
      <c r="CN3">
        <v>2</v>
      </c>
      <c r="CO3" t="s">
        <v>848</v>
      </c>
      <c r="CP3">
        <v>2</v>
      </c>
      <c r="CQ3" t="s">
        <v>855</v>
      </c>
      <c r="CR3">
        <v>2</v>
      </c>
      <c r="CS3" t="s">
        <v>450</v>
      </c>
      <c r="CT3">
        <v>2</v>
      </c>
      <c r="CU3" t="s">
        <v>1006</v>
      </c>
      <c r="CV3">
        <v>2</v>
      </c>
      <c r="CW3" t="s">
        <v>1220</v>
      </c>
      <c r="CX3">
        <v>2</v>
      </c>
      <c r="CY3" t="s">
        <v>1224</v>
      </c>
      <c r="CZ3">
        <v>2</v>
      </c>
      <c r="DA3" t="s">
        <v>1236</v>
      </c>
      <c r="DB3">
        <v>2</v>
      </c>
      <c r="DC3" s="8" t="s">
        <v>127</v>
      </c>
      <c r="DD3">
        <v>2</v>
      </c>
      <c r="DE3" t="s">
        <v>1256</v>
      </c>
      <c r="DF3">
        <v>2</v>
      </c>
      <c r="DG3" t="s">
        <v>1298</v>
      </c>
      <c r="DH3">
        <v>2</v>
      </c>
      <c r="DI3" t="s">
        <v>731</v>
      </c>
      <c r="DJ3">
        <v>2</v>
      </c>
      <c r="DK3" t="s">
        <v>441</v>
      </c>
      <c r="DL3">
        <v>2</v>
      </c>
      <c r="DM3" t="s">
        <v>731</v>
      </c>
      <c r="DN3">
        <v>2</v>
      </c>
      <c r="DO3" t="s">
        <v>458</v>
      </c>
      <c r="DP3">
        <v>2</v>
      </c>
      <c r="DQ3" t="s">
        <v>140</v>
      </c>
      <c r="DR3">
        <v>2</v>
      </c>
      <c r="DS3" t="s">
        <v>1521</v>
      </c>
      <c r="DT3">
        <v>2</v>
      </c>
      <c r="DU3" t="s">
        <v>1259</v>
      </c>
    </row>
    <row r="4" spans="1:125" x14ac:dyDescent="0.25">
      <c r="A4" s="13">
        <v>3</v>
      </c>
      <c r="B4" t="s">
        <v>4</v>
      </c>
      <c r="D4" t="s">
        <v>22</v>
      </c>
      <c r="F4" t="s">
        <v>344</v>
      </c>
      <c r="H4" t="s">
        <v>1169</v>
      </c>
      <c r="I4">
        <v>3</v>
      </c>
      <c r="J4" t="s">
        <v>342</v>
      </c>
      <c r="L4" t="s">
        <v>152</v>
      </c>
      <c r="N4">
        <v>1</v>
      </c>
      <c r="O4">
        <v>3</v>
      </c>
      <c r="P4" t="s">
        <v>140</v>
      </c>
      <c r="Q4">
        <v>3</v>
      </c>
      <c r="R4" t="s">
        <v>63</v>
      </c>
      <c r="T4" t="s">
        <v>507</v>
      </c>
      <c r="V4" t="s">
        <v>80</v>
      </c>
      <c r="X4">
        <v>6</v>
      </c>
      <c r="Z4" s="7" t="s">
        <v>321</v>
      </c>
      <c r="AA4" s="14">
        <v>1</v>
      </c>
      <c r="AB4" s="7">
        <v>2</v>
      </c>
      <c r="AC4" s="7" t="s">
        <v>86</v>
      </c>
      <c r="AD4" s="7"/>
      <c r="AE4" s="15" t="s">
        <v>131</v>
      </c>
      <c r="AF4" s="16" t="s">
        <v>131</v>
      </c>
      <c r="AG4" s="16" t="s">
        <v>131</v>
      </c>
      <c r="AH4" s="15" t="s">
        <v>131</v>
      </c>
      <c r="AI4" s="15" t="s">
        <v>446</v>
      </c>
      <c r="AJ4" s="7" t="s">
        <v>178</v>
      </c>
      <c r="AK4" s="19">
        <v>3</v>
      </c>
      <c r="AL4" s="14" t="s">
        <v>181</v>
      </c>
      <c r="AN4" s="14" t="s">
        <v>189</v>
      </c>
      <c r="AO4" s="619">
        <v>3</v>
      </c>
      <c r="AP4" s="14" t="s">
        <v>62</v>
      </c>
      <c r="AQ4" s="19">
        <v>3</v>
      </c>
      <c r="AR4" s="14" t="s">
        <v>450</v>
      </c>
      <c r="AS4" s="13">
        <v>3</v>
      </c>
      <c r="AT4" s="14" t="s">
        <v>627</v>
      </c>
      <c r="AU4" s="7"/>
      <c r="AV4" s="14" t="s">
        <v>220</v>
      </c>
      <c r="AW4" s="7"/>
      <c r="AX4" s="7" t="s">
        <v>442</v>
      </c>
      <c r="AY4" s="19">
        <v>3</v>
      </c>
      <c r="AZ4" s="14" t="s">
        <v>387</v>
      </c>
      <c r="BA4" s="14" t="s">
        <v>86</v>
      </c>
      <c r="BB4" s="14" t="s">
        <v>568</v>
      </c>
      <c r="BD4" s="9" t="s">
        <v>292</v>
      </c>
      <c r="BE4" s="19">
        <v>3</v>
      </c>
      <c r="BF4" s="2" t="s">
        <v>301</v>
      </c>
      <c r="BG4" s="19">
        <v>3</v>
      </c>
      <c r="BH4" t="s">
        <v>308</v>
      </c>
      <c r="BJ4">
        <v>3</v>
      </c>
      <c r="BK4" t="s">
        <v>830</v>
      </c>
      <c r="BL4">
        <v>3</v>
      </c>
      <c r="BM4" t="s">
        <v>827</v>
      </c>
      <c r="BN4">
        <v>3</v>
      </c>
      <c r="BO4" t="s">
        <v>830</v>
      </c>
      <c r="BP4">
        <v>3</v>
      </c>
      <c r="BQ4" t="s">
        <v>673</v>
      </c>
      <c r="BR4">
        <v>3</v>
      </c>
      <c r="BS4" t="s">
        <v>730</v>
      </c>
      <c r="BT4">
        <v>3</v>
      </c>
      <c r="BU4" t="s">
        <v>442</v>
      </c>
      <c r="BV4">
        <v>3</v>
      </c>
      <c r="BW4" t="s">
        <v>733</v>
      </c>
      <c r="CB4">
        <v>3</v>
      </c>
      <c r="CC4" t="s">
        <v>809</v>
      </c>
      <c r="CD4">
        <v>3</v>
      </c>
      <c r="CE4" t="s">
        <v>733</v>
      </c>
      <c r="CF4">
        <v>3</v>
      </c>
      <c r="CG4" t="s">
        <v>827</v>
      </c>
      <c r="CH4">
        <v>3</v>
      </c>
      <c r="CI4" t="s">
        <v>1129</v>
      </c>
      <c r="CJ4">
        <v>3</v>
      </c>
      <c r="CK4" t="s">
        <v>668</v>
      </c>
      <c r="CL4">
        <v>3</v>
      </c>
      <c r="CM4" t="s">
        <v>1495</v>
      </c>
      <c r="CN4">
        <v>3</v>
      </c>
      <c r="CO4" t="s">
        <v>849</v>
      </c>
      <c r="CP4">
        <v>3</v>
      </c>
      <c r="CQ4" t="s">
        <v>856</v>
      </c>
      <c r="CR4">
        <v>3</v>
      </c>
      <c r="CS4" t="s">
        <v>866</v>
      </c>
      <c r="CT4">
        <v>3</v>
      </c>
      <c r="CU4" t="s">
        <v>1007</v>
      </c>
      <c r="CV4">
        <v>3</v>
      </c>
      <c r="CW4" t="s">
        <v>1221</v>
      </c>
      <c r="CX4">
        <v>3</v>
      </c>
      <c r="CY4" t="s">
        <v>1475</v>
      </c>
      <c r="CZ4">
        <v>3</v>
      </c>
      <c r="DA4" t="s">
        <v>1239</v>
      </c>
      <c r="DB4">
        <v>3</v>
      </c>
      <c r="DC4" s="8" t="s">
        <v>128</v>
      </c>
      <c r="DD4">
        <v>3</v>
      </c>
      <c r="DE4" t="s">
        <v>1257</v>
      </c>
      <c r="DF4">
        <v>3</v>
      </c>
      <c r="DG4" t="s">
        <v>1299</v>
      </c>
      <c r="DH4">
        <v>3</v>
      </c>
      <c r="DI4" t="s">
        <v>730</v>
      </c>
      <c r="DJ4">
        <v>3</v>
      </c>
      <c r="DK4" t="s">
        <v>442</v>
      </c>
      <c r="DL4">
        <v>3</v>
      </c>
      <c r="DM4" t="s">
        <v>1305</v>
      </c>
      <c r="DN4">
        <v>3</v>
      </c>
      <c r="DP4">
        <v>3</v>
      </c>
      <c r="DQ4" t="s">
        <v>151</v>
      </c>
      <c r="DR4">
        <v>3</v>
      </c>
      <c r="DS4" t="s">
        <v>1522</v>
      </c>
      <c r="DT4">
        <v>3</v>
      </c>
      <c r="DU4" s="851" t="s">
        <v>1260</v>
      </c>
    </row>
    <row r="5" spans="1:125" x14ac:dyDescent="0.25">
      <c r="A5" s="13">
        <v>4</v>
      </c>
      <c r="B5" t="s">
        <v>436</v>
      </c>
      <c r="D5" t="s">
        <v>24</v>
      </c>
      <c r="F5" t="s">
        <v>1186</v>
      </c>
      <c r="H5" t="s">
        <v>1168</v>
      </c>
      <c r="I5">
        <v>4</v>
      </c>
      <c r="J5" t="s">
        <v>149</v>
      </c>
      <c r="L5" t="s">
        <v>153</v>
      </c>
      <c r="N5">
        <v>2</v>
      </c>
      <c r="O5">
        <v>4</v>
      </c>
      <c r="P5" s="18" t="s">
        <v>151</v>
      </c>
      <c r="Q5">
        <v>4</v>
      </c>
      <c r="R5" t="s">
        <v>64</v>
      </c>
      <c r="T5" t="s">
        <v>508</v>
      </c>
      <c r="V5" t="s">
        <v>81</v>
      </c>
      <c r="X5">
        <v>9</v>
      </c>
      <c r="Z5" s="7"/>
      <c r="AB5" s="7"/>
      <c r="AC5" s="7"/>
      <c r="AD5" s="7"/>
      <c r="AF5" s="7"/>
      <c r="AG5" s="7"/>
      <c r="AH5" s="15" t="s">
        <v>131</v>
      </c>
      <c r="AI5" s="15" t="s">
        <v>447</v>
      </c>
      <c r="AJ5" s="7"/>
      <c r="AK5" s="19">
        <v>4</v>
      </c>
      <c r="AL5" s="14" t="s">
        <v>182</v>
      </c>
      <c r="AN5" s="7" t="s">
        <v>188</v>
      </c>
      <c r="AO5" s="715">
        <v>4</v>
      </c>
      <c r="AP5" s="7" t="s">
        <v>530</v>
      </c>
      <c r="AQ5" s="19">
        <v>4</v>
      </c>
      <c r="AR5" s="14" t="s">
        <v>151</v>
      </c>
      <c r="AS5" s="13">
        <v>4</v>
      </c>
      <c r="AT5" s="14" t="s">
        <v>549</v>
      </c>
      <c r="AU5" s="7"/>
      <c r="AW5" s="7"/>
      <c r="AX5" s="7" t="s">
        <v>151</v>
      </c>
      <c r="AY5" s="19">
        <v>4</v>
      </c>
      <c r="AZ5" s="14" t="s">
        <v>502</v>
      </c>
      <c r="BA5" s="14" t="s">
        <v>128</v>
      </c>
      <c r="BB5" s="14" t="s">
        <v>569</v>
      </c>
      <c r="BD5" s="9"/>
      <c r="BE5" s="19">
        <v>4</v>
      </c>
      <c r="BF5" s="2" t="s">
        <v>302</v>
      </c>
      <c r="BG5" s="19">
        <v>4</v>
      </c>
      <c r="BH5" t="s">
        <v>309</v>
      </c>
      <c r="BJ5">
        <v>4</v>
      </c>
      <c r="BK5" t="s">
        <v>666</v>
      </c>
      <c r="BL5">
        <v>4</v>
      </c>
      <c r="BM5" t="s">
        <v>666</v>
      </c>
      <c r="BN5">
        <v>4</v>
      </c>
      <c r="BO5" t="s">
        <v>666</v>
      </c>
      <c r="BR5">
        <v>4</v>
      </c>
      <c r="BS5" t="s">
        <v>731</v>
      </c>
      <c r="BT5">
        <v>4</v>
      </c>
      <c r="BU5" t="s">
        <v>549</v>
      </c>
      <c r="BV5">
        <v>4</v>
      </c>
      <c r="BW5" t="s">
        <v>734</v>
      </c>
      <c r="CB5">
        <v>4</v>
      </c>
      <c r="CC5" t="s">
        <v>810</v>
      </c>
      <c r="CD5">
        <v>4</v>
      </c>
      <c r="CE5" t="s">
        <v>1130</v>
      </c>
      <c r="CF5">
        <v>4</v>
      </c>
      <c r="CG5" t="s">
        <v>829</v>
      </c>
      <c r="CH5">
        <v>4</v>
      </c>
      <c r="CI5" t="s">
        <v>667</v>
      </c>
      <c r="CJ5">
        <v>4</v>
      </c>
      <c r="CK5" t="s">
        <v>837</v>
      </c>
      <c r="CL5">
        <v>4</v>
      </c>
      <c r="CM5" t="s">
        <v>841</v>
      </c>
      <c r="CN5">
        <v>4</v>
      </c>
      <c r="CO5" t="s">
        <v>850</v>
      </c>
      <c r="CP5">
        <v>4</v>
      </c>
      <c r="CQ5" t="s">
        <v>857</v>
      </c>
      <c r="CR5">
        <v>4</v>
      </c>
      <c r="CS5" t="s">
        <v>867</v>
      </c>
      <c r="CV5">
        <v>4</v>
      </c>
      <c r="CW5" t="s">
        <v>1473</v>
      </c>
      <c r="CX5">
        <v>4</v>
      </c>
      <c r="CY5" t="s">
        <v>1225</v>
      </c>
      <c r="CZ5">
        <v>4</v>
      </c>
      <c r="DA5" t="s">
        <v>84</v>
      </c>
      <c r="DB5">
        <v>4</v>
      </c>
      <c r="DC5" s="8" t="s">
        <v>1255</v>
      </c>
      <c r="DD5">
        <v>4</v>
      </c>
      <c r="DE5" t="s">
        <v>1258</v>
      </c>
      <c r="DF5">
        <v>4</v>
      </c>
      <c r="DG5" t="s">
        <v>1300</v>
      </c>
      <c r="DH5">
        <v>4</v>
      </c>
      <c r="DI5" t="s">
        <v>217</v>
      </c>
      <c r="DJ5">
        <v>4</v>
      </c>
      <c r="DK5" t="s">
        <v>549</v>
      </c>
      <c r="DP5">
        <v>4</v>
      </c>
      <c r="DR5">
        <v>4</v>
      </c>
      <c r="DT5">
        <v>4</v>
      </c>
      <c r="DU5" t="s">
        <v>1261</v>
      </c>
    </row>
    <row r="6" spans="1:125" x14ac:dyDescent="0.25">
      <c r="A6" s="13">
        <v>5</v>
      </c>
      <c r="B6" t="s">
        <v>7</v>
      </c>
      <c r="D6" t="s">
        <v>25</v>
      </c>
      <c r="F6" t="s">
        <v>346</v>
      </c>
      <c r="H6" t="s">
        <v>0</v>
      </c>
      <c r="I6">
        <v>5</v>
      </c>
      <c r="J6" s="18" t="s">
        <v>69</v>
      </c>
      <c r="L6" t="s">
        <v>154</v>
      </c>
      <c r="N6">
        <v>3</v>
      </c>
      <c r="Q6">
        <v>5</v>
      </c>
      <c r="R6" t="s">
        <v>68</v>
      </c>
      <c r="T6" t="s">
        <v>509</v>
      </c>
      <c r="V6" t="s">
        <v>82</v>
      </c>
      <c r="X6">
        <v>12</v>
      </c>
      <c r="Z6" s="19" t="str">
        <f>"6 wire NEMA" &amp; IF(Unformatted!$F$132=1," X","")</f>
        <v>6 wire NEMA</v>
      </c>
      <c r="AA6" s="14">
        <v>1</v>
      </c>
      <c r="AB6" s="7">
        <v>2</v>
      </c>
      <c r="AC6" s="7" t="s">
        <v>86</v>
      </c>
      <c r="AD6" s="7"/>
      <c r="AE6" s="14" t="s">
        <v>323</v>
      </c>
      <c r="AF6" s="16" t="s">
        <v>131</v>
      </c>
      <c r="AG6" s="16" t="s">
        <v>131</v>
      </c>
      <c r="AH6" s="15" t="s">
        <v>131</v>
      </c>
      <c r="AI6" s="15"/>
      <c r="AJ6" s="7"/>
      <c r="AK6" s="19">
        <v>5</v>
      </c>
      <c r="AL6" s="14" t="s">
        <v>184</v>
      </c>
      <c r="AO6" s="619">
        <v>5</v>
      </c>
      <c r="AP6" s="14" t="s">
        <v>612</v>
      </c>
      <c r="AW6" s="7"/>
      <c r="AX6" s="7"/>
      <c r="AY6" s="19">
        <v>5</v>
      </c>
      <c r="AZ6" s="14" t="s">
        <v>503</v>
      </c>
      <c r="BA6" s="14" t="s">
        <v>571</v>
      </c>
      <c r="BB6" s="14" t="s">
        <v>570</v>
      </c>
      <c r="BD6" s="9"/>
      <c r="BE6" s="19">
        <v>5</v>
      </c>
      <c r="BF6" s="2" t="s">
        <v>303</v>
      </c>
      <c r="BG6" s="19">
        <v>5</v>
      </c>
      <c r="BH6" t="s">
        <v>310</v>
      </c>
      <c r="BJ6">
        <v>5</v>
      </c>
      <c r="BK6" t="s">
        <v>989</v>
      </c>
      <c r="BL6">
        <v>5</v>
      </c>
      <c r="BM6" t="s">
        <v>678</v>
      </c>
      <c r="BN6">
        <v>5</v>
      </c>
      <c r="BO6" t="s">
        <v>989</v>
      </c>
      <c r="BV6">
        <v>5</v>
      </c>
      <c r="BW6" t="s">
        <v>1592</v>
      </c>
      <c r="CB6">
        <v>5</v>
      </c>
      <c r="CC6" t="s">
        <v>805</v>
      </c>
      <c r="CD6">
        <v>5</v>
      </c>
      <c r="CE6" t="s">
        <v>1497</v>
      </c>
      <c r="CF6">
        <v>5</v>
      </c>
      <c r="CG6" t="s">
        <v>830</v>
      </c>
      <c r="CH6">
        <v>5</v>
      </c>
      <c r="CI6" t="s">
        <v>836</v>
      </c>
      <c r="CJ6">
        <v>5</v>
      </c>
      <c r="CK6" t="s">
        <v>838</v>
      </c>
      <c r="CL6">
        <v>5</v>
      </c>
      <c r="CM6" t="s">
        <v>842</v>
      </c>
      <c r="CN6">
        <v>5</v>
      </c>
      <c r="CO6" t="s">
        <v>851</v>
      </c>
      <c r="CP6">
        <v>5</v>
      </c>
      <c r="CQ6" t="s">
        <v>858</v>
      </c>
      <c r="CR6">
        <v>5</v>
      </c>
      <c r="CV6">
        <v>5</v>
      </c>
      <c r="CW6" t="s">
        <v>1474</v>
      </c>
      <c r="CX6">
        <v>5</v>
      </c>
      <c r="CY6" t="s">
        <v>151</v>
      </c>
      <c r="CZ6">
        <v>5</v>
      </c>
      <c r="DA6" t="s">
        <v>1243</v>
      </c>
      <c r="DB6">
        <v>5</v>
      </c>
      <c r="DC6" s="8" t="s">
        <v>444</v>
      </c>
      <c r="DD6">
        <v>5</v>
      </c>
      <c r="DE6" t="s">
        <v>1259</v>
      </c>
      <c r="DF6">
        <v>5</v>
      </c>
      <c r="DG6" t="s">
        <v>1301</v>
      </c>
      <c r="DH6">
        <v>5</v>
      </c>
      <c r="DP6">
        <v>5</v>
      </c>
      <c r="DR6">
        <v>5</v>
      </c>
      <c r="DT6">
        <v>5</v>
      </c>
      <c r="DU6" t="s">
        <v>1262</v>
      </c>
    </row>
    <row r="7" spans="1:125" x14ac:dyDescent="0.25">
      <c r="A7" s="13">
        <v>6</v>
      </c>
      <c r="B7" t="s">
        <v>8</v>
      </c>
      <c r="D7" t="s">
        <v>28</v>
      </c>
      <c r="F7" t="s">
        <v>345</v>
      </c>
      <c r="H7" t="s">
        <v>1</v>
      </c>
      <c r="I7">
        <v>6</v>
      </c>
      <c r="J7" t="s">
        <v>272</v>
      </c>
      <c r="L7" s="18" t="s">
        <v>131</v>
      </c>
      <c r="R7" s="18" t="s">
        <v>131</v>
      </c>
      <c r="S7" s="18"/>
      <c r="V7" t="s">
        <v>83</v>
      </c>
      <c r="Z7" s="19" t="str">
        <f>"6 wire NEMA" &amp; IF(Unformatted!$F$132=2," X","")</f>
        <v>6 wire NEMA</v>
      </c>
      <c r="AA7" s="14" t="s">
        <v>88</v>
      </c>
      <c r="AB7" s="7" t="s">
        <v>89</v>
      </c>
      <c r="AC7" s="7" t="s">
        <v>90</v>
      </c>
      <c r="AD7" s="7"/>
      <c r="AE7" s="15" t="s">
        <v>131</v>
      </c>
      <c r="AF7" s="16" t="s">
        <v>131</v>
      </c>
      <c r="AG7" s="16" t="s">
        <v>131</v>
      </c>
      <c r="AH7" s="15" t="s">
        <v>131</v>
      </c>
      <c r="AI7" s="15"/>
      <c r="AJ7" s="7"/>
      <c r="AK7" s="19">
        <v>6</v>
      </c>
      <c r="AL7" s="14" t="s">
        <v>185</v>
      </c>
      <c r="AW7" s="7"/>
      <c r="AX7" s="7"/>
      <c r="AY7" s="19">
        <v>6</v>
      </c>
      <c r="AZ7" s="14" t="s">
        <v>276</v>
      </c>
      <c r="BD7" s="9"/>
      <c r="BE7" s="19">
        <v>6</v>
      </c>
      <c r="BF7" s="2" t="s">
        <v>304</v>
      </c>
      <c r="BG7" s="19">
        <v>6</v>
      </c>
      <c r="BH7" t="s">
        <v>311</v>
      </c>
      <c r="BJ7">
        <v>6</v>
      </c>
      <c r="BK7" t="s">
        <v>827</v>
      </c>
      <c r="BN7">
        <v>6</v>
      </c>
      <c r="BO7" t="s">
        <v>827</v>
      </c>
      <c r="CB7">
        <v>6</v>
      </c>
      <c r="CC7" t="s">
        <v>806</v>
      </c>
      <c r="CF7">
        <v>6</v>
      </c>
      <c r="CG7" t="s">
        <v>831</v>
      </c>
      <c r="CN7">
        <v>6</v>
      </c>
      <c r="CO7" t="s">
        <v>852</v>
      </c>
      <c r="CP7">
        <v>6</v>
      </c>
      <c r="CQ7" t="s">
        <v>859</v>
      </c>
      <c r="CZ7">
        <v>6</v>
      </c>
      <c r="DA7" t="s">
        <v>1241</v>
      </c>
      <c r="DB7">
        <v>6</v>
      </c>
      <c r="DC7" s="8" t="s">
        <v>413</v>
      </c>
      <c r="DD7">
        <v>6</v>
      </c>
      <c r="DE7" t="s">
        <v>1260</v>
      </c>
      <c r="DF7">
        <v>6</v>
      </c>
      <c r="DG7" t="s">
        <v>1302</v>
      </c>
      <c r="DP7">
        <v>6</v>
      </c>
      <c r="DR7">
        <v>6</v>
      </c>
      <c r="DT7">
        <v>6</v>
      </c>
      <c r="DU7" t="s">
        <v>1263</v>
      </c>
    </row>
    <row r="8" spans="1:125" x14ac:dyDescent="0.25">
      <c r="A8" s="13">
        <v>7</v>
      </c>
      <c r="B8" t="s">
        <v>9</v>
      </c>
      <c r="D8" t="s">
        <v>21</v>
      </c>
      <c r="F8" t="s">
        <v>348</v>
      </c>
      <c r="H8" s="18" t="s">
        <v>43</v>
      </c>
      <c r="V8" t="s">
        <v>84</v>
      </c>
      <c r="Z8" s="19" t="str">
        <f>"6 wire NEMA" &amp; IF(Unformatted!$F$132=3," X","")</f>
        <v>6 wire NEMA</v>
      </c>
      <c r="AA8" s="14" t="s">
        <v>92</v>
      </c>
      <c r="AB8" s="7" t="s">
        <v>93</v>
      </c>
      <c r="AC8" s="7" t="s">
        <v>94</v>
      </c>
      <c r="AD8" s="7"/>
      <c r="AE8" s="15" t="s">
        <v>131</v>
      </c>
      <c r="AF8" s="16" t="s">
        <v>131</v>
      </c>
      <c r="AG8" s="16" t="s">
        <v>131</v>
      </c>
      <c r="AH8" s="15" t="s">
        <v>131</v>
      </c>
      <c r="AI8" s="15"/>
      <c r="AJ8" s="7"/>
      <c r="AK8" s="7"/>
      <c r="AL8" s="7"/>
      <c r="AN8" s="19"/>
      <c r="AO8" s="19"/>
      <c r="AP8" s="19"/>
      <c r="AQ8" s="7"/>
      <c r="AU8" s="7"/>
      <c r="AW8" s="7"/>
      <c r="AX8" s="7"/>
      <c r="AY8" s="19">
        <v>7</v>
      </c>
      <c r="AZ8" s="14" t="s">
        <v>277</v>
      </c>
      <c r="BD8" s="9"/>
      <c r="BE8" s="19">
        <v>7</v>
      </c>
      <c r="BF8" s="2" t="s">
        <v>305</v>
      </c>
      <c r="BN8">
        <v>7</v>
      </c>
      <c r="BO8" t="s">
        <v>672</v>
      </c>
      <c r="CF8">
        <v>7</v>
      </c>
      <c r="CG8" t="s">
        <v>1588</v>
      </c>
      <c r="CP8">
        <v>7</v>
      </c>
      <c r="CQ8" t="s">
        <v>860</v>
      </c>
      <c r="CZ8">
        <v>7</v>
      </c>
      <c r="DA8" t="s">
        <v>1242</v>
      </c>
      <c r="DB8">
        <v>7</v>
      </c>
      <c r="DC8" s="8" t="s">
        <v>415</v>
      </c>
      <c r="DD8">
        <v>7</v>
      </c>
      <c r="DE8" t="s">
        <v>1261</v>
      </c>
      <c r="DP8">
        <v>7</v>
      </c>
      <c r="DR8">
        <v>7</v>
      </c>
      <c r="DT8">
        <v>7</v>
      </c>
      <c r="DU8" t="s">
        <v>1552</v>
      </c>
    </row>
    <row r="9" spans="1:125" x14ac:dyDescent="0.25">
      <c r="A9" s="13">
        <v>8</v>
      </c>
      <c r="B9" t="s">
        <v>10</v>
      </c>
      <c r="D9" t="s">
        <v>23</v>
      </c>
      <c r="F9" t="s">
        <v>347</v>
      </c>
      <c r="H9" t="s">
        <v>1171</v>
      </c>
      <c r="V9" t="s">
        <v>85</v>
      </c>
      <c r="Z9" s="19" t="str">
        <f>"6 wire NEMA" &amp; IF(Unformatted!$F$132=4," X","")</f>
        <v>6 wire NEMA</v>
      </c>
      <c r="AA9" s="14">
        <v>1</v>
      </c>
      <c r="AB9" s="7">
        <v>2</v>
      </c>
      <c r="AC9" s="7" t="s">
        <v>86</v>
      </c>
      <c r="AD9" s="7"/>
      <c r="AE9" s="14">
        <v>7</v>
      </c>
      <c r="AF9" s="7">
        <v>8</v>
      </c>
      <c r="AG9" s="7" t="s">
        <v>95</v>
      </c>
      <c r="AH9" s="15" t="s">
        <v>131</v>
      </c>
      <c r="AI9" s="15"/>
      <c r="AJ9" s="7"/>
      <c r="AK9" s="7"/>
      <c r="AL9" s="7"/>
      <c r="AY9" s="14" t="s">
        <v>444</v>
      </c>
      <c r="AZ9" s="14" t="s">
        <v>374</v>
      </c>
      <c r="BD9" s="9"/>
      <c r="BE9" s="9">
        <v>8</v>
      </c>
      <c r="BF9" s="2" t="s">
        <v>1128</v>
      </c>
      <c r="CP9">
        <v>8</v>
      </c>
      <c r="CQ9" t="s">
        <v>272</v>
      </c>
      <c r="CZ9">
        <v>8</v>
      </c>
      <c r="DA9" t="s">
        <v>1237</v>
      </c>
      <c r="DB9">
        <v>8</v>
      </c>
      <c r="DC9" s="8" t="s">
        <v>417</v>
      </c>
      <c r="DD9">
        <v>8</v>
      </c>
      <c r="DE9" t="s">
        <v>1262</v>
      </c>
      <c r="DP9">
        <v>8</v>
      </c>
      <c r="DR9">
        <v>8</v>
      </c>
      <c r="DT9">
        <v>8</v>
      </c>
      <c r="DU9" t="s">
        <v>1489</v>
      </c>
    </row>
    <row r="10" spans="1:125" x14ac:dyDescent="0.25">
      <c r="A10" s="13">
        <v>9</v>
      </c>
      <c r="B10" t="s">
        <v>629</v>
      </c>
      <c r="D10" t="s">
        <v>30</v>
      </c>
      <c r="F10" t="s">
        <v>1187</v>
      </c>
      <c r="H10" t="s">
        <v>1589</v>
      </c>
      <c r="V10" s="18" t="s">
        <v>544</v>
      </c>
      <c r="Z10" s="19" t="str">
        <f>"6 wire NEMA" &amp; IF(Unformatted!$F$132=5," X","")</f>
        <v>6 wire NEMA</v>
      </c>
      <c r="AA10" s="14">
        <v>1</v>
      </c>
      <c r="AB10" s="7">
        <v>2</v>
      </c>
      <c r="AC10" s="7" t="s">
        <v>86</v>
      </c>
      <c r="AD10" s="7"/>
      <c r="AE10" s="14">
        <v>1</v>
      </c>
      <c r="AF10" s="7">
        <v>2</v>
      </c>
      <c r="AG10" s="7" t="s">
        <v>86</v>
      </c>
      <c r="AH10" s="15" t="s">
        <v>131</v>
      </c>
      <c r="AI10" s="15"/>
      <c r="AJ10" s="7"/>
      <c r="AK10" s="7"/>
      <c r="AL10" s="7"/>
      <c r="AZ10" s="14" t="s">
        <v>541</v>
      </c>
      <c r="BD10" s="9"/>
      <c r="BE10" s="9">
        <v>9</v>
      </c>
      <c r="BF10" s="2" t="s">
        <v>731</v>
      </c>
      <c r="CZ10">
        <v>9</v>
      </c>
      <c r="DA10" t="s">
        <v>1238</v>
      </c>
      <c r="DB10">
        <v>9</v>
      </c>
      <c r="DC10" s="8" t="s">
        <v>419</v>
      </c>
      <c r="DD10">
        <v>9</v>
      </c>
      <c r="DE10" t="s">
        <v>1263</v>
      </c>
      <c r="DP10">
        <v>9</v>
      </c>
      <c r="DR10">
        <v>9</v>
      </c>
      <c r="DT10">
        <v>9</v>
      </c>
      <c r="DU10" t="s">
        <v>1553</v>
      </c>
    </row>
    <row r="11" spans="1:125" x14ac:dyDescent="0.25">
      <c r="A11" s="13">
        <v>10</v>
      </c>
      <c r="B11" t="s">
        <v>3</v>
      </c>
      <c r="D11" t="s">
        <v>26</v>
      </c>
      <c r="F11" t="s">
        <v>1188</v>
      </c>
      <c r="H11" t="s">
        <v>1590</v>
      </c>
      <c r="Z11" s="19" t="str">
        <f>"6 wire NEMA" &amp; IF(Unformatted!$F$132=6," X","")</f>
        <v>6 wire NEMA</v>
      </c>
      <c r="AA11" s="14" t="s">
        <v>96</v>
      </c>
      <c r="AB11" s="7" t="s">
        <v>97</v>
      </c>
      <c r="AC11" s="7" t="s">
        <v>98</v>
      </c>
      <c r="AD11" s="7"/>
      <c r="AE11" s="15" t="s">
        <v>131</v>
      </c>
      <c r="AF11" s="16" t="s">
        <v>131</v>
      </c>
      <c r="AG11" s="16" t="s">
        <v>131</v>
      </c>
      <c r="AH11" s="15" t="s">
        <v>131</v>
      </c>
      <c r="AI11" s="15"/>
      <c r="AJ11" s="7"/>
      <c r="AK11" s="7"/>
      <c r="AL11" s="7"/>
      <c r="BD11" s="9"/>
      <c r="BE11" s="9"/>
      <c r="BF11" s="2"/>
      <c r="CZ11">
        <v>10</v>
      </c>
      <c r="DA11" t="s">
        <v>1234</v>
      </c>
      <c r="DB11">
        <v>10</v>
      </c>
      <c r="DC11" s="8" t="s">
        <v>412</v>
      </c>
      <c r="DP11">
        <v>10</v>
      </c>
      <c r="DR11">
        <v>10</v>
      </c>
      <c r="DT11">
        <v>10</v>
      </c>
      <c r="DU11" t="s">
        <v>1554</v>
      </c>
    </row>
    <row r="12" spans="1:125" x14ac:dyDescent="0.25">
      <c r="A12" s="13">
        <v>11</v>
      </c>
      <c r="B12" t="s">
        <v>11</v>
      </c>
      <c r="D12" t="s">
        <v>27</v>
      </c>
      <c r="H12" t="s">
        <v>1172</v>
      </c>
      <c r="Z12" s="19"/>
      <c r="AB12" s="7"/>
      <c r="AC12" s="7"/>
      <c r="AD12" s="7"/>
      <c r="AF12" s="7"/>
      <c r="AG12" s="7"/>
      <c r="AH12" s="15" t="s">
        <v>131</v>
      </c>
      <c r="AI12" s="15"/>
      <c r="AJ12" s="7"/>
      <c r="AK12" s="7"/>
      <c r="AL12" s="7"/>
      <c r="AZ12"/>
      <c r="BA12"/>
      <c r="BB12"/>
      <c r="BD12" s="9"/>
      <c r="BE12" s="9"/>
      <c r="BF12" s="2"/>
      <c r="CZ12">
        <v>11</v>
      </c>
      <c r="DA12" t="s">
        <v>1235</v>
      </c>
      <c r="DB12">
        <v>11</v>
      </c>
      <c r="DC12" s="8" t="s">
        <v>1254</v>
      </c>
      <c r="DT12">
        <v>11</v>
      </c>
      <c r="DU12" t="s">
        <v>1555</v>
      </c>
    </row>
    <row r="13" spans="1:125" x14ac:dyDescent="0.25">
      <c r="A13" s="13">
        <v>12</v>
      </c>
      <c r="B13" t="s">
        <v>12</v>
      </c>
      <c r="D13" t="s">
        <v>372</v>
      </c>
      <c r="Z13" s="19" t="str">
        <f>"9 wire NEMA" &amp; IF(Unformatted!$F$132=1," X","")</f>
        <v>9 wire NEMA</v>
      </c>
      <c r="AA13" s="14">
        <v>1</v>
      </c>
      <c r="AB13" s="7">
        <v>2</v>
      </c>
      <c r="AC13" s="7" t="s">
        <v>86</v>
      </c>
      <c r="AD13" s="7"/>
      <c r="AE13" s="14" t="s">
        <v>324</v>
      </c>
      <c r="AF13" s="7" t="s">
        <v>325</v>
      </c>
      <c r="AG13" s="7" t="s">
        <v>326</v>
      </c>
      <c r="AH13" s="15" t="s">
        <v>131</v>
      </c>
      <c r="AI13" s="15"/>
      <c r="AJ13" s="7"/>
      <c r="AK13" s="7"/>
      <c r="AL13" s="7"/>
      <c r="AN13" s="7"/>
      <c r="AO13" s="7"/>
      <c r="AP13" s="7"/>
      <c r="AQ13" s="7"/>
      <c r="AU13" s="7"/>
      <c r="AW13" s="7"/>
      <c r="AX13" s="7"/>
      <c r="AY13" s="7"/>
      <c r="AZ13"/>
      <c r="BA13"/>
      <c r="BB13"/>
      <c r="BD13" s="9"/>
      <c r="BE13" s="9"/>
      <c r="BF13" s="2"/>
      <c r="CZ13">
        <v>12</v>
      </c>
      <c r="DA13" t="s">
        <v>1482</v>
      </c>
      <c r="DB13">
        <v>12</v>
      </c>
      <c r="DC13" s="8" t="s">
        <v>1253</v>
      </c>
      <c r="DT13">
        <v>12</v>
      </c>
      <c r="DU13" t="s">
        <v>1556</v>
      </c>
    </row>
    <row r="14" spans="1:125" x14ac:dyDescent="0.25">
      <c r="A14" s="13">
        <v>13</v>
      </c>
      <c r="B14" t="s">
        <v>13</v>
      </c>
      <c r="D14" s="18"/>
      <c r="Z14" s="19" t="str">
        <f>"9 wire NEMA" &amp; IF(Unformatted!$F$132=2," X","")</f>
        <v>9 wire NEMA</v>
      </c>
      <c r="AA14" s="14" t="s">
        <v>92</v>
      </c>
      <c r="AB14" s="7" t="s">
        <v>93</v>
      </c>
      <c r="AC14" s="7" t="s">
        <v>94</v>
      </c>
      <c r="AD14" s="7"/>
      <c r="AE14" s="14" t="s">
        <v>87</v>
      </c>
      <c r="AF14" s="16" t="s">
        <v>131</v>
      </c>
      <c r="AG14" s="16" t="s">
        <v>131</v>
      </c>
      <c r="AH14" s="15" t="s">
        <v>131</v>
      </c>
      <c r="AI14" s="15"/>
      <c r="AJ14" s="7"/>
      <c r="AK14" s="7"/>
      <c r="AL14" s="7"/>
      <c r="AN14" s="7"/>
      <c r="AO14" s="7"/>
      <c r="AP14" s="7"/>
      <c r="AQ14" s="7"/>
      <c r="AU14" s="7"/>
      <c r="AW14" s="7"/>
      <c r="AX14" s="7"/>
      <c r="AY14" s="7"/>
      <c r="BD14" s="9"/>
      <c r="BE14" s="9"/>
      <c r="BF14" s="2"/>
      <c r="CZ14">
        <v>13</v>
      </c>
      <c r="DA14" t="s">
        <v>1240</v>
      </c>
      <c r="DB14">
        <v>13</v>
      </c>
      <c r="DC14" s="8" t="s">
        <v>1252</v>
      </c>
      <c r="DT14">
        <v>13</v>
      </c>
      <c r="DU14" t="s">
        <v>1557</v>
      </c>
    </row>
    <row r="15" spans="1:125" x14ac:dyDescent="0.25">
      <c r="A15" s="13">
        <v>14</v>
      </c>
      <c r="B15" t="s">
        <v>14</v>
      </c>
      <c r="Z15" s="19" t="str">
        <f>"9 wire NEMA" &amp; IF(Unformatted!$F$132=3," X","")</f>
        <v>9 wire NEMA</v>
      </c>
      <c r="AA15" s="14" t="s">
        <v>105</v>
      </c>
      <c r="AB15" s="7" t="s">
        <v>106</v>
      </c>
      <c r="AC15" s="7" t="s">
        <v>107</v>
      </c>
      <c r="AD15" s="7"/>
      <c r="AE15" s="15" t="s">
        <v>131</v>
      </c>
      <c r="AF15" s="16" t="s">
        <v>131</v>
      </c>
      <c r="AG15" s="16" t="s">
        <v>131</v>
      </c>
      <c r="AH15" s="15" t="s">
        <v>131</v>
      </c>
      <c r="AI15" s="15"/>
      <c r="AJ15" s="7"/>
      <c r="AK15" s="7"/>
      <c r="AL15" s="7"/>
      <c r="AN15" s="7"/>
      <c r="AO15" s="7"/>
      <c r="AP15" s="7"/>
      <c r="AQ15" s="7"/>
      <c r="AU15" s="7"/>
      <c r="AW15" s="7"/>
      <c r="AX15" s="7"/>
      <c r="AY15" s="7"/>
      <c r="BD15" s="9"/>
      <c r="BE15" s="9"/>
      <c r="BF15" s="2"/>
      <c r="CZ15">
        <v>14</v>
      </c>
      <c r="DA15" t="s">
        <v>1483</v>
      </c>
      <c r="DB15">
        <v>14</v>
      </c>
      <c r="DC15" s="8" t="s">
        <v>1251</v>
      </c>
      <c r="DT15">
        <v>14</v>
      </c>
      <c r="DU15" t="s">
        <v>1256</v>
      </c>
    </row>
    <row r="16" spans="1:125" x14ac:dyDescent="0.25">
      <c r="A16" s="13">
        <v>15</v>
      </c>
      <c r="B16" t="s">
        <v>15</v>
      </c>
      <c r="Z16" s="19"/>
      <c r="AH16" s="15" t="s">
        <v>131</v>
      </c>
      <c r="AI16" s="15"/>
      <c r="AJ16" s="7"/>
      <c r="AK16" s="7"/>
      <c r="AL16" s="7"/>
      <c r="AN16" s="7"/>
      <c r="AO16" s="7"/>
      <c r="AP16" s="7"/>
      <c r="AQ16" s="7"/>
      <c r="AU16" s="7"/>
      <c r="AW16" s="7"/>
      <c r="AX16" s="7"/>
      <c r="AY16" s="7"/>
      <c r="BD16" s="9"/>
      <c r="BE16" s="9"/>
      <c r="BF16" s="2"/>
      <c r="CZ16">
        <v>15</v>
      </c>
      <c r="DA16" t="s">
        <v>544</v>
      </c>
      <c r="DT16">
        <v>15</v>
      </c>
      <c r="DU16" t="s">
        <v>1558</v>
      </c>
    </row>
    <row r="17" spans="1:125" x14ac:dyDescent="0.25">
      <c r="A17" s="13">
        <v>16</v>
      </c>
      <c r="B17" t="s">
        <v>16</v>
      </c>
      <c r="Z17" s="19" t="str">
        <f>"12 wire NEMA" &amp; IF(Unformatted!$F$132=1," X","")</f>
        <v>12 wire NEMA</v>
      </c>
      <c r="AA17" s="14">
        <v>1</v>
      </c>
      <c r="AB17" s="7">
        <v>2</v>
      </c>
      <c r="AC17" s="7" t="s">
        <v>86</v>
      </c>
      <c r="AE17" s="7" t="s">
        <v>324</v>
      </c>
      <c r="AF17" s="7" t="s">
        <v>325</v>
      </c>
      <c r="AG17" s="14" t="s">
        <v>326</v>
      </c>
      <c r="AH17" s="7" t="s">
        <v>327</v>
      </c>
      <c r="AI17" s="7"/>
      <c r="AJ17" s="7"/>
      <c r="AK17" s="7"/>
      <c r="AL17" s="7"/>
      <c r="AN17" s="7"/>
      <c r="AO17" s="7"/>
      <c r="AP17" s="7"/>
      <c r="AQ17" s="7"/>
      <c r="AU17" s="7"/>
      <c r="AW17" s="7"/>
      <c r="AX17" s="7"/>
      <c r="AY17" s="7"/>
      <c r="BD17" s="9"/>
      <c r="BE17" s="9"/>
      <c r="BF17" s="2"/>
      <c r="DT17">
        <v>16</v>
      </c>
      <c r="DU17" t="s">
        <v>1257</v>
      </c>
    </row>
    <row r="18" spans="1:125" x14ac:dyDescent="0.25">
      <c r="A18" s="13">
        <v>17</v>
      </c>
      <c r="B18" t="s">
        <v>17</v>
      </c>
      <c r="Z18" s="19" t="str">
        <f>"12 wire NEMA" &amp; IF(Unformatted!$F$132=2," X","")</f>
        <v>12 wire NEMA</v>
      </c>
      <c r="AA18" s="14" t="s">
        <v>108</v>
      </c>
      <c r="AB18" s="7" t="s">
        <v>109</v>
      </c>
      <c r="AC18" s="7" t="s">
        <v>110</v>
      </c>
      <c r="AD18" s="7"/>
      <c r="AE18" s="14" t="s">
        <v>324</v>
      </c>
      <c r="AF18" s="7" t="s">
        <v>325</v>
      </c>
      <c r="AG18" s="7" t="s">
        <v>326</v>
      </c>
      <c r="AH18" s="15" t="s">
        <v>131</v>
      </c>
      <c r="AI18" s="15"/>
      <c r="AJ18" s="7"/>
      <c r="AK18" s="7"/>
      <c r="AL18" s="7"/>
      <c r="AN18" s="7"/>
      <c r="AO18" s="7"/>
      <c r="AP18" s="7"/>
      <c r="AQ18" s="7"/>
      <c r="AU18" s="7"/>
      <c r="AW18" s="7"/>
      <c r="AX18" s="7"/>
      <c r="AY18" s="7"/>
      <c r="BD18" s="9"/>
      <c r="BE18" s="9"/>
      <c r="BF18" s="7"/>
      <c r="DT18">
        <v>17</v>
      </c>
      <c r="DU18" t="s">
        <v>1559</v>
      </c>
    </row>
    <row r="19" spans="1:125" x14ac:dyDescent="0.25">
      <c r="A19" s="13">
        <v>18</v>
      </c>
      <c r="B19" t="s">
        <v>5</v>
      </c>
      <c r="Z19" s="19" t="str">
        <f>"12 wire NEMA" &amp; IF(Unformatted!$F$132=3," X","")</f>
        <v>12 wire NEMA</v>
      </c>
      <c r="AA19" s="14" t="s">
        <v>92</v>
      </c>
      <c r="AB19" s="7" t="s">
        <v>328</v>
      </c>
      <c r="AC19" s="7" t="s">
        <v>94</v>
      </c>
      <c r="AD19" s="7"/>
      <c r="AE19" s="14" t="s">
        <v>323</v>
      </c>
      <c r="AF19" s="7" t="s">
        <v>327</v>
      </c>
      <c r="AG19" s="15" t="s">
        <v>131</v>
      </c>
      <c r="AH19" s="15" t="s">
        <v>131</v>
      </c>
      <c r="AI19" s="15"/>
      <c r="AJ19" s="7"/>
      <c r="AK19" s="7"/>
      <c r="AM19" s="7"/>
      <c r="AN19" s="7"/>
      <c r="AO19" s="7"/>
      <c r="AP19" s="7"/>
      <c r="AR19" s="7"/>
      <c r="AS19" s="7"/>
      <c r="AT19" s="7"/>
      <c r="AV19" s="7"/>
      <c r="AW19" s="7"/>
      <c r="AZ19" s="7"/>
      <c r="BA19" s="7"/>
      <c r="BB19" s="7"/>
      <c r="BC19" s="7"/>
      <c r="BD19" s="9"/>
      <c r="BE19" s="9"/>
      <c r="BF19" s="7"/>
      <c r="DT19">
        <v>18</v>
      </c>
      <c r="DU19" t="s">
        <v>1258</v>
      </c>
    </row>
    <row r="20" spans="1:125" x14ac:dyDescent="0.25">
      <c r="A20" s="13">
        <v>19</v>
      </c>
      <c r="B20" t="s">
        <v>18</v>
      </c>
      <c r="Z20" s="19" t="str">
        <f>"12 wire NEMA" &amp; IF(Unformatted!$F$132=4," X","")</f>
        <v>12 wire NEMA</v>
      </c>
      <c r="AA20" s="14" t="s">
        <v>111</v>
      </c>
      <c r="AB20" s="7" t="s">
        <v>112</v>
      </c>
      <c r="AC20" s="7" t="s">
        <v>113</v>
      </c>
      <c r="AE20" s="15" t="s">
        <v>131</v>
      </c>
      <c r="AF20" s="15" t="s">
        <v>131</v>
      </c>
      <c r="AG20" s="15" t="s">
        <v>131</v>
      </c>
      <c r="AH20" s="15" t="s">
        <v>131</v>
      </c>
      <c r="AI20" s="15"/>
      <c r="AJ20" s="7"/>
      <c r="AK20" s="7"/>
      <c r="AM20" s="7"/>
      <c r="AN20" s="7"/>
      <c r="AO20" s="7"/>
      <c r="AP20" s="7"/>
      <c r="AR20" s="7"/>
      <c r="AS20" s="7"/>
      <c r="AT20" s="7"/>
      <c r="AV20" s="7"/>
      <c r="AW20" s="7"/>
      <c r="AZ20" s="7"/>
      <c r="BA20" s="7"/>
      <c r="BB20" s="7"/>
      <c r="BC20" s="7"/>
      <c r="BD20" s="9"/>
      <c r="BE20" s="9"/>
    </row>
    <row r="21" spans="1:125" x14ac:dyDescent="0.25">
      <c r="A21" s="13">
        <v>20</v>
      </c>
      <c r="B21" t="s">
        <v>19</v>
      </c>
      <c r="Z21" s="19"/>
      <c r="AB21" s="7"/>
      <c r="AC21" s="7"/>
      <c r="AE21" s="15"/>
      <c r="AF21" s="15"/>
      <c r="AG21" s="15"/>
      <c r="AH21" s="15"/>
      <c r="AI21" s="15"/>
    </row>
    <row r="22" spans="1:125" x14ac:dyDescent="0.25">
      <c r="A22" s="13">
        <v>21</v>
      </c>
      <c r="B22" t="s">
        <v>20</v>
      </c>
      <c r="Z22" s="19" t="s">
        <v>322</v>
      </c>
      <c r="AA22" s="14" t="s">
        <v>99</v>
      </c>
      <c r="AB22" s="7" t="s">
        <v>100</v>
      </c>
      <c r="AC22" s="7" t="s">
        <v>101</v>
      </c>
      <c r="AE22" s="16" t="s">
        <v>131</v>
      </c>
      <c r="AF22" s="16" t="s">
        <v>131</v>
      </c>
      <c r="AG22" s="16" t="s">
        <v>131</v>
      </c>
      <c r="AH22" s="16" t="s">
        <v>131</v>
      </c>
      <c r="AI22" s="16"/>
    </row>
    <row r="23" spans="1:125" x14ac:dyDescent="0.25">
      <c r="A23" s="13">
        <v>22</v>
      </c>
      <c r="B23" t="s">
        <v>628</v>
      </c>
      <c r="CK23" s="8" t="s">
        <v>127</v>
      </c>
    </row>
    <row r="24" spans="1:125" x14ac:dyDescent="0.25">
      <c r="A24" s="13">
        <v>23</v>
      </c>
      <c r="Z24" s="19" t="str">
        <f>"6 wire IEC" &amp; IF(Unformatted!$F$132=1," X","")</f>
        <v>6 wire IEC</v>
      </c>
      <c r="AA24" s="14" t="s">
        <v>99</v>
      </c>
      <c r="AB24" s="7" t="s">
        <v>100</v>
      </c>
      <c r="AC24" s="7" t="s">
        <v>101</v>
      </c>
      <c r="AE24" s="14" t="s">
        <v>329</v>
      </c>
      <c r="AF24" s="16" t="s">
        <v>131</v>
      </c>
      <c r="AG24" s="16" t="s">
        <v>131</v>
      </c>
      <c r="AH24" s="16" t="s">
        <v>131</v>
      </c>
      <c r="AI24" s="16"/>
      <c r="CK24" s="8" t="s">
        <v>128</v>
      </c>
    </row>
    <row r="25" spans="1:125" x14ac:dyDescent="0.25">
      <c r="A25" s="13">
        <v>24</v>
      </c>
      <c r="Z25" s="19" t="str">
        <f>"6 wire IEC" &amp; IF(Unformatted!$F$132=2," X","")</f>
        <v>6 wire IEC</v>
      </c>
      <c r="AA25" s="14" t="s">
        <v>102</v>
      </c>
      <c r="AB25" s="7" t="s">
        <v>103</v>
      </c>
      <c r="AC25" s="7" t="s">
        <v>104</v>
      </c>
      <c r="AE25" s="15" t="s">
        <v>131</v>
      </c>
      <c r="AF25" s="15" t="s">
        <v>131</v>
      </c>
      <c r="AG25" s="15" t="s">
        <v>131</v>
      </c>
      <c r="AH25" s="15" t="s">
        <v>131</v>
      </c>
      <c r="AI25" s="15"/>
      <c r="CK25" s="8" t="s">
        <v>1255</v>
      </c>
    </row>
    <row r="26" spans="1:125" x14ac:dyDescent="0.25">
      <c r="A26" s="13">
        <v>25</v>
      </c>
      <c r="U26" s="7"/>
      <c r="W26" s="7"/>
      <c r="X26" s="7"/>
      <c r="Z26" s="19"/>
      <c r="AB26" s="7"/>
      <c r="AC26" s="7"/>
      <c r="AE26" s="15"/>
      <c r="AF26" s="15"/>
      <c r="AG26" s="15"/>
      <c r="AH26" s="15"/>
      <c r="AI26" s="15"/>
      <c r="CK26" s="8" t="s">
        <v>444</v>
      </c>
    </row>
    <row r="27" spans="1:125" x14ac:dyDescent="0.25">
      <c r="Z27" s="19" t="str">
        <f>"9 wire IEC" &amp; IF(Unformatted!$F$132=1," X","")</f>
        <v>9 wire IEC</v>
      </c>
      <c r="AA27" s="14" t="s">
        <v>99</v>
      </c>
      <c r="AB27" s="14" t="s">
        <v>100</v>
      </c>
      <c r="AC27" s="14" t="s">
        <v>101</v>
      </c>
      <c r="AE27" s="15" t="s">
        <v>330</v>
      </c>
      <c r="AF27" s="15" t="s">
        <v>331</v>
      </c>
      <c r="AG27" s="15" t="s">
        <v>332</v>
      </c>
      <c r="AH27" s="15" t="s">
        <v>131</v>
      </c>
      <c r="AI27" s="15"/>
      <c r="CK27" s="8" t="s">
        <v>413</v>
      </c>
    </row>
    <row r="28" spans="1:125" x14ac:dyDescent="0.25">
      <c r="Z28" s="19" t="str">
        <f>"9 wire IEC" &amp; IF(Unformatted!$F$132=2," X","")</f>
        <v>9 wire IEC</v>
      </c>
      <c r="AA28" s="14" t="s">
        <v>156</v>
      </c>
      <c r="AB28" s="14" t="s">
        <v>157</v>
      </c>
      <c r="AC28" s="7" t="s">
        <v>158</v>
      </c>
      <c r="AE28" s="15" t="s">
        <v>131</v>
      </c>
      <c r="AF28" s="15" t="s">
        <v>131</v>
      </c>
      <c r="AG28" s="15" t="s">
        <v>131</v>
      </c>
      <c r="AH28" s="15" t="s">
        <v>131</v>
      </c>
      <c r="AI28" s="15"/>
      <c r="CK28" s="8" t="s">
        <v>415</v>
      </c>
    </row>
    <row r="29" spans="1:125" x14ac:dyDescent="0.25">
      <c r="Z29" s="19" t="str">
        <f>"9 wire IEC" &amp; IF(Unformatted!$F$132=3," X","")</f>
        <v>9 wire IEC</v>
      </c>
      <c r="AA29" s="14" t="s">
        <v>117</v>
      </c>
      <c r="AB29" s="14" t="s">
        <v>118</v>
      </c>
      <c r="AC29" s="7" t="s">
        <v>119</v>
      </c>
      <c r="AE29" s="15" t="s">
        <v>329</v>
      </c>
      <c r="AF29" s="15" t="s">
        <v>131</v>
      </c>
      <c r="AG29" s="15" t="s">
        <v>131</v>
      </c>
      <c r="AH29" s="15" t="s">
        <v>131</v>
      </c>
      <c r="AI29" s="15"/>
      <c r="CK29" s="8" t="s">
        <v>417</v>
      </c>
    </row>
    <row r="30" spans="1:125" x14ac:dyDescent="0.25">
      <c r="CK30" s="8" t="s">
        <v>419</v>
      </c>
    </row>
    <row r="31" spans="1:125" x14ac:dyDescent="0.25">
      <c r="Z31" s="19" t="str">
        <f>"12 wire IEC" &amp; IF(Unformatted!$F$132=1," X","")</f>
        <v>12 wire IEC</v>
      </c>
      <c r="AA31" s="14" t="s">
        <v>99</v>
      </c>
      <c r="AB31" s="7" t="s">
        <v>100</v>
      </c>
      <c r="AC31" s="7" t="s">
        <v>101</v>
      </c>
      <c r="AE31" s="14" t="s">
        <v>331</v>
      </c>
      <c r="AF31" s="7" t="s">
        <v>332</v>
      </c>
      <c r="AG31" s="14" t="s">
        <v>330</v>
      </c>
      <c r="AH31" s="7" t="s">
        <v>333</v>
      </c>
      <c r="AI31" s="7"/>
      <c r="CK31" s="8" t="s">
        <v>412</v>
      </c>
    </row>
    <row r="32" spans="1:125" x14ac:dyDescent="0.25">
      <c r="Z32" s="19" t="str">
        <f>"12 wire IEC" &amp; IF(Unformatted!$F$132=2," X","")</f>
        <v>12 wire IEC</v>
      </c>
      <c r="AA32" s="14" t="s">
        <v>114</v>
      </c>
      <c r="AB32" s="7" t="s">
        <v>115</v>
      </c>
      <c r="AC32" s="7" t="s">
        <v>116</v>
      </c>
      <c r="AE32" s="14" t="s">
        <v>331</v>
      </c>
      <c r="AF32" s="7" t="s">
        <v>332</v>
      </c>
      <c r="AG32" s="14" t="s">
        <v>330</v>
      </c>
      <c r="AH32" s="15" t="s">
        <v>131</v>
      </c>
      <c r="AI32" s="15"/>
      <c r="CK32" s="8" t="s">
        <v>1254</v>
      </c>
    </row>
    <row r="33" spans="26:89" x14ac:dyDescent="0.25">
      <c r="Z33" s="19" t="str">
        <f>"12 wire IEC" &amp; IF(Unformatted!$F$132=3," X","")</f>
        <v>12 wire IEC</v>
      </c>
      <c r="AA33" s="14" t="s">
        <v>117</v>
      </c>
      <c r="AB33" s="7" t="s">
        <v>118</v>
      </c>
      <c r="AC33" s="7" t="s">
        <v>119</v>
      </c>
      <c r="AE33" s="14" t="s">
        <v>329</v>
      </c>
      <c r="AF33" s="7" t="s">
        <v>333</v>
      </c>
      <c r="AG33" s="16" t="s">
        <v>131</v>
      </c>
      <c r="AH33" s="15" t="s">
        <v>131</v>
      </c>
      <c r="AI33" s="15"/>
      <c r="CK33" s="8" t="s">
        <v>1253</v>
      </c>
    </row>
    <row r="34" spans="26:89" x14ac:dyDescent="0.25">
      <c r="Z34" s="19" t="str">
        <f>"12 wire IEC" &amp; IF(Unformatted!$F$132=4," X","")</f>
        <v>12 wire IEC</v>
      </c>
      <c r="AA34" s="14" t="s">
        <v>120</v>
      </c>
      <c r="AB34" s="7" t="s">
        <v>121</v>
      </c>
      <c r="AC34" s="7" t="s">
        <v>122</v>
      </c>
      <c r="AE34" s="16" t="s">
        <v>131</v>
      </c>
      <c r="AF34" s="16" t="s">
        <v>131</v>
      </c>
      <c r="AG34" s="15" t="s">
        <v>131</v>
      </c>
      <c r="AH34" s="15" t="s">
        <v>131</v>
      </c>
      <c r="AI34" s="15"/>
      <c r="CK34" s="8" t="s">
        <v>1252</v>
      </c>
    </row>
    <row r="35" spans="26:89" x14ac:dyDescent="0.25">
      <c r="CK35" s="8" t="s">
        <v>1251</v>
      </c>
    </row>
  </sheetData>
  <mergeCells count="2">
    <mergeCell ref="AA1:AC1"/>
    <mergeCell ref="AE1:AH1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4817E6-0A5A-4834-AC1C-A8510EB7DE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Main Menu</vt:lpstr>
      <vt:lpstr>Job &amp; Motor Data</vt:lpstr>
      <vt:lpstr>As Found Equip</vt:lpstr>
      <vt:lpstr>Accessories</vt:lpstr>
      <vt:lpstr>Stator Leads</vt:lpstr>
      <vt:lpstr>As Found Tests</vt:lpstr>
      <vt:lpstr>Mechanical Inspections</vt:lpstr>
      <vt:lpstr>Mechanical Inspections 2</vt:lpstr>
      <vt:lpstr>Electrical Inspections</vt:lpstr>
      <vt:lpstr>Required</vt:lpstr>
      <vt:lpstr>Generic Report</vt:lpstr>
      <vt:lpstr>REWIND WORK</vt:lpstr>
      <vt:lpstr>Summary of Issues</vt:lpstr>
      <vt:lpstr>Released Electrical</vt:lpstr>
      <vt:lpstr>Released Acc</vt:lpstr>
      <vt:lpstr>Released After Sizes</vt:lpstr>
      <vt:lpstr>Released Misc Fits</vt:lpstr>
      <vt:lpstr>Pre-Assembly Checklist</vt:lpstr>
      <vt:lpstr>Balancing and Bearing</vt:lpstr>
      <vt:lpstr>Assembly Checklist</vt:lpstr>
      <vt:lpstr>Acceptance Testing</vt:lpstr>
      <vt:lpstr>Quality Assurance</vt:lpstr>
      <vt:lpstr>Customer Report</vt:lpstr>
      <vt:lpstr>Unformatted</vt:lpstr>
      <vt:lpstr>Tolerances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Vallejo Electric Motor</dc:creator>
  <cp:lastModifiedBy>Derek Robertson</cp:lastModifiedBy>
  <cp:lastPrinted>2019-06-13T17:30:06Z</cp:lastPrinted>
  <dcterms:created xsi:type="dcterms:W3CDTF">2017-03-31T21:21:08Z</dcterms:created>
  <dcterms:modified xsi:type="dcterms:W3CDTF">2020-01-05T23:23:27Z</dcterms:modified>
</cp:coreProperties>
</file>