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0">
      <text>
        <t xml:space="preserve">calculated for 1 Software Engineer</t>
      </text>
    </comment>
  </commentList>
</comments>
</file>

<file path=xl/sharedStrings.xml><?xml version="1.0" encoding="utf-8"?>
<sst xmlns="http://schemas.openxmlformats.org/spreadsheetml/2006/main" count="89" uniqueCount="51">
  <si>
    <t>Confidence</t>
  </si>
  <si>
    <t>Multiplier</t>
  </si>
  <si>
    <t>68%</t>
  </si>
  <si>
    <t>TECHNOLOGIES</t>
  </si>
  <si>
    <t>SUMMARY</t>
  </si>
  <si>
    <t>90%</t>
  </si>
  <si>
    <t>Сайт:
Core UI tech stack: HTML, CSS, JS, Angular, React
Backend core tech stack: PHP, SQL
UI/UX Design: Figma, Font Awesome
API: Google maps API
Marketing services: Google Analytics, DoubleClick Conversion, 
Google Ads Conversion Tracking, Facebook Pixel, Google Global Site Tag, Google Tag Manager, Google Remarketing Tag, Google Optimize
Third-party services: Novapay, GooglePay, ApplePay, Masterpass, Western Union, RIA 
Data Bases: MySQL
Protocols used: http, https, ftp
CRM: CRM CREATIO
Мобільний додаток:  iOS IOS language: Swift
 Android  Android language: Java</t>
  </si>
  <si>
    <t>95%</t>
  </si>
  <si>
    <t>Expected</t>
  </si>
  <si>
    <t>99.7%</t>
  </si>
  <si>
    <t>Efforts (hrs)</t>
  </si>
  <si>
    <t>Expected Cost ($)</t>
  </si>
  <si>
    <t xml:space="preserve">Discount              </t>
  </si>
  <si>
    <t>Expected Cost ($), after discount</t>
  </si>
  <si>
    <t>Expected Duration (months)</t>
  </si>
  <si>
    <t>#</t>
  </si>
  <si>
    <t>Phase / Task Name</t>
  </si>
  <si>
    <t>Resource</t>
  </si>
  <si>
    <t>Price ($)</t>
  </si>
  <si>
    <t>Cost deviation ($)</t>
  </si>
  <si>
    <t>Opt.</t>
  </si>
  <si>
    <t>Most Likely</t>
  </si>
  <si>
    <t>Pess</t>
  </si>
  <si>
    <t>Deviation</t>
  </si>
  <si>
    <t>Design</t>
  </si>
  <si>
    <t>Designer</t>
  </si>
  <si>
    <t>Головна сторінка</t>
  </si>
  <si>
    <t>Верхня частина сайту(header)</t>
  </si>
  <si>
    <t>Віджет функцій</t>
  </si>
  <si>
    <t>Віджет із додатковими функціями</t>
  </si>
  <si>
    <t>Блок з рекламою та новинами</t>
  </si>
  <si>
    <t>Кабінет користувача</t>
  </si>
  <si>
    <t>Навігаційне меню</t>
  </si>
  <si>
    <t>Додаток для Android, IOS</t>
  </si>
  <si>
    <t>Сторінка "Мої відправлення"</t>
  </si>
  <si>
    <t>Software Development</t>
  </si>
  <si>
    <t>Software Engineer</t>
  </si>
  <si>
    <t>Backend</t>
  </si>
  <si>
    <t>Frontend</t>
  </si>
  <si>
    <t>Quality Assurance</t>
  </si>
  <si>
    <t>QA Engineer</t>
  </si>
  <si>
    <t>Delivery &amp; Deployment</t>
  </si>
  <si>
    <t>environment setup</t>
  </si>
  <si>
    <t>Preparation for publishing and deployment</t>
  </si>
  <si>
    <t>Project Management &amp; Coordination</t>
  </si>
  <si>
    <t>Project Manager</t>
  </si>
  <si>
    <t>Team</t>
  </si>
  <si>
    <t>Sub Total</t>
  </si>
  <si>
    <t>Number</t>
  </si>
  <si>
    <t>Rate ($ / hour)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</si>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</sst>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_);[Red]\(&quot;$&quot;#,##0\)"/>
    <numFmt numFmtId="165" formatCode="&quot;$&quot;#,##0"/>
    <numFmt numFmtId="166" formatCode="0.0"/>
    <numFmt numFmtId="167" formatCode="0.0%"/>
    <numFmt numFmtId="168" formatCode="[$USD]#,##0.00"/>
  </numFmts>
  <fonts count="13">
    <font>
      <sz val="10.0"/>
      <color rgb="FF000000"/>
      <name val="Arial"/>
    </font>
    <font>
      <sz val="11.0"/>
      <name val="Calibri"/>
    </font>
    <font/>
    <font>
      <sz val="11.0"/>
      <color rgb="FF000000"/>
      <name val="Arial"/>
    </font>
    <font>
      <b/>
      <sz val="11.0"/>
      <color rgb="FF666666"/>
      <name val="Calibri"/>
    </font>
    <font>
      <b/>
      <u/>
      <sz val="11.0"/>
      <color rgb="FF666666"/>
      <name val="Calibri"/>
    </font>
    <font>
      <b/>
      <u/>
      <sz val="11.0"/>
      <color rgb="FF666666"/>
      <name val="Calibri"/>
    </font>
    <font>
      <sz val="11.0"/>
      <color rgb="FF666666"/>
      <name val="Calibri"/>
    </font>
    <font>
      <i/>
      <sz val="11.0"/>
      <color rgb="FF666666"/>
      <name val="Calibri"/>
    </font>
    <font>
      <b/>
      <sz val="10.0"/>
      <color rgb="FF666666"/>
      <name val="Calibri"/>
    </font>
    <font>
      <sz val="10.0"/>
      <color rgb="FF666666"/>
      <name val="Calibri"/>
    </font>
    <font>
      <name val="Arial"/>
    </font>
    <font>
      <sz val="12.0"/>
      <color rgb="FF000000"/>
      <name val="-webkit-standard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4">
    <border/>
    <border>
      <left style="thick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AAAAAA"/>
      </bottom>
    </border>
    <border>
      <right style="thin">
        <color rgb="FFAAAAAA"/>
      </right>
      <top style="medium">
        <color rgb="FF000000"/>
      </top>
      <bottom style="thin">
        <color rgb="FFAAAAAA"/>
      </bottom>
    </border>
    <border>
      <top style="medium">
        <color rgb="FF000000"/>
      </top>
      <bottom style="thin">
        <color rgb="FFAAAAAA"/>
      </bottom>
    </border>
    <border>
      <right style="medium">
        <color rgb="FF000000"/>
      </right>
      <top style="medium">
        <color rgb="FF000000"/>
      </top>
      <bottom style="thin">
        <color rgb="FFAAAAAA"/>
      </bottom>
    </border>
    <border>
      <left style="medium">
        <color rgb="FF000000"/>
      </left>
      <bottom style="thin">
        <color rgb="FFAAAAAA"/>
      </bottom>
    </border>
    <border>
      <right style="thin">
        <color rgb="FFAAAAAA"/>
      </right>
      <bottom style="thin">
        <color rgb="FFAAAAAA"/>
      </bottom>
    </border>
    <border>
      <bottom style="thin">
        <color rgb="FFAAAAAA"/>
      </bottom>
    </border>
    <border>
      <right style="medium">
        <color rgb="FF000000"/>
      </right>
      <bottom style="thin">
        <color rgb="FFAAAAAA"/>
      </bottom>
    </border>
    <border>
      <left style="medium">
        <color rgb="FF000000"/>
      </left>
    </border>
    <border>
      <right style="thin">
        <color rgb="FFAAAAAA"/>
      </right>
    </border>
    <border>
      <bottom style="thin">
        <color rgb="FFB7B7B7"/>
      </bottom>
    </border>
    <border>
      <right style="medium">
        <color rgb="FF000000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medium">
        <color rgb="FF000000"/>
      </right>
      <top style="thin">
        <color rgb="FFB7B7B7"/>
      </top>
      <bottom style="thin">
        <color rgb="FFB7B7B7"/>
      </bottom>
    </border>
    <border>
      <left style="medium">
        <color rgb="FF000000"/>
      </left>
      <bottom style="medium">
        <color rgb="FF000000"/>
      </bottom>
    </border>
    <border>
      <right style="thin">
        <color rgb="FFAAAAAA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AAAAAA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AAAAAA"/>
      </right>
      <bottom style="thin">
        <color rgb="FFAAAAAA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AAAAAA"/>
      </bottom>
    </border>
    <border>
      <top style="thin">
        <color rgb="FF999999"/>
      </top>
      <bottom style="thin">
        <color rgb="FFAAAAAA"/>
      </bottom>
    </border>
    <border>
      <right style="medium">
        <color rgb="FF000000"/>
      </right>
      <top style="thin">
        <color rgb="FF999999"/>
      </top>
      <bottom style="thin">
        <color rgb="FFAAAAAA"/>
      </bottom>
    </border>
    <border>
      <left style="thin">
        <color rgb="FF999999"/>
      </left>
      <right style="medium">
        <color rgb="FF000000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medium">
        <color rgb="FF000000"/>
      </right>
      <top style="thin">
        <color rgb="FF999999"/>
      </top>
      <bottom style="thin">
        <color rgb="FF999999"/>
      </bottom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right style="thin">
        <color rgb="FFA9A9A9"/>
      </right>
      <bottom style="medium">
        <color rgb="FF000000"/>
      </bottom>
    </border>
    <border>
      <right style="thin">
        <color rgb="FFA9A9A9"/>
      </right>
      <top style="medium">
        <color rgb="FF000000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top style="thin">
        <color rgb="FFAAAAAA"/>
      </top>
      <bottom style="thin">
        <color rgb="FFAAAAAA"/>
      </bottom>
    </border>
    <border>
      <right style="medium">
        <color rgb="FF000000"/>
      </right>
      <top style="thin">
        <color rgb="FFAAAAAA"/>
      </top>
      <bottom style="thin">
        <color rgb="FFAAAAAA"/>
      </bottom>
    </border>
    <border>
      <left style="thin">
        <color rgb="FFAAAAAA"/>
      </left>
      <bottom style="thin">
        <color rgb="FFAAAAAA"/>
      </bottom>
    </border>
    <border>
      <left style="medium">
        <color rgb="FF000000"/>
      </left>
      <right style="thin">
        <color rgb="FFAAAAAA"/>
      </right>
      <bottom style="thin">
        <color rgb="FF000000"/>
      </bottom>
    </border>
    <border>
      <right style="thin">
        <color rgb="FFAAAAAA"/>
      </right>
      <bottom style="thin">
        <color rgb="FF000000"/>
      </bottom>
    </border>
    <border>
      <bottom style="thin">
        <color rgb="FF000000"/>
      </bottom>
    </border>
    <border>
      <left style="thin">
        <color rgb="FFAAAAAA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AAAAAA"/>
      </right>
      <bottom style="medium">
        <color rgb="FF000000"/>
      </bottom>
    </border>
    <border>
      <left style="thin">
        <color rgb="FFAAAAAA"/>
      </left>
      <bottom style="medium">
        <color rgb="FF000000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Border="1" applyFont="1"/>
    <xf borderId="0" fillId="2" fontId="3" numFmtId="0" xfId="0" applyAlignment="1" applyFill="1" applyFont="1">
      <alignment horizontal="left" readingOrder="0"/>
    </xf>
    <xf borderId="3" fillId="2" fontId="4" numFmtId="0" xfId="0" applyAlignment="1" applyBorder="1" applyFont="1">
      <alignment horizontal="center" readingOrder="0" shrinkToFit="0" wrapText="0"/>
    </xf>
    <xf borderId="4" fillId="2" fontId="4" numFmtId="0" xfId="0" applyAlignment="1" applyBorder="1" applyFont="1">
      <alignment horizontal="center" readingOrder="0" shrinkToFit="0" wrapText="0"/>
    </xf>
    <xf borderId="0" fillId="2" fontId="1" numFmtId="0" xfId="0" applyFont="1"/>
    <xf borderId="0" fillId="0" fontId="1" numFmtId="0" xfId="0" applyFont="1"/>
    <xf borderId="5" fillId="2" fontId="5" numFmtId="1" xfId="0" applyAlignment="1" applyBorder="1" applyFont="1" applyNumberFormat="1">
      <alignment horizontal="center"/>
    </xf>
    <xf borderId="6" fillId="0" fontId="2" numFmtId="0" xfId="0" applyBorder="1" applyFont="1"/>
    <xf borderId="7" fillId="2" fontId="6" numFmtId="0" xfId="0" applyAlignment="1" applyBorder="1" applyFont="1">
      <alignment horizontal="center" shrinkToFit="0" wrapText="0"/>
    </xf>
    <xf borderId="7" fillId="0" fontId="2" numFmtId="0" xfId="0" applyBorder="1" applyFont="1"/>
    <xf borderId="7" fillId="2" fontId="4" numFmtId="1" xfId="0" applyAlignment="1" applyBorder="1" applyFont="1" applyNumberFormat="1">
      <alignment horizontal="center" readingOrder="0" shrinkToFit="0" wrapText="0"/>
    </xf>
    <xf borderId="8" fillId="0" fontId="2" numFmtId="0" xfId="0" applyBorder="1" applyFont="1"/>
    <xf borderId="0" fillId="2" fontId="7" numFmtId="49" xfId="0" applyAlignment="1" applyFont="1" applyNumberFormat="1">
      <alignment horizontal="center" shrinkToFit="0" wrapText="0"/>
    </xf>
    <xf borderId="0" fillId="2" fontId="7" numFmtId="0" xfId="0" applyAlignment="1" applyFont="1">
      <alignment horizontal="center" shrinkToFit="0" wrapText="0"/>
    </xf>
    <xf borderId="9" fillId="2" fontId="4" numFmtId="0" xfId="0" applyAlignment="1" applyBorder="1" applyFont="1">
      <alignment horizontal="center" shrinkToFit="0" wrapText="0"/>
    </xf>
    <xf borderId="10" fillId="0" fontId="2" numFmtId="0" xfId="0" applyBorder="1" applyFont="1"/>
    <xf borderId="11" fillId="2" fontId="4" numFmtId="0" xfId="0" applyAlignment="1" applyBorder="1" applyFont="1">
      <alignment horizontal="center" shrinkToFit="0" wrapText="0"/>
    </xf>
    <xf borderId="11" fillId="0" fontId="2" numFmtId="0" xfId="0" applyBorder="1" applyFont="1"/>
    <xf borderId="12" fillId="0" fontId="2" numFmtId="0" xfId="0" applyBorder="1" applyFont="1"/>
    <xf borderId="13" fillId="2" fontId="4" numFmtId="0" xfId="0" applyAlignment="1" applyBorder="1" applyFont="1">
      <alignment horizontal="left" readingOrder="0" shrinkToFit="0" vertical="center" wrapText="1"/>
    </xf>
    <xf borderId="14" fillId="0" fontId="2" numFmtId="0" xfId="0" applyBorder="1" applyFont="1"/>
    <xf borderId="11" fillId="2" fontId="4" numFmtId="0" xfId="0" applyAlignment="1" applyBorder="1" applyFont="1">
      <alignment horizontal="center"/>
    </xf>
    <xf borderId="15" fillId="2" fontId="4" numFmtId="49" xfId="0" applyAlignment="1" applyBorder="1" applyFont="1" applyNumberFormat="1">
      <alignment horizontal="center" shrinkToFit="0" wrapText="0"/>
    </xf>
    <xf borderId="15" fillId="0" fontId="2" numFmtId="0" xfId="0" applyBorder="1" applyFont="1"/>
    <xf borderId="16" fillId="0" fontId="2" numFmtId="0" xfId="0" applyBorder="1" applyFont="1"/>
    <xf borderId="13" fillId="0" fontId="2" numFmtId="0" xfId="0" applyBorder="1" applyFont="1"/>
    <xf borderId="15" fillId="2" fontId="4" numFmtId="3" xfId="0" applyAlignment="1" applyBorder="1" applyFont="1" applyNumberFormat="1">
      <alignment horizontal="center" shrinkToFit="0" wrapText="0"/>
    </xf>
    <xf borderId="17" fillId="0" fontId="2" numFmtId="0" xfId="0" applyBorder="1" applyFont="1"/>
    <xf borderId="0" fillId="2" fontId="7" numFmtId="49" xfId="0" applyAlignment="1" applyFont="1" applyNumberFormat="1">
      <alignment horizontal="center" vertical="top"/>
    </xf>
    <xf borderId="0" fillId="2" fontId="7" numFmtId="0" xfId="0" applyAlignment="1" applyFont="1">
      <alignment horizontal="center" vertical="top"/>
    </xf>
    <xf borderId="18" fillId="2" fontId="4" numFmtId="49" xfId="0" applyAlignment="1" applyBorder="1" applyFont="1" applyNumberFormat="1">
      <alignment horizontal="center" readingOrder="0" shrinkToFit="0" vertical="center" wrapText="0"/>
    </xf>
    <xf borderId="19" fillId="0" fontId="2" numFmtId="0" xfId="0" applyBorder="1" applyFont="1"/>
    <xf borderId="15" fillId="2" fontId="4" numFmtId="164" xfId="0" applyAlignment="1" applyBorder="1" applyFont="1" applyNumberFormat="1">
      <alignment horizontal="center" shrinkToFit="0" wrapText="0"/>
    </xf>
    <xf borderId="15" fillId="2" fontId="4" numFmtId="164" xfId="0" applyAlignment="1" applyBorder="1" applyFont="1" applyNumberFormat="1">
      <alignment horizontal="center" readingOrder="0" shrinkToFit="0" wrapText="0"/>
    </xf>
    <xf borderId="15" fillId="2" fontId="7" numFmtId="9" xfId="0" applyAlignment="1" applyBorder="1" applyFont="1" applyNumberFormat="1">
      <alignment horizontal="center" readingOrder="0" shrinkToFit="0" wrapText="0"/>
    </xf>
    <xf borderId="15" fillId="2" fontId="4" numFmtId="165" xfId="0" applyAlignment="1" applyBorder="1" applyFont="1" applyNumberFormat="1">
      <alignment horizontal="center" shrinkToFit="0" wrapText="0"/>
    </xf>
    <xf borderId="20" fillId="0" fontId="2" numFmtId="0" xfId="0" applyBorder="1" applyFont="1"/>
    <xf borderId="21" fillId="0" fontId="2" numFmtId="0" xfId="0" applyBorder="1" applyFont="1"/>
    <xf borderId="22" fillId="2" fontId="4" numFmtId="0" xfId="0" applyAlignment="1" applyBorder="1" applyFont="1">
      <alignment horizontal="center" readingOrder="0"/>
    </xf>
    <xf borderId="22" fillId="0" fontId="2" numFmtId="0" xfId="0" applyBorder="1" applyFont="1"/>
    <xf borderId="22" fillId="2" fontId="8" numFmtId="166" xfId="0" applyAlignment="1" applyBorder="1" applyFont="1" applyNumberFormat="1">
      <alignment horizontal="center" readingOrder="0" shrinkToFit="0" wrapText="0"/>
    </xf>
    <xf borderId="23" fillId="0" fontId="2" numFmtId="0" xfId="0" applyBorder="1" applyFont="1"/>
    <xf borderId="0" fillId="2" fontId="1" numFmtId="0" xfId="0" applyAlignment="1" applyFont="1">
      <alignment vertical="top"/>
    </xf>
    <xf borderId="24" fillId="2" fontId="1" numFmtId="0" xfId="0" applyAlignment="1" applyBorder="1" applyFont="1">
      <alignment vertical="top"/>
    </xf>
    <xf borderId="25" fillId="2" fontId="4" numFmtId="0" xfId="0" applyAlignment="1" applyBorder="1" applyFont="1">
      <alignment horizontal="center"/>
    </xf>
    <xf borderId="26" fillId="2" fontId="4" numFmtId="0" xfId="0" applyAlignment="1" applyBorder="1" applyFont="1">
      <alignment horizontal="center"/>
    </xf>
    <xf borderId="7" fillId="2" fontId="4" numFmtId="0" xfId="0" applyAlignment="1" applyBorder="1" applyFont="1">
      <alignment horizontal="center"/>
    </xf>
    <xf borderId="6" fillId="2" fontId="4" numFmtId="0" xfId="0" applyAlignment="1" applyBorder="1" applyFont="1">
      <alignment horizontal="center"/>
    </xf>
    <xf borderId="27" fillId="2" fontId="4" numFmtId="165" xfId="0" applyAlignment="1" applyBorder="1" applyFont="1" applyNumberFormat="1">
      <alignment horizontal="center"/>
    </xf>
    <xf borderId="28" fillId="0" fontId="2" numFmtId="0" xfId="0" applyBorder="1" applyFont="1"/>
    <xf borderId="14" fillId="2" fontId="4" numFmtId="0" xfId="0" applyAlignment="1" applyBorder="1" applyFont="1">
      <alignment horizontal="center"/>
    </xf>
    <xf borderId="24" fillId="0" fontId="2" numFmtId="0" xfId="0" applyBorder="1" applyFont="1"/>
    <xf borderId="29" fillId="2" fontId="4" numFmtId="1" xfId="0" applyAlignment="1" applyBorder="1" applyFont="1" applyNumberFormat="1">
      <alignment horizontal="center"/>
    </xf>
    <xf borderId="14" fillId="2" fontId="4" numFmtId="0" xfId="0" applyAlignment="1" applyBorder="1" applyFont="1">
      <alignment readingOrder="0"/>
    </xf>
    <xf borderId="14" fillId="2" fontId="4" numFmtId="166" xfId="0" applyAlignment="1" applyBorder="1" applyFont="1" applyNumberFormat="1">
      <alignment horizontal="right"/>
    </xf>
    <xf borderId="14" fillId="2" fontId="4" numFmtId="165" xfId="0" applyAlignment="1" applyBorder="1" applyFont="1" applyNumberFormat="1">
      <alignment horizontal="right"/>
    </xf>
    <xf borderId="12" fillId="2" fontId="4" numFmtId="165" xfId="0" applyAlignment="1" applyBorder="1" applyFont="1" applyNumberFormat="1">
      <alignment horizontal="right"/>
    </xf>
    <xf borderId="9" fillId="2" fontId="4" numFmtId="1" xfId="0" applyAlignment="1" applyBorder="1" applyFont="1" applyNumberFormat="1">
      <alignment horizontal="center"/>
    </xf>
    <xf borderId="30" fillId="2" fontId="9" numFmtId="0" xfId="0" applyAlignment="1" applyBorder="1" applyFont="1">
      <alignment readingOrder="0"/>
    </xf>
    <xf borderId="12" fillId="2" fontId="9" numFmtId="0" xfId="0" applyAlignment="1" applyBorder="1" applyFont="1">
      <alignment readingOrder="0"/>
    </xf>
    <xf borderId="30" fillId="2" fontId="10" numFmtId="0" xfId="0" applyAlignment="1" applyBorder="1" applyFont="1">
      <alignment readingOrder="0"/>
    </xf>
    <xf borderId="30" fillId="2" fontId="7" numFmtId="0" xfId="0" applyAlignment="1" applyBorder="1" applyFont="1">
      <alignment readingOrder="0"/>
    </xf>
    <xf borderId="30" fillId="2" fontId="1" numFmtId="3" xfId="0" applyBorder="1" applyFont="1" applyNumberFormat="1"/>
    <xf borderId="30" fillId="2" fontId="1" numFmtId="166" xfId="0" applyAlignment="1" applyBorder="1" applyFont="1" applyNumberFormat="1">
      <alignment readingOrder="0"/>
    </xf>
    <xf borderId="30" fillId="2" fontId="4" numFmtId="165" xfId="0" applyAlignment="1" applyBorder="1" applyFont="1" applyNumberFormat="1">
      <alignment horizontal="right"/>
    </xf>
    <xf borderId="30" fillId="2" fontId="7" numFmtId="0" xfId="0" applyBorder="1" applyFont="1"/>
    <xf borderId="30" fillId="2" fontId="10" numFmtId="0" xfId="0" applyAlignment="1" applyBorder="1" applyFont="1">
      <alignment readingOrder="0" vertical="bottom"/>
    </xf>
    <xf borderId="30" fillId="2" fontId="11" numFmtId="0" xfId="0" applyAlignment="1" applyBorder="1" applyFont="1">
      <alignment readingOrder="0" vertical="bottom"/>
    </xf>
    <xf borderId="30" fillId="2" fontId="1" numFmtId="166" xfId="0" applyBorder="1" applyFont="1" applyNumberFormat="1"/>
    <xf borderId="30" fillId="2" fontId="7" numFmtId="0" xfId="0" applyAlignment="1" applyBorder="1" applyFont="1">
      <alignment readingOrder="0" vertical="bottom"/>
    </xf>
    <xf borderId="30" fillId="2" fontId="11" numFmtId="0" xfId="0" applyAlignment="1" applyBorder="1" applyFont="1">
      <alignment vertical="bottom"/>
    </xf>
    <xf borderId="9" fillId="2" fontId="11" numFmtId="1" xfId="0" applyAlignment="1" applyBorder="1" applyFont="1" applyNumberFormat="1">
      <alignment vertical="bottom"/>
    </xf>
    <xf borderId="30" fillId="2" fontId="7" numFmtId="0" xfId="0" applyAlignment="1" applyBorder="1" applyFont="1">
      <alignment horizontal="right" readingOrder="0" vertical="bottom"/>
    </xf>
    <xf borderId="30" fillId="2" fontId="11" numFmtId="165" xfId="0" applyAlignment="1" applyBorder="1" applyFont="1" applyNumberFormat="1">
      <alignment vertical="bottom"/>
    </xf>
    <xf borderId="12" fillId="2" fontId="11" numFmtId="165" xfId="0" applyAlignment="1" applyBorder="1" applyFont="1" applyNumberFormat="1">
      <alignment vertical="bottom"/>
    </xf>
    <xf borderId="0" fillId="2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30" fillId="2" fontId="10" numFmtId="0" xfId="0" applyAlignment="1" applyBorder="1" applyFont="1">
      <alignment horizontal="left" readingOrder="0"/>
    </xf>
    <xf borderId="31" fillId="0" fontId="12" numFmtId="0" xfId="0" applyAlignment="1" applyBorder="1" applyFont="1">
      <alignment readingOrder="0"/>
    </xf>
    <xf borderId="32" fillId="0" fontId="2" numFmtId="0" xfId="0" applyBorder="1" applyFont="1"/>
    <xf borderId="33" fillId="0" fontId="2" numFmtId="0" xfId="0" applyBorder="1" applyFont="1"/>
    <xf borderId="9" fillId="2" fontId="4" numFmtId="1" xfId="0" applyAlignment="1" applyBorder="1" applyFont="1" applyNumberFormat="1">
      <alignment horizontal="center" readingOrder="0"/>
    </xf>
    <xf borderId="30" fillId="2" fontId="4" numFmtId="0" xfId="0" applyAlignment="1" applyBorder="1" applyFont="1">
      <alignment readingOrder="0"/>
    </xf>
    <xf borderId="30" fillId="2" fontId="4" numFmtId="0" xfId="0" applyBorder="1" applyFont="1"/>
    <xf borderId="30" fillId="2" fontId="4" numFmtId="166" xfId="0" applyAlignment="1" applyBorder="1" applyFont="1" applyNumberFormat="1">
      <alignment horizontal="right"/>
    </xf>
    <xf borderId="11" fillId="2" fontId="4" numFmtId="0" xfId="0" applyAlignment="1" applyBorder="1" applyFont="1">
      <alignment readingOrder="0"/>
    </xf>
    <xf borderId="12" fillId="2" fontId="4" numFmtId="0" xfId="0" applyAlignment="1" applyBorder="1" applyFont="1">
      <alignment readingOrder="0"/>
    </xf>
    <xf borderId="0" fillId="2" fontId="9" numFmtId="0" xfId="0" applyAlignment="1" applyFont="1">
      <alignment readingOrder="0"/>
    </xf>
    <xf borderId="24" fillId="2" fontId="9" numFmtId="0" xfId="0" applyAlignment="1" applyBorder="1" applyFont="1">
      <alignment readingOrder="0"/>
    </xf>
    <xf borderId="34" fillId="2" fontId="1" numFmtId="165" xfId="0" applyBorder="1" applyFont="1" applyNumberFormat="1"/>
    <xf borderId="30" fillId="2" fontId="1" numFmtId="166" xfId="0" applyAlignment="1" applyBorder="1" applyFont="1" applyNumberFormat="1">
      <alignment horizontal="right" vertical="bottom"/>
    </xf>
    <xf borderId="34" fillId="2" fontId="11" numFmtId="165" xfId="0" applyAlignment="1" applyBorder="1" applyFont="1" applyNumberFormat="1">
      <alignment vertical="bottom"/>
    </xf>
    <xf borderId="35" fillId="2" fontId="9" numFmtId="0" xfId="0" applyAlignment="1" applyBorder="1" applyFont="1">
      <alignment readingOrder="0"/>
    </xf>
    <xf borderId="36" fillId="2" fontId="9" numFmtId="0" xfId="0" applyAlignment="1" applyBorder="1" applyFont="1">
      <alignment readingOrder="0"/>
    </xf>
    <xf borderId="37" fillId="2" fontId="9" numFmtId="0" xfId="0" applyAlignment="1" applyBorder="1" applyFont="1">
      <alignment readingOrder="0"/>
    </xf>
    <xf borderId="34" fillId="2" fontId="4" numFmtId="0" xfId="0" applyAlignment="1" applyBorder="1" applyFont="1">
      <alignment readingOrder="0"/>
    </xf>
    <xf borderId="30" fillId="0" fontId="2" numFmtId="0" xfId="0" applyBorder="1" applyFont="1"/>
    <xf borderId="35" fillId="2" fontId="4" numFmtId="0" xfId="0" applyAlignment="1" applyBorder="1" applyFont="1">
      <alignment readingOrder="0"/>
    </xf>
    <xf borderId="36" fillId="2" fontId="4" numFmtId="0" xfId="0" applyAlignment="1" applyBorder="1" applyFont="1">
      <alignment readingOrder="0"/>
    </xf>
    <xf borderId="37" fillId="2" fontId="4" numFmtId="0" xfId="0" applyAlignment="1" applyBorder="1" applyFont="1">
      <alignment readingOrder="0"/>
    </xf>
    <xf borderId="34" fillId="2" fontId="1" numFmtId="165" xfId="0" applyAlignment="1" applyBorder="1" applyFont="1" applyNumberFormat="1">
      <alignment vertical="top"/>
    </xf>
    <xf borderId="30" fillId="2" fontId="1" numFmtId="0" xfId="0" applyAlignment="1" applyBorder="1" applyFont="1">
      <alignment vertical="top"/>
    </xf>
    <xf borderId="30" fillId="2" fontId="7" numFmtId="3" xfId="0" applyAlignment="1" applyBorder="1" applyFont="1" applyNumberFormat="1">
      <alignment horizontal="right" readingOrder="0"/>
    </xf>
    <xf borderId="30" fillId="2" fontId="4" numFmtId="3" xfId="0" applyAlignment="1" applyBorder="1" applyFont="1" applyNumberFormat="1">
      <alignment horizontal="right"/>
    </xf>
    <xf borderId="34" fillId="2" fontId="4" numFmtId="165" xfId="0" applyAlignment="1" applyBorder="1" applyFont="1" applyNumberFormat="1">
      <alignment horizontal="right"/>
    </xf>
    <xf borderId="29" fillId="2" fontId="4" numFmtId="1" xfId="0" applyAlignment="1" applyBorder="1" applyFont="1" applyNumberFormat="1">
      <alignment horizontal="center" readingOrder="0"/>
    </xf>
    <xf borderId="10" fillId="2" fontId="4" numFmtId="0" xfId="0" applyBorder="1" applyFont="1"/>
    <xf borderId="38" fillId="2" fontId="4" numFmtId="3" xfId="0" applyAlignment="1" applyBorder="1" applyFont="1" applyNumberFormat="1">
      <alignment horizontal="right"/>
    </xf>
    <xf borderId="10" fillId="2" fontId="4" numFmtId="166" xfId="0" applyAlignment="1" applyBorder="1" applyFont="1" applyNumberFormat="1">
      <alignment horizontal="right"/>
    </xf>
    <xf borderId="10" fillId="2" fontId="4" numFmtId="165" xfId="0" applyAlignment="1" applyBorder="1" applyFont="1" applyNumberFormat="1">
      <alignment horizontal="right"/>
    </xf>
    <xf borderId="11" fillId="2" fontId="1" numFmtId="0" xfId="0" applyBorder="1" applyFont="1"/>
    <xf borderId="29" fillId="2" fontId="1" numFmtId="1" xfId="0" applyBorder="1" applyFont="1" applyNumberFormat="1"/>
    <xf borderId="10" fillId="2" fontId="7" numFmtId="1" xfId="0" applyBorder="1" applyFont="1" applyNumberFormat="1"/>
    <xf borderId="10" fillId="2" fontId="7" numFmtId="0" xfId="0" applyBorder="1" applyFont="1"/>
    <xf borderId="39" fillId="2" fontId="7" numFmtId="3" xfId="0" applyAlignment="1" applyBorder="1" applyFont="1" applyNumberFormat="1">
      <alignment horizontal="right"/>
    </xf>
    <xf borderId="10" fillId="2" fontId="1" numFmtId="3" xfId="0" applyBorder="1" applyFont="1" applyNumberFormat="1"/>
    <xf borderId="10" fillId="2" fontId="1" numFmtId="166" xfId="0" applyBorder="1" applyFont="1" applyNumberFormat="1"/>
    <xf borderId="10" fillId="2" fontId="7" numFmtId="165" xfId="0" applyAlignment="1" applyBorder="1" applyFont="1" applyNumberFormat="1">
      <alignment horizontal="right"/>
    </xf>
    <xf borderId="12" fillId="2" fontId="7" numFmtId="165" xfId="0" applyAlignment="1" applyBorder="1" applyFont="1" applyNumberFormat="1">
      <alignment horizontal="right"/>
    </xf>
    <xf borderId="14" fillId="2" fontId="1" numFmtId="0" xfId="0" applyBorder="1" applyFont="1"/>
    <xf borderId="10" fillId="2" fontId="7" numFmtId="167" xfId="0" applyAlignment="1" applyBorder="1" applyFont="1" applyNumberFormat="1">
      <alignment horizontal="right" readingOrder="0" shrinkToFit="0" wrapText="0"/>
    </xf>
    <xf borderId="10" fillId="2" fontId="1" numFmtId="1" xfId="0" applyBorder="1" applyFont="1" applyNumberFormat="1"/>
    <xf borderId="10" fillId="2" fontId="1" numFmtId="0" xfId="0" applyBorder="1" applyFont="1"/>
    <xf borderId="10" fillId="2" fontId="1" numFmtId="165" xfId="0" applyBorder="1" applyFont="1" applyNumberFormat="1"/>
    <xf borderId="12" fillId="2" fontId="1" numFmtId="165" xfId="0" applyBorder="1" applyFont="1" applyNumberFormat="1"/>
    <xf borderId="39" fillId="2" fontId="4" numFmtId="3" xfId="0" applyAlignment="1" applyBorder="1" applyFont="1" applyNumberFormat="1">
      <alignment horizontal="right"/>
    </xf>
    <xf borderId="40" fillId="2" fontId="4" numFmtId="166" xfId="0" applyAlignment="1" applyBorder="1" applyFont="1" applyNumberFormat="1">
      <alignment horizontal="right"/>
    </xf>
    <xf borderId="10" fillId="2" fontId="7" numFmtId="3" xfId="0" applyAlignment="1" applyBorder="1" applyFont="1" applyNumberFormat="1">
      <alignment horizontal="right" readingOrder="0"/>
    </xf>
    <xf borderId="10" fillId="2" fontId="7" numFmtId="0" xfId="0" applyAlignment="1" applyBorder="1" applyFont="1">
      <alignment readingOrder="0"/>
    </xf>
    <xf borderId="10" fillId="2" fontId="7" numFmtId="167" xfId="0" applyAlignment="1" applyBorder="1" applyFont="1" applyNumberFormat="1">
      <alignment horizontal="right" shrinkToFit="0" wrapText="0"/>
    </xf>
    <xf borderId="10" fillId="2" fontId="1" numFmtId="168" xfId="0" applyBorder="1" applyFont="1" applyNumberFormat="1"/>
    <xf borderId="12" fillId="2" fontId="1" numFmtId="0" xfId="0" applyBorder="1" applyFont="1"/>
    <xf borderId="20" fillId="2" fontId="4" numFmtId="0" xfId="0" applyAlignment="1" applyBorder="1" applyFont="1">
      <alignment horizontal="center" shrinkToFit="0" wrapText="0"/>
    </xf>
    <xf borderId="41" fillId="0" fontId="2" numFmtId="0" xfId="0" applyBorder="1" applyFont="1"/>
    <xf borderId="21" fillId="2" fontId="4" numFmtId="3" xfId="0" applyAlignment="1" applyBorder="1" applyFont="1" applyNumberFormat="1">
      <alignment horizontal="right" shrinkToFit="0" wrapText="0"/>
    </xf>
    <xf borderId="21" fillId="2" fontId="4" numFmtId="165" xfId="0" applyAlignment="1" applyBorder="1" applyFont="1" applyNumberFormat="1">
      <alignment horizontal="right"/>
    </xf>
    <xf borderId="23" fillId="2" fontId="4" numFmtId="165" xfId="0" applyAlignment="1" applyBorder="1" applyFont="1" applyNumberFormat="1">
      <alignment horizontal="right"/>
    </xf>
    <xf borderId="5" fillId="2" fontId="4" numFmtId="0" xfId="0" applyAlignment="1" applyBorder="1" applyFont="1">
      <alignment horizontal="center" shrinkToFit="0" wrapText="0"/>
    </xf>
    <xf borderId="42" fillId="0" fontId="2" numFmtId="0" xfId="0" applyBorder="1" applyFont="1"/>
    <xf borderId="0" fillId="2" fontId="1" numFmtId="0" xfId="0" applyAlignment="1" applyFont="1">
      <alignment readingOrder="0"/>
    </xf>
    <xf borderId="29" fillId="2" fontId="1" numFmtId="0" xfId="0" applyBorder="1" applyFont="1"/>
    <xf borderId="10" fillId="2" fontId="7" numFmtId="1" xfId="0" applyAlignment="1" applyBorder="1" applyFont="1" applyNumberFormat="1">
      <alignment shrinkToFit="0" wrapText="0"/>
    </xf>
    <xf borderId="11" fillId="2" fontId="7" numFmtId="1" xfId="0" applyAlignment="1" applyBorder="1" applyFont="1" applyNumberFormat="1">
      <alignment horizontal="center" shrinkToFit="0" wrapText="0"/>
    </xf>
    <xf borderId="43" fillId="2" fontId="7" numFmtId="165" xfId="0" applyAlignment="1" applyBorder="1" applyFont="1" applyNumberFormat="1">
      <alignment horizontal="center" readingOrder="0" vertical="bottom"/>
    </xf>
    <xf borderId="44" fillId="0" fontId="2" numFmtId="0" xfId="0" applyBorder="1" applyFont="1"/>
    <xf borderId="45" fillId="0" fontId="2" numFmtId="0" xfId="0" applyBorder="1" applyFont="1"/>
    <xf borderId="11" fillId="2" fontId="7" numFmtId="1" xfId="0" applyAlignment="1" applyBorder="1" applyFont="1" applyNumberFormat="1">
      <alignment horizontal="center" readingOrder="0" shrinkToFit="0" wrapText="0"/>
    </xf>
    <xf borderId="46" fillId="2" fontId="7" numFmtId="165" xfId="0" applyAlignment="1" applyBorder="1" applyFont="1" applyNumberFormat="1">
      <alignment horizontal="center" readingOrder="0" vertical="bottom"/>
    </xf>
    <xf borderId="0" fillId="2" fontId="1" numFmtId="0" xfId="0" applyAlignment="1" applyFont="1">
      <alignment readingOrder="0" vertical="top"/>
    </xf>
    <xf borderId="47" fillId="2" fontId="1" numFmtId="0" xfId="0" applyBorder="1" applyFont="1"/>
    <xf borderId="48" fillId="2" fontId="7" numFmtId="1" xfId="0" applyAlignment="1" applyBorder="1" applyFont="1" applyNumberFormat="1">
      <alignment shrinkToFit="0" wrapText="0"/>
    </xf>
    <xf borderId="49" fillId="2" fontId="7" numFmtId="1" xfId="0" applyAlignment="1" applyBorder="1" applyFont="1" applyNumberFormat="1">
      <alignment horizontal="center" readingOrder="0" shrinkToFit="0" wrapText="0"/>
    </xf>
    <xf borderId="48" fillId="0" fontId="2" numFmtId="0" xfId="0" applyBorder="1" applyFont="1"/>
    <xf borderId="50" fillId="2" fontId="7" numFmtId="165" xfId="0" applyAlignment="1" applyBorder="1" applyFont="1" applyNumberFormat="1">
      <alignment horizontal="center" readingOrder="0" vertical="bottom"/>
    </xf>
    <xf borderId="49" fillId="0" fontId="2" numFmtId="0" xfId="0" applyBorder="1" applyFont="1"/>
    <xf borderId="51" fillId="0" fontId="2" numFmtId="0" xfId="0" applyBorder="1" applyFont="1"/>
    <xf borderId="52" fillId="2" fontId="1" numFmtId="0" xfId="0" applyBorder="1" applyFont="1"/>
    <xf borderId="21" fillId="2" fontId="7" numFmtId="1" xfId="0" applyAlignment="1" applyBorder="1" applyFont="1" applyNumberFormat="1">
      <alignment readingOrder="0" shrinkToFit="0" wrapText="0"/>
    </xf>
    <xf borderId="22" fillId="2" fontId="7" numFmtId="1" xfId="0" applyAlignment="1" applyBorder="1" applyFont="1" applyNumberFormat="1">
      <alignment horizontal="center" shrinkToFit="0" wrapText="0"/>
    </xf>
    <xf borderId="53" fillId="2" fontId="7" numFmtId="165" xfId="0" applyAlignment="1" applyBorder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1.57"/>
    <col customWidth="1" min="3" max="3" width="37.86"/>
    <col customWidth="1" min="9" max="9" width="18.57"/>
    <col customWidth="1" min="10" max="10" width="16.29"/>
  </cols>
  <sheetData>
    <row r="1" ht="57.0" customHeight="1">
      <c r="A1" s="1"/>
      <c r="B1" s="2"/>
      <c r="C1" s="3"/>
      <c r="D1" s="4"/>
      <c r="E1" s="4"/>
      <c r="F1" s="4"/>
      <c r="G1" s="4"/>
      <c r="H1" s="4"/>
      <c r="I1" s="4"/>
      <c r="J1" s="5"/>
      <c r="K1" s="6"/>
      <c r="L1" s="6"/>
      <c r="M1" s="6" t="s">
        <v>0</v>
      </c>
      <c r="N1" s="6" t="s">
        <v>1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9"/>
      <c r="C2" s="10"/>
      <c r="D2" s="11"/>
      <c r="E2" s="9"/>
      <c r="F2" s="12"/>
      <c r="G2" s="11"/>
      <c r="H2" s="11"/>
      <c r="I2" s="11"/>
      <c r="J2" s="13"/>
      <c r="K2" s="6"/>
      <c r="L2" s="6"/>
      <c r="M2" s="14" t="s">
        <v>2</v>
      </c>
      <c r="N2" s="15">
        <v>1.0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6" t="s">
        <v>3</v>
      </c>
      <c r="B3" s="17"/>
      <c r="C3" s="18" t="s">
        <v>4</v>
      </c>
      <c r="D3" s="19"/>
      <c r="E3" s="19"/>
      <c r="F3" s="19"/>
      <c r="G3" s="19"/>
      <c r="H3" s="19"/>
      <c r="I3" s="19"/>
      <c r="J3" s="20"/>
      <c r="K3" s="6"/>
      <c r="L3" s="6"/>
      <c r="M3" s="14" t="s">
        <v>5</v>
      </c>
      <c r="N3" s="15">
        <v>1.645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21" t="s">
        <v>6</v>
      </c>
      <c r="B4" s="22"/>
      <c r="C4" s="23" t="s">
        <v>0</v>
      </c>
      <c r="D4" s="19"/>
      <c r="E4" s="17"/>
      <c r="F4" s="24" t="s">
        <v>7</v>
      </c>
      <c r="G4" s="25"/>
      <c r="H4" s="25"/>
      <c r="I4" s="25"/>
      <c r="J4" s="26"/>
      <c r="K4" s="6"/>
      <c r="L4" s="6"/>
      <c r="M4" s="14" t="s">
        <v>7</v>
      </c>
      <c r="N4" s="15">
        <v>2.0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27"/>
      <c r="B5" s="22"/>
      <c r="C5" s="7"/>
      <c r="F5" s="28" t="s">
        <v>8</v>
      </c>
      <c r="G5" s="25"/>
      <c r="H5" s="29"/>
      <c r="I5" s="28"/>
      <c r="J5" s="26"/>
      <c r="K5" s="6"/>
      <c r="L5" s="6"/>
      <c r="M5" s="30" t="s">
        <v>9</v>
      </c>
      <c r="N5" s="31">
        <v>3.0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7"/>
      <c r="B6" s="22"/>
      <c r="C6" s="23" t="s">
        <v>10</v>
      </c>
      <c r="D6" s="19"/>
      <c r="E6" s="17"/>
      <c r="F6" s="28" t="str">
        <f>TEXT(G70,"0")</f>
        <v>1161</v>
      </c>
      <c r="G6" s="25"/>
      <c r="H6" s="25"/>
      <c r="I6" s="32"/>
      <c r="J6" s="33"/>
      <c r="K6" s="6"/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7"/>
      <c r="B7" s="22"/>
      <c r="C7" s="23" t="s">
        <v>11</v>
      </c>
      <c r="D7" s="19"/>
      <c r="E7" s="17"/>
      <c r="F7" s="34" t="str">
        <f>TEXT(I70,"$0,0")</f>
        <v>$52,698</v>
      </c>
      <c r="G7" s="25"/>
      <c r="H7" s="29"/>
      <c r="I7" s="35"/>
      <c r="J7" s="26"/>
      <c r="K7" s="6"/>
      <c r="L7" s="6"/>
      <c r="M7" s="6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7"/>
      <c r="B8" s="22"/>
      <c r="C8" s="23" t="s">
        <v>12</v>
      </c>
      <c r="D8" s="19"/>
      <c r="E8" s="17"/>
      <c r="F8" s="36"/>
      <c r="G8" s="25"/>
      <c r="H8" s="25"/>
      <c r="I8" s="25"/>
      <c r="J8" s="26"/>
      <c r="K8" s="6"/>
      <c r="L8" s="6"/>
      <c r="M8" s="6"/>
      <c r="N8" s="6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7"/>
      <c r="B9" s="22"/>
      <c r="C9" s="23" t="s">
        <v>13</v>
      </c>
      <c r="D9" s="19"/>
      <c r="E9" s="17"/>
      <c r="F9" s="37">
        <f>$F$7*(1-$F$8)</f>
        <v>52698</v>
      </c>
      <c r="G9" s="25"/>
      <c r="H9" s="29"/>
      <c r="I9" s="37">
        <f>J7*(1-G8)</f>
        <v>0</v>
      </c>
      <c r="J9" s="26"/>
      <c r="K9" s="6"/>
      <c r="L9" s="6"/>
      <c r="M9" s="6"/>
      <c r="N9" s="6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8"/>
      <c r="B10" s="39"/>
      <c r="C10" s="40" t="s">
        <v>14</v>
      </c>
      <c r="D10" s="41"/>
      <c r="E10" s="39"/>
      <c r="F10" s="42">
        <v>1.5</v>
      </c>
      <c r="G10" s="41"/>
      <c r="H10" s="41"/>
      <c r="I10" s="41"/>
      <c r="J10" s="43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4"/>
      <c r="B11" s="44"/>
      <c r="C11" s="44"/>
      <c r="D11" s="44"/>
      <c r="E11" s="44"/>
      <c r="F11" s="44"/>
      <c r="G11" s="44"/>
      <c r="H11" s="44"/>
      <c r="I11" s="44"/>
      <c r="J11" s="45"/>
      <c r="K11" s="44"/>
      <c r="L11" s="6"/>
      <c r="M11" s="6"/>
      <c r="N11" s="44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6" t="s">
        <v>15</v>
      </c>
      <c r="B12" s="47" t="s">
        <v>16</v>
      </c>
      <c r="C12" s="47" t="s">
        <v>17</v>
      </c>
      <c r="D12" s="48" t="s">
        <v>10</v>
      </c>
      <c r="E12" s="11"/>
      <c r="F12" s="11"/>
      <c r="G12" s="9"/>
      <c r="H12" s="49"/>
      <c r="I12" s="47" t="s">
        <v>18</v>
      </c>
      <c r="J12" s="50" t="s">
        <v>19</v>
      </c>
      <c r="K12" s="6"/>
      <c r="L12" s="44"/>
      <c r="M12" s="6"/>
      <c r="N12" s="6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51"/>
      <c r="B13" s="22"/>
      <c r="C13" s="22"/>
      <c r="D13" s="52" t="s">
        <v>20</v>
      </c>
      <c r="E13" s="52" t="s">
        <v>21</v>
      </c>
      <c r="F13" s="52" t="s">
        <v>22</v>
      </c>
      <c r="G13" s="52" t="s">
        <v>8</v>
      </c>
      <c r="H13" s="52" t="s">
        <v>23</v>
      </c>
      <c r="I13" s="22"/>
      <c r="J13" s="53"/>
      <c r="K13" s="6"/>
      <c r="L13" s="44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54">
        <v>1.0</v>
      </c>
      <c r="B14" s="55" t="s">
        <v>24</v>
      </c>
      <c r="C14" s="55" t="s">
        <v>25</v>
      </c>
      <c r="D14" s="56">
        <f t="shared" ref="D14:G14" si="1">SUM(D16:D28)</f>
        <v>167</v>
      </c>
      <c r="E14" s="56">
        <f t="shared" si="1"/>
        <v>219</v>
      </c>
      <c r="F14" s="56">
        <f t="shared" si="1"/>
        <v>274</v>
      </c>
      <c r="G14" s="56">
        <f t="shared" si="1"/>
        <v>219.5</v>
      </c>
      <c r="H14" s="56">
        <f>SQRT(SUMSQ(H16:H28))</f>
        <v>6.015535443</v>
      </c>
      <c r="I14" s="57">
        <f t="shared" ref="I14:J14" si="2">G14*VLOOKUP($C14,$B$73:$J$76,4,0)</f>
        <v>9877.5</v>
      </c>
      <c r="J14" s="58">
        <f t="shared" si="2"/>
        <v>270.6990949</v>
      </c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59"/>
      <c r="B15" s="60" t="s">
        <v>26</v>
      </c>
      <c r="C15" s="60"/>
      <c r="D15" s="60"/>
      <c r="E15" s="60"/>
      <c r="F15" s="60"/>
      <c r="G15" s="60"/>
      <c r="H15" s="60"/>
      <c r="I15" s="60"/>
      <c r="J15" s="61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9"/>
      <c r="B16" s="62" t="s">
        <v>27</v>
      </c>
      <c r="C16" s="63"/>
      <c r="D16" s="63">
        <v>29.0</v>
      </c>
      <c r="E16" s="63">
        <v>37.0</v>
      </c>
      <c r="F16" s="63">
        <v>47.0</v>
      </c>
      <c r="G16" s="64">
        <f t="shared" ref="G16:G19" si="3">(D16+4*E16+F16)/6</f>
        <v>37.33333333</v>
      </c>
      <c r="H16" s="65">
        <f>(F16-D16)/6</f>
        <v>3</v>
      </c>
      <c r="I16" s="66"/>
      <c r="J16" s="58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59"/>
      <c r="B17" s="62" t="s">
        <v>28</v>
      </c>
      <c r="C17" s="63"/>
      <c r="D17" s="63">
        <v>33.0</v>
      </c>
      <c r="E17" s="63">
        <v>44.0</v>
      </c>
      <c r="F17" s="63">
        <v>56.0</v>
      </c>
      <c r="G17" s="64">
        <f t="shared" si="3"/>
        <v>44.16666667</v>
      </c>
      <c r="H17" s="65">
        <v>1.6</v>
      </c>
      <c r="I17" s="66"/>
      <c r="J17" s="58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9"/>
      <c r="B18" s="62" t="s">
        <v>29</v>
      </c>
      <c r="C18" s="67"/>
      <c r="D18" s="63">
        <v>11.0</v>
      </c>
      <c r="E18" s="63">
        <v>17.0</v>
      </c>
      <c r="F18" s="63">
        <v>22.0</v>
      </c>
      <c r="G18" s="64">
        <f t="shared" si="3"/>
        <v>16.83333333</v>
      </c>
      <c r="H18" s="65">
        <v>1.1</v>
      </c>
      <c r="I18" s="66"/>
      <c r="J18" s="58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59"/>
      <c r="B19" s="68" t="s">
        <v>30</v>
      </c>
      <c r="C19" s="69"/>
      <c r="D19" s="63">
        <v>3.0</v>
      </c>
      <c r="E19" s="63">
        <v>5.0</v>
      </c>
      <c r="F19" s="63">
        <v>7.0</v>
      </c>
      <c r="G19" s="64">
        <f t="shared" si="3"/>
        <v>5</v>
      </c>
      <c r="H19" s="70">
        <f>(F19-D19)/6</f>
        <v>0.6666666667</v>
      </c>
      <c r="I19" s="66"/>
      <c r="J19" s="58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59"/>
      <c r="B20" s="71"/>
      <c r="C20" s="72"/>
      <c r="D20" s="63"/>
      <c r="E20" s="63"/>
      <c r="F20" s="63"/>
      <c r="G20" s="64"/>
      <c r="H20" s="70"/>
      <c r="I20" s="66"/>
      <c r="J20" s="58"/>
      <c r="K20" s="6"/>
      <c r="L20" s="6"/>
      <c r="M20" s="6"/>
      <c r="N20" s="6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59"/>
      <c r="B21" s="60" t="s">
        <v>31</v>
      </c>
      <c r="C21" s="60"/>
      <c r="D21" s="60"/>
      <c r="E21" s="60"/>
      <c r="F21" s="60"/>
      <c r="G21" s="64"/>
      <c r="H21" s="70"/>
      <c r="I21" s="60"/>
      <c r="J21" s="61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59"/>
      <c r="B22" s="62" t="s">
        <v>27</v>
      </c>
      <c r="C22" s="72"/>
      <c r="D22" s="63">
        <v>14.0</v>
      </c>
      <c r="E22" s="63">
        <v>18.0</v>
      </c>
      <c r="F22" s="63">
        <v>23.0</v>
      </c>
      <c r="G22" s="64">
        <f t="shared" ref="G22:G23" si="4">(D22+4*E22+F22)/6</f>
        <v>18.16666667</v>
      </c>
      <c r="H22" s="70">
        <f t="shared" ref="H22:H23" si="5">(F22-D22)/6</f>
        <v>1.5</v>
      </c>
      <c r="I22" s="66"/>
      <c r="J22" s="58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59"/>
      <c r="B23" s="68" t="s">
        <v>32</v>
      </c>
      <c r="C23" s="72"/>
      <c r="D23" s="63">
        <v>45.0</v>
      </c>
      <c r="E23" s="63">
        <v>53.0</v>
      </c>
      <c r="F23" s="63">
        <v>62.0</v>
      </c>
      <c r="G23" s="64">
        <f t="shared" si="4"/>
        <v>53.16666667</v>
      </c>
      <c r="H23" s="70">
        <f t="shared" si="5"/>
        <v>2.833333333</v>
      </c>
      <c r="I23" s="66"/>
      <c r="J23" s="58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59"/>
      <c r="B24" s="71"/>
      <c r="C24" s="72"/>
      <c r="D24" s="63"/>
      <c r="E24" s="63"/>
      <c r="F24" s="63"/>
      <c r="G24" s="64"/>
      <c r="H24" s="70"/>
      <c r="I24" s="66"/>
      <c r="J24" s="58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59"/>
      <c r="B25" s="60" t="s">
        <v>33</v>
      </c>
      <c r="C25" s="72"/>
      <c r="D25" s="63"/>
      <c r="E25" s="63"/>
      <c r="F25" s="63"/>
      <c r="G25" s="64"/>
      <c r="H25" s="70"/>
      <c r="I25" s="66"/>
      <c r="J25" s="58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3"/>
      <c r="B26" s="62" t="s">
        <v>26</v>
      </c>
      <c r="C26" s="72"/>
      <c r="D26" s="74">
        <v>27.0</v>
      </c>
      <c r="E26" s="74">
        <v>38.0</v>
      </c>
      <c r="F26" s="74">
        <v>48.0</v>
      </c>
      <c r="G26" s="64">
        <f t="shared" ref="G26:G27" si="6">(D26+4*E26+F26)/6</f>
        <v>37.83333333</v>
      </c>
      <c r="H26" s="70">
        <f t="shared" ref="H26:H27" si="7">(F26-D26)/6</f>
        <v>3.5</v>
      </c>
      <c r="I26" s="75"/>
      <c r="J26" s="76"/>
      <c r="K26" s="77"/>
      <c r="L26" s="77"/>
      <c r="M26" s="77"/>
      <c r="N26" s="77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>
      <c r="A27" s="73"/>
      <c r="B27" s="79" t="s">
        <v>34</v>
      </c>
      <c r="C27" s="72"/>
      <c r="D27" s="74">
        <v>5.0</v>
      </c>
      <c r="E27" s="74">
        <v>7.0</v>
      </c>
      <c r="F27" s="74">
        <v>9.0</v>
      </c>
      <c r="G27" s="64">
        <f t="shared" si="6"/>
        <v>7</v>
      </c>
      <c r="H27" s="70">
        <f t="shared" si="7"/>
        <v>0.6666666667</v>
      </c>
      <c r="I27" s="75"/>
      <c r="J27" s="76"/>
      <c r="K27" s="77"/>
      <c r="L27" s="77"/>
      <c r="M27" s="77"/>
      <c r="N27" s="77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>
      <c r="A28" s="73"/>
      <c r="B28" s="80"/>
      <c r="C28" s="81"/>
      <c r="D28" s="81"/>
      <c r="E28" s="81"/>
      <c r="F28" s="81"/>
      <c r="G28" s="81"/>
      <c r="H28" s="81"/>
      <c r="I28" s="81"/>
      <c r="J28" s="82"/>
      <c r="K28" s="77"/>
      <c r="L28" s="77"/>
      <c r="M28" s="77"/>
      <c r="N28" s="77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>
      <c r="A29" s="83">
        <v>2.0</v>
      </c>
      <c r="B29" s="84" t="s">
        <v>35</v>
      </c>
      <c r="C29" s="85" t="s">
        <v>36</v>
      </c>
      <c r="D29" s="86">
        <f t="shared" ref="D29:G29" si="8">SUM(D31:D58)</f>
        <v>500</v>
      </c>
      <c r="E29" s="86">
        <f t="shared" si="8"/>
        <v>630</v>
      </c>
      <c r="F29" s="86">
        <f t="shared" si="8"/>
        <v>756</v>
      </c>
      <c r="G29" s="86">
        <f t="shared" si="8"/>
        <v>629.3333333</v>
      </c>
      <c r="H29" s="86">
        <f>SQRT(SUMSQ(H31:H58))</f>
        <v>12.94647099</v>
      </c>
      <c r="I29" s="66">
        <f t="shared" ref="I29:J29" si="9">G29*VLOOKUP($C29,$B$73:$J$75,4,0)</f>
        <v>28320</v>
      </c>
      <c r="J29" s="58">
        <f t="shared" si="9"/>
        <v>582.5911946</v>
      </c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54"/>
      <c r="B30" s="87" t="s">
        <v>37</v>
      </c>
      <c r="C30" s="87"/>
      <c r="D30" s="87"/>
      <c r="E30" s="87"/>
      <c r="F30" s="87"/>
      <c r="G30" s="87"/>
      <c r="H30" s="87"/>
      <c r="I30" s="66">
        <f>SUM(I32:I43)</f>
        <v>20107.5</v>
      </c>
      <c r="J30" s="88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54"/>
      <c r="B31" s="89" t="s">
        <v>26</v>
      </c>
      <c r="C31" s="89"/>
      <c r="D31" s="89"/>
      <c r="E31" s="89"/>
      <c r="F31" s="89"/>
      <c r="G31" s="89"/>
      <c r="H31" s="89"/>
      <c r="I31" s="66"/>
      <c r="J31" s="90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59"/>
      <c r="B32" s="62" t="s">
        <v>27</v>
      </c>
      <c r="C32" s="67"/>
      <c r="D32" s="63">
        <v>44.0</v>
      </c>
      <c r="E32" s="63">
        <v>54.0</v>
      </c>
      <c r="F32" s="63">
        <v>65.0</v>
      </c>
      <c r="G32" s="64">
        <f t="shared" ref="G32:G35" si="10">(D32+4*E32+F32)/6</f>
        <v>54.16666667</v>
      </c>
      <c r="H32" s="70">
        <f t="shared" ref="H32:H35" si="11">(F32-D32)/6</f>
        <v>3.5</v>
      </c>
      <c r="I32" s="66">
        <f>G32*VLOOKUP($C29,$B$73:$J$75,4,0)</f>
        <v>2437.5</v>
      </c>
      <c r="J32" s="91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59"/>
      <c r="B33" s="62" t="s">
        <v>28</v>
      </c>
      <c r="C33" s="67"/>
      <c r="D33" s="63">
        <v>58.0</v>
      </c>
      <c r="E33" s="63">
        <v>74.0</v>
      </c>
      <c r="F33" s="63">
        <v>87.0</v>
      </c>
      <c r="G33" s="64">
        <f t="shared" si="10"/>
        <v>73.5</v>
      </c>
      <c r="H33" s="70">
        <f t="shared" si="11"/>
        <v>4.833333333</v>
      </c>
      <c r="I33" s="66">
        <f>G33*VLOOKUP($C29,$B$73:$J$75,4,0)</f>
        <v>3307.5</v>
      </c>
      <c r="J33" s="91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59"/>
      <c r="B34" s="62" t="s">
        <v>29</v>
      </c>
      <c r="C34" s="67"/>
      <c r="D34" s="63">
        <v>84.0</v>
      </c>
      <c r="E34" s="63">
        <v>107.0</v>
      </c>
      <c r="F34" s="63">
        <v>126.0</v>
      </c>
      <c r="G34" s="64">
        <f t="shared" si="10"/>
        <v>106.3333333</v>
      </c>
      <c r="H34" s="70">
        <f t="shared" si="11"/>
        <v>7</v>
      </c>
      <c r="I34" s="66">
        <f>G34*VLOOKUP($C29,$B$73:$J$75,4,0)</f>
        <v>4785</v>
      </c>
      <c r="J34" s="91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3"/>
      <c r="B35" s="68" t="s">
        <v>30</v>
      </c>
      <c r="C35" s="72"/>
      <c r="D35" s="63">
        <v>5.0</v>
      </c>
      <c r="E35" s="63">
        <v>7.0</v>
      </c>
      <c r="F35" s="63">
        <v>8.0</v>
      </c>
      <c r="G35" s="64">
        <f t="shared" si="10"/>
        <v>6.833333333</v>
      </c>
      <c r="H35" s="92">
        <f t="shared" si="11"/>
        <v>0.5</v>
      </c>
      <c r="I35" s="66">
        <f>G35*VLOOKUP($C29,$B$73:$J$75,4,0)</f>
        <v>307.5</v>
      </c>
      <c r="J35" s="93"/>
      <c r="K35" s="77"/>
      <c r="L35" s="77"/>
      <c r="M35" s="77"/>
      <c r="N35" s="77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>
      <c r="A36" s="73"/>
      <c r="B36" s="71"/>
      <c r="C36" s="72"/>
      <c r="D36" s="63"/>
      <c r="E36" s="63"/>
      <c r="F36" s="63"/>
      <c r="G36" s="64"/>
      <c r="H36" s="92"/>
      <c r="I36" s="66"/>
      <c r="J36" s="93"/>
      <c r="K36" s="77"/>
      <c r="L36" s="77"/>
      <c r="M36" s="77"/>
      <c r="N36" s="77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>
      <c r="A37" s="59"/>
      <c r="B37" s="94" t="s">
        <v>31</v>
      </c>
      <c r="C37" s="95"/>
      <c r="D37" s="95"/>
      <c r="E37" s="95"/>
      <c r="F37" s="95"/>
      <c r="G37" s="95"/>
      <c r="H37" s="95"/>
      <c r="I37" s="66"/>
      <c r="J37" s="96"/>
      <c r="K37" s="6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59"/>
      <c r="B38" s="62" t="s">
        <v>27</v>
      </c>
      <c r="C38" s="84"/>
      <c r="D38" s="84">
        <v>22.0</v>
      </c>
      <c r="E38" s="84">
        <v>27.0</v>
      </c>
      <c r="F38" s="84">
        <v>32.0</v>
      </c>
      <c r="G38" s="64">
        <f t="shared" ref="G38:G39" si="12">(D38+4*E38+F38)/6</f>
        <v>27</v>
      </c>
      <c r="H38" s="92">
        <f t="shared" ref="H38:H39" si="13">(F38-D38)/6</f>
        <v>1.666666667</v>
      </c>
      <c r="I38" s="66">
        <f>G38*VLOOKUP($C29,$B$73:$J$75,4,0)</f>
        <v>1215</v>
      </c>
      <c r="J38" s="97"/>
      <c r="K38" s="6"/>
      <c r="L38" s="6"/>
      <c r="M38" s="6"/>
      <c r="N38" s="6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59"/>
      <c r="B39" s="68" t="s">
        <v>32</v>
      </c>
      <c r="C39" s="84"/>
      <c r="D39" s="84">
        <v>48.0</v>
      </c>
      <c r="E39" s="84">
        <v>57.0</v>
      </c>
      <c r="F39" s="84">
        <v>66.0</v>
      </c>
      <c r="G39" s="64">
        <f t="shared" si="12"/>
        <v>57</v>
      </c>
      <c r="H39" s="92">
        <f t="shared" si="13"/>
        <v>3</v>
      </c>
      <c r="I39" s="66">
        <f>G39*VLOOKUP($C29,$B$73:$J$75,4,0)</f>
        <v>2565</v>
      </c>
      <c r="J39" s="97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59"/>
      <c r="B40" s="71"/>
      <c r="C40" s="84"/>
      <c r="D40" s="84"/>
      <c r="E40" s="84"/>
      <c r="F40" s="84"/>
      <c r="G40" s="64"/>
      <c r="H40" s="92"/>
      <c r="I40" s="66"/>
      <c r="J40" s="97"/>
      <c r="K40" s="6"/>
      <c r="L40" s="6"/>
      <c r="M40" s="6"/>
      <c r="N40" s="6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59"/>
      <c r="B41" s="94" t="s">
        <v>33</v>
      </c>
      <c r="C41" s="95"/>
      <c r="D41" s="95"/>
      <c r="E41" s="95"/>
      <c r="F41" s="95"/>
      <c r="G41" s="95"/>
      <c r="H41" s="95"/>
      <c r="I41" s="66"/>
      <c r="J41" s="9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59"/>
      <c r="B42" s="62" t="s">
        <v>26</v>
      </c>
      <c r="C42" s="84"/>
      <c r="D42" s="84">
        <v>86.0</v>
      </c>
      <c r="E42" s="84">
        <v>103.0</v>
      </c>
      <c r="F42" s="84">
        <v>120.0</v>
      </c>
      <c r="G42" s="64">
        <f t="shared" ref="G42:G43" si="14">(D42+4*E42+F42)/6</f>
        <v>103</v>
      </c>
      <c r="H42" s="92">
        <f t="shared" ref="H42:H43" si="15">(F42-D42)/6</f>
        <v>5.666666667</v>
      </c>
      <c r="I42" s="66">
        <f>G42*VLOOKUP($C29,$B$73:$J$75,4,0)</f>
        <v>4635</v>
      </c>
      <c r="J42" s="97"/>
      <c r="K42" s="6"/>
      <c r="L42" s="6"/>
      <c r="M42" s="6"/>
      <c r="N42" s="6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59"/>
      <c r="B43" s="79" t="s">
        <v>34</v>
      </c>
      <c r="C43" s="84"/>
      <c r="D43" s="84">
        <v>17.0</v>
      </c>
      <c r="E43" s="84">
        <v>19.0</v>
      </c>
      <c r="F43" s="84">
        <v>21.0</v>
      </c>
      <c r="G43" s="64">
        <f t="shared" si="14"/>
        <v>19</v>
      </c>
      <c r="H43" s="92">
        <f t="shared" si="15"/>
        <v>0.6666666667</v>
      </c>
      <c r="I43" s="66">
        <f>G43*VLOOKUP($C29,$B$73:$J$75,4,0)</f>
        <v>855</v>
      </c>
      <c r="J43" s="97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59"/>
      <c r="B44" s="98"/>
      <c r="C44" s="84"/>
      <c r="D44" s="84"/>
      <c r="E44" s="84"/>
      <c r="F44" s="84"/>
      <c r="G44" s="64"/>
      <c r="H44" s="92"/>
      <c r="I44" s="66"/>
      <c r="J44" s="97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59"/>
      <c r="B45" s="99" t="s">
        <v>38</v>
      </c>
      <c r="C45" s="100"/>
      <c r="D45" s="100"/>
      <c r="E45" s="100"/>
      <c r="F45" s="100"/>
      <c r="G45" s="100"/>
      <c r="H45" s="100"/>
      <c r="I45" s="66">
        <f>SUM(I47:I58)</f>
        <v>8212.5</v>
      </c>
      <c r="J45" s="101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59"/>
      <c r="B46" s="94" t="s">
        <v>26</v>
      </c>
      <c r="C46" s="95"/>
      <c r="D46" s="95"/>
      <c r="E46" s="95"/>
      <c r="F46" s="95"/>
      <c r="G46" s="95"/>
      <c r="H46" s="95"/>
      <c r="I46" s="66"/>
      <c r="J46" s="96"/>
      <c r="K46" s="6"/>
      <c r="L46" s="6"/>
      <c r="M46" s="6"/>
      <c r="N46" s="6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59"/>
      <c r="B47" s="62" t="s">
        <v>27</v>
      </c>
      <c r="C47" s="84"/>
      <c r="D47" s="84">
        <v>13.0</v>
      </c>
      <c r="E47" s="84">
        <v>20.0</v>
      </c>
      <c r="F47" s="84">
        <v>28.0</v>
      </c>
      <c r="G47" s="64">
        <f t="shared" ref="G47:G50" si="16">(D47+4*E47+F47)/6</f>
        <v>20.16666667</v>
      </c>
      <c r="H47" s="92">
        <f t="shared" ref="H47:H50" si="17">(F47-D47)/6</f>
        <v>2.5</v>
      </c>
      <c r="I47" s="66">
        <f>G47*VLOOKUP($C29,$B$73:$J$75,4,0)</f>
        <v>907.5</v>
      </c>
      <c r="J47" s="97"/>
      <c r="K47" s="6"/>
      <c r="L47" s="6"/>
      <c r="M47" s="6"/>
      <c r="N47" s="6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59"/>
      <c r="B48" s="62" t="s">
        <v>28</v>
      </c>
      <c r="C48" s="84"/>
      <c r="D48" s="84">
        <v>36.0</v>
      </c>
      <c r="E48" s="84">
        <v>43.0</v>
      </c>
      <c r="F48" s="84">
        <v>50.0</v>
      </c>
      <c r="G48" s="64">
        <f t="shared" si="16"/>
        <v>43</v>
      </c>
      <c r="H48" s="92">
        <f t="shared" si="17"/>
        <v>2.333333333</v>
      </c>
      <c r="I48" s="66">
        <f>G48*VLOOKUP($C29,$B$73:$J$75,4,0)</f>
        <v>1935</v>
      </c>
      <c r="J48" s="97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59"/>
      <c r="B49" s="62" t="s">
        <v>29</v>
      </c>
      <c r="C49" s="84"/>
      <c r="D49" s="84">
        <v>7.0</v>
      </c>
      <c r="E49" s="84">
        <v>10.0</v>
      </c>
      <c r="F49" s="84">
        <v>13.0</v>
      </c>
      <c r="G49" s="64">
        <f t="shared" si="16"/>
        <v>10</v>
      </c>
      <c r="H49" s="92">
        <f t="shared" si="17"/>
        <v>1</v>
      </c>
      <c r="I49" s="66">
        <f>G49*VLOOKUP($C29,$B$73:$J$75,4,0)</f>
        <v>450</v>
      </c>
      <c r="J49" s="97"/>
      <c r="K49" s="6"/>
      <c r="L49" s="6"/>
      <c r="M49" s="6"/>
      <c r="N49" s="6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59"/>
      <c r="B50" s="68" t="s">
        <v>30</v>
      </c>
      <c r="C50" s="67"/>
      <c r="D50" s="63">
        <v>3.0</v>
      </c>
      <c r="E50" s="63">
        <v>4.0</v>
      </c>
      <c r="F50" s="63">
        <v>7.0</v>
      </c>
      <c r="G50" s="64">
        <f t="shared" si="16"/>
        <v>4.333333333</v>
      </c>
      <c r="H50" s="92">
        <f t="shared" si="17"/>
        <v>0.6666666667</v>
      </c>
      <c r="I50" s="66">
        <f>G50*VLOOKUP($C29,$B$73:$J$75,4,0)</f>
        <v>195</v>
      </c>
      <c r="J50" s="91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59"/>
      <c r="B51" s="71"/>
      <c r="C51" s="67"/>
      <c r="D51" s="63"/>
      <c r="E51" s="63"/>
      <c r="F51" s="63"/>
      <c r="G51" s="64"/>
      <c r="H51" s="92"/>
      <c r="I51" s="66"/>
      <c r="J51" s="91"/>
      <c r="K51" s="6"/>
      <c r="L51" s="6"/>
      <c r="M51" s="6"/>
      <c r="N51" s="6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59"/>
      <c r="B52" s="94" t="s">
        <v>31</v>
      </c>
      <c r="C52" s="95"/>
      <c r="D52" s="95"/>
      <c r="E52" s="95"/>
      <c r="F52" s="95"/>
      <c r="G52" s="95"/>
      <c r="H52" s="95"/>
      <c r="I52" s="66"/>
      <c r="J52" s="9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59"/>
      <c r="B53" s="62" t="s">
        <v>27</v>
      </c>
      <c r="C53" s="67"/>
      <c r="D53" s="63">
        <v>10.0</v>
      </c>
      <c r="E53" s="63">
        <v>16.0</v>
      </c>
      <c r="F53" s="63">
        <v>21.0</v>
      </c>
      <c r="G53" s="64">
        <f t="shared" ref="G53:G54" si="18">(D53+4*E53+F53)/6</f>
        <v>15.83333333</v>
      </c>
      <c r="H53" s="92">
        <f t="shared" ref="H53:H54" si="19">(F53-D53)/6</f>
        <v>1.833333333</v>
      </c>
      <c r="I53" s="66">
        <f>G53*VLOOKUP($C29,$B$73:$J$75,4,0)</f>
        <v>712.5</v>
      </c>
      <c r="J53" s="91"/>
      <c r="K53" s="6"/>
      <c r="L53" s="6"/>
      <c r="M53" s="6"/>
      <c r="N53" s="6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59"/>
      <c r="B54" s="68" t="s">
        <v>32</v>
      </c>
      <c r="C54" s="67"/>
      <c r="D54" s="63">
        <v>29.0</v>
      </c>
      <c r="E54" s="63">
        <v>36.0</v>
      </c>
      <c r="F54" s="63">
        <v>43.0</v>
      </c>
      <c r="G54" s="64">
        <f t="shared" si="18"/>
        <v>36</v>
      </c>
      <c r="H54" s="92">
        <f t="shared" si="19"/>
        <v>2.333333333</v>
      </c>
      <c r="I54" s="66">
        <f>G54*VLOOKUP($C29,$B$73:$J$75,4,0)</f>
        <v>1620</v>
      </c>
      <c r="J54" s="102"/>
      <c r="K54" s="44"/>
      <c r="L54" s="44"/>
      <c r="M54" s="44"/>
      <c r="N54" s="44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59"/>
      <c r="B55" s="71"/>
      <c r="C55" s="67"/>
      <c r="D55" s="63"/>
      <c r="E55" s="63"/>
      <c r="F55" s="63"/>
      <c r="G55" s="64"/>
      <c r="H55" s="92"/>
      <c r="I55" s="66"/>
      <c r="J55" s="102"/>
      <c r="K55" s="44"/>
      <c r="L55" s="44"/>
      <c r="M55" s="44"/>
      <c r="N55" s="44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59"/>
      <c r="B56" s="94" t="s">
        <v>33</v>
      </c>
      <c r="C56" s="95"/>
      <c r="D56" s="95"/>
      <c r="E56" s="95"/>
      <c r="F56" s="95"/>
      <c r="G56" s="95"/>
      <c r="H56" s="95"/>
      <c r="I56" s="66"/>
      <c r="J56" s="96"/>
      <c r="K56" s="44"/>
      <c r="L56" s="44"/>
      <c r="M56" s="44"/>
      <c r="N56" s="44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59"/>
      <c r="B57" s="62" t="s">
        <v>26</v>
      </c>
      <c r="C57" s="67"/>
      <c r="D57" s="63">
        <v>29.0</v>
      </c>
      <c r="E57" s="63">
        <v>40.0</v>
      </c>
      <c r="F57" s="63">
        <v>52.0</v>
      </c>
      <c r="G57" s="64">
        <f t="shared" ref="G57:G58" si="20">(D57+4*E57+F57)/6</f>
        <v>40.16666667</v>
      </c>
      <c r="H57" s="92">
        <f t="shared" ref="H57:H58" si="21">(F57-D57)/6</f>
        <v>3.833333333</v>
      </c>
      <c r="I57" s="66">
        <f>G57*VLOOKUP($C29,$B$73:$J$75,4,0)</f>
        <v>1807.5</v>
      </c>
      <c r="J57" s="102"/>
      <c r="K57" s="44"/>
      <c r="L57" s="44"/>
      <c r="M57" s="44"/>
      <c r="N57" s="44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59"/>
      <c r="B58" s="79" t="s">
        <v>34</v>
      </c>
      <c r="C58" s="103"/>
      <c r="D58" s="104">
        <v>9.0</v>
      </c>
      <c r="E58" s="104">
        <v>13.0</v>
      </c>
      <c r="F58" s="104">
        <v>17.0</v>
      </c>
      <c r="G58" s="64">
        <f t="shared" si="20"/>
        <v>13</v>
      </c>
      <c r="H58" s="92">
        <f t="shared" si="21"/>
        <v>1.333333333</v>
      </c>
      <c r="I58" s="66">
        <f>G58*VLOOKUP($C29,$B$73:$J$75,4,0)</f>
        <v>585</v>
      </c>
      <c r="J58" s="102"/>
      <c r="K58" s="44"/>
      <c r="L58" s="44"/>
      <c r="M58" s="44"/>
      <c r="N58" s="44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83"/>
      <c r="B59" s="85"/>
      <c r="C59" s="85"/>
      <c r="D59" s="105"/>
      <c r="E59" s="105"/>
      <c r="F59" s="105"/>
      <c r="G59" s="105"/>
      <c r="H59" s="86"/>
      <c r="I59" s="66"/>
      <c r="J59" s="106"/>
      <c r="K59" s="6"/>
      <c r="L59" s="6"/>
      <c r="M59" s="6"/>
      <c r="N59" s="6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107">
        <v>3.0</v>
      </c>
      <c r="B60" s="108" t="s">
        <v>39</v>
      </c>
      <c r="C60" s="108"/>
      <c r="D60" s="109">
        <f t="shared" ref="D60:G60" si="22">SUM(D61:D62)</f>
        <v>125</v>
      </c>
      <c r="E60" s="109">
        <f t="shared" si="22"/>
        <v>157.5</v>
      </c>
      <c r="F60" s="109">
        <f t="shared" si="22"/>
        <v>189</v>
      </c>
      <c r="G60" s="109">
        <f t="shared" si="22"/>
        <v>157.3333333</v>
      </c>
      <c r="H60" s="110">
        <f>SQRT(SUMSQ(H61:H62))</f>
        <v>7.691842721</v>
      </c>
      <c r="I60" s="111">
        <f>SUM(I61:I62)</f>
        <v>6608</v>
      </c>
      <c r="J60" s="58">
        <f>SUM(J61:J63)</f>
        <v>448</v>
      </c>
      <c r="K60" s="6"/>
      <c r="L60" s="112"/>
      <c r="M60" s="6"/>
      <c r="N60" s="6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113"/>
      <c r="B61" s="114" t="str">
        <f>"Integration / bugfixing (" &amp; text(L61,"0%") &amp; ")"</f>
        <v>Integration / bugfixing (10%)</v>
      </c>
      <c r="C61" s="115" t="s">
        <v>36</v>
      </c>
      <c r="D61" s="116">
        <f>D29*L61</f>
        <v>50</v>
      </c>
      <c r="E61" s="116">
        <f>E29*L61</f>
        <v>63</v>
      </c>
      <c r="F61" s="116">
        <f>F29*L61</f>
        <v>75.6</v>
      </c>
      <c r="G61" s="117">
        <f t="shared" ref="G61:G62" si="23">(D61+4*E61+F61)/6</f>
        <v>62.93333333</v>
      </c>
      <c r="H61" s="118">
        <f t="shared" ref="H61:H62" si="24">(F61-D61)/6</f>
        <v>4.266666667</v>
      </c>
      <c r="I61" s="119">
        <f t="shared" ref="I61:I62" si="25">G61*VLOOKUP($C61,$B$73:$J$76,4,0)</f>
        <v>2832</v>
      </c>
      <c r="J61" s="120">
        <f t="shared" ref="J61:J62" si="26">H61*VLOOKUP($C61,$B$73:$J$75,4,0)</f>
        <v>192</v>
      </c>
      <c r="K61" s="121"/>
      <c r="L61" s="122">
        <v>0.1</v>
      </c>
      <c r="M61" s="6"/>
      <c r="N61" s="6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113"/>
      <c r="B62" s="114" t="str">
        <f>"Manual QA (" &amp; text(L62,"0%") &amp; ")"</f>
        <v>Manual QA (15%)</v>
      </c>
      <c r="C62" s="115" t="s">
        <v>40</v>
      </c>
      <c r="D62" s="116">
        <f>D29*L62</f>
        <v>75</v>
      </c>
      <c r="E62" s="116">
        <f>E29*L62</f>
        <v>94.5</v>
      </c>
      <c r="F62" s="116">
        <f>F29*L62</f>
        <v>113.4</v>
      </c>
      <c r="G62" s="117">
        <f t="shared" si="23"/>
        <v>94.4</v>
      </c>
      <c r="H62" s="118">
        <f t="shared" si="24"/>
        <v>6.4</v>
      </c>
      <c r="I62" s="119">
        <f t="shared" si="25"/>
        <v>3776</v>
      </c>
      <c r="J62" s="120">
        <f t="shared" si="26"/>
        <v>256</v>
      </c>
      <c r="K62" s="121"/>
      <c r="L62" s="122">
        <v>0.15</v>
      </c>
      <c r="M62" s="6"/>
      <c r="N62" s="6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113"/>
      <c r="B63" s="123"/>
      <c r="C63" s="124"/>
      <c r="D63" s="117"/>
      <c r="E63" s="117"/>
      <c r="F63" s="117"/>
      <c r="G63" s="117"/>
      <c r="H63" s="118"/>
      <c r="I63" s="125"/>
      <c r="J63" s="126"/>
      <c r="K63" s="6"/>
      <c r="L63" s="6"/>
      <c r="M63" s="6"/>
      <c r="N63" s="6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107">
        <v>4.0</v>
      </c>
      <c r="B64" s="108" t="s">
        <v>41</v>
      </c>
      <c r="C64" s="115" t="s">
        <v>36</v>
      </c>
      <c r="D64" s="127">
        <f t="shared" ref="D64:G64" si="27">SUM(D65:D66)</f>
        <v>50</v>
      </c>
      <c r="E64" s="127">
        <f t="shared" si="27"/>
        <v>60</v>
      </c>
      <c r="F64" s="127">
        <f t="shared" si="27"/>
        <v>70</v>
      </c>
      <c r="G64" s="127">
        <f t="shared" si="27"/>
        <v>60</v>
      </c>
      <c r="H64" s="128">
        <f>SQRT(SUMSQ(H65:H66))</f>
        <v>2.357022604</v>
      </c>
      <c r="I64" s="111">
        <f>G64*VLOOKUP($C64,$B$73:$J$76,4,0)</f>
        <v>2700</v>
      </c>
      <c r="J64" s="58">
        <f>H64*VLOOKUP($C64,$B$73:$J$75,4,0)</f>
        <v>106.0660172</v>
      </c>
      <c r="K64" s="6"/>
      <c r="L64" s="6"/>
      <c r="M64" s="6"/>
      <c r="N64" s="6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113"/>
      <c r="B65" s="115" t="s">
        <v>42</v>
      </c>
      <c r="C65" s="124"/>
      <c r="D65" s="129">
        <v>30.0</v>
      </c>
      <c r="E65" s="129">
        <v>35.0</v>
      </c>
      <c r="F65" s="129">
        <v>40.0</v>
      </c>
      <c r="G65" s="117">
        <f t="shared" ref="G65:G66" si="28">(D65+4*E65+F65)/6</f>
        <v>35</v>
      </c>
      <c r="H65" s="118">
        <f t="shared" ref="H65:H66" si="29">(F65-D65)/6</f>
        <v>1.666666667</v>
      </c>
      <c r="I65" s="111"/>
      <c r="J65" s="58"/>
      <c r="K65" s="6"/>
      <c r="L65" s="6"/>
      <c r="M65" s="6"/>
      <c r="N65" s="6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113"/>
      <c r="B66" s="130" t="s">
        <v>43</v>
      </c>
      <c r="C66" s="124"/>
      <c r="D66" s="129">
        <v>20.0</v>
      </c>
      <c r="E66" s="129">
        <v>25.0</v>
      </c>
      <c r="F66" s="129">
        <v>30.0</v>
      </c>
      <c r="G66" s="117">
        <f t="shared" si="28"/>
        <v>25</v>
      </c>
      <c r="H66" s="118">
        <f t="shared" si="29"/>
        <v>1.666666667</v>
      </c>
      <c r="I66" s="111"/>
      <c r="J66" s="58"/>
      <c r="K66" s="6"/>
      <c r="L66" s="6"/>
      <c r="M66" s="6"/>
      <c r="N66" s="6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107">
        <v>5.0</v>
      </c>
      <c r="B67" s="108" t="s">
        <v>44</v>
      </c>
      <c r="C67" s="114" t="s">
        <v>45</v>
      </c>
      <c r="D67" s="127">
        <f t="shared" ref="D67:G67" si="30">SUM(D68:D69)</f>
        <v>75</v>
      </c>
      <c r="E67" s="127">
        <f t="shared" si="30"/>
        <v>94.5</v>
      </c>
      <c r="F67" s="127">
        <f t="shared" si="30"/>
        <v>113.4</v>
      </c>
      <c r="G67" s="127">
        <f t="shared" si="30"/>
        <v>94.4</v>
      </c>
      <c r="H67" s="110">
        <f>SQRT(SUMSQ(H68:H69))</f>
        <v>6.4</v>
      </c>
      <c r="I67" s="111">
        <f>G67*VLOOKUP($C67,$B$73:$J$76,4,0)</f>
        <v>5192</v>
      </c>
      <c r="J67" s="58">
        <f>H67*VLOOKUP($C67,$B$73:$J$75,4,0)</f>
        <v>352</v>
      </c>
      <c r="K67" s="6"/>
      <c r="L67" s="112"/>
      <c r="M67" s="6"/>
      <c r="N67" s="6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113"/>
      <c r="B68" s="115" t="str">
        <f>"Management &amp; communication (" &amp; text($L$68,"0%") &amp; ")"</f>
        <v>Management &amp; communication (15%)</v>
      </c>
      <c r="C68" s="115" t="s">
        <v>46</v>
      </c>
      <c r="D68" s="116">
        <f>D29*L62</f>
        <v>75</v>
      </c>
      <c r="E68" s="116">
        <f>E29*L62</f>
        <v>94.5</v>
      </c>
      <c r="F68" s="116">
        <f>F29*L62</f>
        <v>113.4</v>
      </c>
      <c r="G68" s="117">
        <f>(D68+4*E68+F68)/6</f>
        <v>94.4</v>
      </c>
      <c r="H68" s="118">
        <f>(F68-D68)/6</f>
        <v>6.4</v>
      </c>
      <c r="I68" s="125"/>
      <c r="J68" s="126"/>
      <c r="K68" s="121"/>
      <c r="L68" s="131">
        <v>0.15</v>
      </c>
      <c r="M68" s="6"/>
      <c r="N68" s="6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113"/>
      <c r="B69" s="123"/>
      <c r="C69" s="124"/>
      <c r="D69" s="123"/>
      <c r="E69" s="132"/>
      <c r="F69" s="132"/>
      <c r="G69" s="132"/>
      <c r="H69" s="118"/>
      <c r="I69" s="125"/>
      <c r="J69" s="133"/>
      <c r="K69" s="6"/>
      <c r="L69" s="6"/>
      <c r="M69" s="6"/>
      <c r="N69" s="6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134" t="s">
        <v>47</v>
      </c>
      <c r="B70" s="41"/>
      <c r="C70" s="135"/>
      <c r="D70" s="136">
        <f t="shared" ref="D70:F70" si="31">sum(D29,D60,D64,D67)</f>
        <v>750</v>
      </c>
      <c r="E70" s="136">
        <f t="shared" si="31"/>
        <v>942</v>
      </c>
      <c r="F70" s="136">
        <f t="shared" si="31"/>
        <v>1128.4</v>
      </c>
      <c r="G70" s="136">
        <f>SUM(G29,G60,G64,G67,G14)</f>
        <v>1160.566667</v>
      </c>
      <c r="H70" s="136">
        <f>sum(H29,H60,H64,H67)</f>
        <v>29.39533632</v>
      </c>
      <c r="I70" s="137">
        <f>sum(I14,I29,I60,I64,I67)</f>
        <v>52697.5</v>
      </c>
      <c r="J70" s="138">
        <f>sum(J29,J60,J64,J67)</f>
        <v>1488.657212</v>
      </c>
      <c r="K70" s="6"/>
      <c r="L70" s="6"/>
      <c r="M70" s="6"/>
      <c r="N70" s="6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4"/>
      <c r="B71" s="44"/>
      <c r="C71" s="44"/>
      <c r="D71" s="44"/>
      <c r="E71" s="44"/>
      <c r="F71" s="44"/>
      <c r="G71" s="44"/>
      <c r="H71" s="44"/>
      <c r="I71" s="44"/>
      <c r="J71" s="45"/>
      <c r="K71" s="44"/>
      <c r="L71" s="44"/>
      <c r="M71" s="44"/>
      <c r="N71" s="44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139" t="s">
        <v>17</v>
      </c>
      <c r="B72" s="140"/>
      <c r="C72" s="48" t="s">
        <v>48</v>
      </c>
      <c r="D72" s="9"/>
      <c r="E72" s="48" t="s">
        <v>49</v>
      </c>
      <c r="F72" s="11"/>
      <c r="G72" s="11"/>
      <c r="H72" s="11"/>
      <c r="I72" s="11"/>
      <c r="J72" s="13"/>
      <c r="K72" s="6"/>
      <c r="L72" s="141"/>
      <c r="M72" s="6"/>
      <c r="N72" s="6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142"/>
      <c r="B73" s="143" t="s">
        <v>45</v>
      </c>
      <c r="C73" s="144" t="s">
        <v>50</v>
      </c>
      <c r="D73" s="17"/>
      <c r="E73" s="145">
        <v>55.0</v>
      </c>
      <c r="F73" s="146"/>
      <c r="G73" s="146"/>
      <c r="H73" s="146"/>
      <c r="I73" s="146"/>
      <c r="J73" s="147"/>
      <c r="K73" s="6"/>
      <c r="L73" s="141"/>
      <c r="M73" s="6"/>
      <c r="N73" s="6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142"/>
      <c r="B74" s="143" t="s">
        <v>36</v>
      </c>
      <c r="C74" s="148" t="s">
        <v>50</v>
      </c>
      <c r="D74" s="17"/>
      <c r="E74" s="149">
        <v>45.0</v>
      </c>
      <c r="F74" s="19"/>
      <c r="G74" s="19"/>
      <c r="H74" s="19"/>
      <c r="I74" s="19"/>
      <c r="J74" s="20"/>
      <c r="K74" s="6"/>
      <c r="L74" s="150"/>
      <c r="M74" s="6"/>
      <c r="N74" s="6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151"/>
      <c r="B75" s="152" t="s">
        <v>40</v>
      </c>
      <c r="C75" s="153" t="s">
        <v>50</v>
      </c>
      <c r="D75" s="154"/>
      <c r="E75" s="155">
        <v>40.0</v>
      </c>
      <c r="F75" s="156"/>
      <c r="G75" s="156"/>
      <c r="H75" s="156"/>
      <c r="I75" s="156"/>
      <c r="J75" s="157"/>
      <c r="K75" s="6"/>
      <c r="L75" s="141"/>
      <c r="M75" s="6"/>
      <c r="N75" s="6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158"/>
      <c r="B76" s="159" t="s">
        <v>25</v>
      </c>
      <c r="C76" s="160" t="s">
        <v>50</v>
      </c>
      <c r="D76" s="39"/>
      <c r="E76" s="161">
        <v>45.0</v>
      </c>
      <c r="F76" s="41"/>
      <c r="G76" s="41"/>
      <c r="H76" s="41"/>
      <c r="I76" s="41"/>
      <c r="J76" s="43"/>
      <c r="K76" s="6"/>
      <c r="L76" s="6"/>
      <c r="M76" s="6"/>
      <c r="N76" s="6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4"/>
      <c r="B77" s="44"/>
      <c r="C77" s="44"/>
      <c r="D77" s="44"/>
      <c r="E77" s="44"/>
      <c r="F77" s="44"/>
      <c r="G77" s="44"/>
      <c r="H77" s="44"/>
      <c r="I77" s="44"/>
      <c r="J77" s="45"/>
      <c r="K77" s="44"/>
      <c r="L77" s="44"/>
      <c r="M77" s="44"/>
      <c r="N77" s="44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15"/>
      <c r="K78" s="6"/>
      <c r="L78" s="44"/>
      <c r="M78" s="6"/>
      <c r="N78" s="6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K79" s="6"/>
      <c r="L79" s="44"/>
      <c r="M79" s="6"/>
      <c r="N79" s="6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K80" s="6"/>
      <c r="L80" s="44"/>
      <c r="M80" s="6"/>
      <c r="N80" s="6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K81" s="6"/>
      <c r="L81" s="44"/>
      <c r="M81" s="6"/>
      <c r="N81" s="6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K82" s="6"/>
      <c r="L82" s="44"/>
      <c r="M82" s="6"/>
      <c r="N82" s="6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15"/>
      <c r="K83" s="6"/>
      <c r="L83" s="6"/>
      <c r="M83" s="6"/>
      <c r="N83" s="6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K84" s="6"/>
      <c r="L84" s="6"/>
      <c r="M84" s="6"/>
      <c r="N84" s="6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K85" s="6"/>
      <c r="L85" s="6"/>
      <c r="M85" s="6"/>
      <c r="N85" s="6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K86" s="6"/>
      <c r="L86" s="6"/>
      <c r="M86" s="6"/>
      <c r="N86" s="6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</sheetData>
  <mergeCells count="53">
    <mergeCell ref="I9:J9"/>
    <mergeCell ref="C10:E10"/>
    <mergeCell ref="F10:J10"/>
    <mergeCell ref="A1:B1"/>
    <mergeCell ref="A2:B2"/>
    <mergeCell ref="F2:J2"/>
    <mergeCell ref="A3:B3"/>
    <mergeCell ref="C3:J3"/>
    <mergeCell ref="A4:B10"/>
    <mergeCell ref="I5:J5"/>
    <mergeCell ref="A12:A13"/>
    <mergeCell ref="B12:B13"/>
    <mergeCell ref="C12:C13"/>
    <mergeCell ref="D12:G12"/>
    <mergeCell ref="I12:I13"/>
    <mergeCell ref="J12:J13"/>
    <mergeCell ref="B28:J28"/>
    <mergeCell ref="C74:D74"/>
    <mergeCell ref="C75:D75"/>
    <mergeCell ref="C76:D76"/>
    <mergeCell ref="A70:C70"/>
    <mergeCell ref="A72:B72"/>
    <mergeCell ref="C72:D72"/>
    <mergeCell ref="E72:J72"/>
    <mergeCell ref="C73:D73"/>
    <mergeCell ref="E73:J73"/>
    <mergeCell ref="E74:J74"/>
    <mergeCell ref="A83:J83"/>
    <mergeCell ref="A84:J84"/>
    <mergeCell ref="A85:J85"/>
    <mergeCell ref="A86:J86"/>
    <mergeCell ref="E75:J75"/>
    <mergeCell ref="E76:J76"/>
    <mergeCell ref="A78:J78"/>
    <mergeCell ref="A79:J79"/>
    <mergeCell ref="A80:J80"/>
    <mergeCell ref="A81:J81"/>
    <mergeCell ref="A82:J82"/>
    <mergeCell ref="C4:E4"/>
    <mergeCell ref="F4:J4"/>
    <mergeCell ref="C5:E5"/>
    <mergeCell ref="F5:H5"/>
    <mergeCell ref="C2:E2"/>
    <mergeCell ref="C6:E6"/>
    <mergeCell ref="F6:H6"/>
    <mergeCell ref="I6:J6"/>
    <mergeCell ref="C7:E7"/>
    <mergeCell ref="F7:H7"/>
    <mergeCell ref="I7:J7"/>
    <mergeCell ref="C8:E8"/>
    <mergeCell ref="F8:J8"/>
    <mergeCell ref="C9:E9"/>
    <mergeCell ref="F9:H9"/>
  </mergeCells>
  <drawing r:id="rId2"/>
  <legacyDrawing r:id="rId3"/>
</worksheet>
</file>