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6a87f973740ffce/Documents/Personal/Models/"/>
    </mc:Choice>
  </mc:AlternateContent>
  <xr:revisionPtr revIDLastSave="1284" documentId="8_{01B29E05-4074-C24F-9F5A-60F75487FDC6}" xr6:coauthVersionLast="47" xr6:coauthVersionMax="47" xr10:uidLastSave="{DF5DE45C-2FF6-D440-A319-36EC7691FB0C}"/>
  <bookViews>
    <workbookView xWindow="1160" yWindow="860" windowWidth="33040" windowHeight="21380" activeTab="1" xr2:uid="{E36FCDD1-B29B-B64E-8BC8-95300EC8866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4" i="2" l="1"/>
  <c r="AG24" i="2"/>
  <c r="AH24" i="2"/>
  <c r="AI24" i="2" s="1"/>
  <c r="AJ24" i="2" s="1"/>
  <c r="AF24" i="2"/>
  <c r="AK45" i="2"/>
  <c r="AA23" i="2"/>
  <c r="AB23" i="2"/>
  <c r="AC23" i="2"/>
  <c r="AD23" i="2"/>
  <c r="AE23" i="2"/>
  <c r="AA24" i="2"/>
  <c r="AB24" i="2"/>
  <c r="AC24" i="2"/>
  <c r="AD24" i="2"/>
  <c r="AE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C24" i="2"/>
  <c r="AE22" i="2"/>
  <c r="AD22" i="2"/>
  <c r="AC22" i="2"/>
  <c r="AB22" i="2"/>
  <c r="AA22" i="2"/>
  <c r="AH45" i="2"/>
  <c r="G26" i="2"/>
  <c r="G29" i="2"/>
  <c r="G30" i="2"/>
  <c r="H26" i="2"/>
  <c r="I26" i="2"/>
  <c r="H29" i="2"/>
  <c r="I29" i="2"/>
  <c r="H30" i="2"/>
  <c r="I30" i="2"/>
  <c r="J26" i="2"/>
  <c r="K26" i="2"/>
  <c r="L26" i="2"/>
  <c r="J29" i="2"/>
  <c r="K29" i="2"/>
  <c r="L29" i="2"/>
  <c r="J30" i="2"/>
  <c r="K30" i="2"/>
  <c r="L30" i="2"/>
  <c r="M26" i="2"/>
  <c r="M29" i="2"/>
  <c r="M30" i="2"/>
  <c r="O26" i="2"/>
  <c r="P26" i="2"/>
  <c r="N29" i="2"/>
  <c r="O29" i="2"/>
  <c r="P29" i="2"/>
  <c r="N30" i="2"/>
  <c r="O30" i="2"/>
  <c r="P30" i="2"/>
  <c r="Q26" i="2"/>
  <c r="S26" i="2"/>
  <c r="T26" i="2"/>
  <c r="U26" i="2"/>
  <c r="Q29" i="2"/>
  <c r="R29" i="2"/>
  <c r="S29" i="2"/>
  <c r="T29" i="2"/>
  <c r="U29" i="2"/>
  <c r="V29" i="2"/>
  <c r="Q30" i="2"/>
  <c r="R30" i="2"/>
  <c r="S30" i="2"/>
  <c r="T30" i="2"/>
  <c r="U30" i="2"/>
  <c r="V30" i="2"/>
  <c r="W26" i="2"/>
  <c r="C36" i="2"/>
  <c r="D36" i="2"/>
  <c r="E36" i="2"/>
  <c r="F36" i="2"/>
  <c r="G36" i="2"/>
  <c r="H36" i="2"/>
  <c r="I36" i="2"/>
  <c r="J36" i="2"/>
  <c r="AA4" i="2"/>
  <c r="AE4" i="2"/>
  <c r="AE3" i="2"/>
  <c r="AD4" i="2"/>
  <c r="AD3" i="2"/>
  <c r="AC4" i="2"/>
  <c r="AC3" i="2"/>
  <c r="AB4" i="2"/>
  <c r="AB6" i="2"/>
  <c r="AB7" i="2"/>
  <c r="AB9" i="2"/>
  <c r="AB10" i="2"/>
  <c r="AB11" i="2"/>
  <c r="AB16" i="2"/>
  <c r="AB18" i="2"/>
  <c r="AB3" i="2"/>
  <c r="AA7" i="2"/>
  <c r="AA9" i="2"/>
  <c r="AA10" i="2"/>
  <c r="AA11" i="2"/>
  <c r="AA16" i="2"/>
  <c r="AA6" i="2"/>
  <c r="AA3" i="2"/>
  <c r="J15" i="2"/>
  <c r="J12" i="2"/>
  <c r="J13" i="2" s="1"/>
  <c r="F18" i="2"/>
  <c r="AA18" i="2" s="1"/>
  <c r="F15" i="2"/>
  <c r="F12" i="2"/>
  <c r="I15" i="2"/>
  <c r="I12" i="2"/>
  <c r="I13" i="2" s="1"/>
  <c r="I14" i="2" s="1"/>
  <c r="I34" i="2" s="1"/>
  <c r="E15" i="2"/>
  <c r="E12" i="2"/>
  <c r="E13" i="2" s="1"/>
  <c r="E14" i="2" s="1"/>
  <c r="E34" i="2" s="1"/>
  <c r="H15" i="2"/>
  <c r="D15" i="2"/>
  <c r="D12" i="2"/>
  <c r="D13" i="2" s="1"/>
  <c r="D14" i="2" s="1"/>
  <c r="D34" i="2" s="1"/>
  <c r="G15" i="2"/>
  <c r="G12" i="2"/>
  <c r="G13" i="2" s="1"/>
  <c r="G14" i="2" s="1"/>
  <c r="G34" i="2" s="1"/>
  <c r="C15" i="2"/>
  <c r="H13" i="2"/>
  <c r="H14" i="2" s="1"/>
  <c r="H34" i="2" s="1"/>
  <c r="I8" i="2"/>
  <c r="I33" i="2" s="1"/>
  <c r="H8" i="2"/>
  <c r="H33" i="2" s="1"/>
  <c r="G8" i="2"/>
  <c r="G33" i="2" s="1"/>
  <c r="J5" i="2"/>
  <c r="I5" i="2"/>
  <c r="H5" i="2"/>
  <c r="G5" i="2"/>
  <c r="G31" i="2" s="1"/>
  <c r="M36" i="2"/>
  <c r="L36" i="2"/>
  <c r="K36" i="2"/>
  <c r="N18" i="2"/>
  <c r="AC18" i="2" s="1"/>
  <c r="N16" i="2"/>
  <c r="AC16" i="2" s="1"/>
  <c r="N15" i="2"/>
  <c r="M15" i="2"/>
  <c r="L15" i="2"/>
  <c r="AC15" i="2" s="1"/>
  <c r="M13" i="2"/>
  <c r="M14" i="2" s="1"/>
  <c r="M34" i="2" s="1"/>
  <c r="K13" i="2"/>
  <c r="K14" i="2" s="1"/>
  <c r="N12" i="2"/>
  <c r="L12" i="2"/>
  <c r="L13" i="2" s="1"/>
  <c r="L14" i="2" s="1"/>
  <c r="N11" i="2"/>
  <c r="AC11" i="2" s="1"/>
  <c r="N10" i="2"/>
  <c r="AC10" i="2" s="1"/>
  <c r="N9" i="2"/>
  <c r="AC9" i="2" s="1"/>
  <c r="M8" i="2"/>
  <c r="M33" i="2" s="1"/>
  <c r="L8" i="2"/>
  <c r="L33" i="2" s="1"/>
  <c r="K8" i="2"/>
  <c r="K33" i="2" s="1"/>
  <c r="N7" i="2"/>
  <c r="AC7" i="2" s="1"/>
  <c r="N6" i="2"/>
  <c r="N36" i="2" s="1"/>
  <c r="N5" i="2"/>
  <c r="N31" i="2" s="1"/>
  <c r="M5" i="2"/>
  <c r="M31" i="2" s="1"/>
  <c r="L5" i="2"/>
  <c r="L31" i="2" s="1"/>
  <c r="K5" i="2"/>
  <c r="K31" i="2" s="1"/>
  <c r="O36" i="2"/>
  <c r="P36" i="2"/>
  <c r="Q36" i="2"/>
  <c r="S36" i="2"/>
  <c r="T36" i="2"/>
  <c r="U36" i="2"/>
  <c r="W36" i="2"/>
  <c r="AD2" i="2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W29" i="2"/>
  <c r="W30" i="2"/>
  <c r="D5" i="2"/>
  <c r="E5" i="2"/>
  <c r="F5" i="2"/>
  <c r="O5" i="2"/>
  <c r="P5" i="2"/>
  <c r="P31" i="2" s="1"/>
  <c r="Q5" i="2"/>
  <c r="Q31" i="2" s="1"/>
  <c r="R5" i="2"/>
  <c r="S5" i="2"/>
  <c r="T5" i="2"/>
  <c r="U5" i="2"/>
  <c r="V5" i="2"/>
  <c r="W5" i="2"/>
  <c r="C5" i="2"/>
  <c r="C13" i="2"/>
  <c r="C14" i="2" s="1"/>
  <c r="C34" i="2" s="1"/>
  <c r="E8" i="2"/>
  <c r="E33" i="2" s="1"/>
  <c r="D8" i="2"/>
  <c r="D33" i="2" s="1"/>
  <c r="C8" i="2"/>
  <c r="C33" i="2" s="1"/>
  <c r="O13" i="2"/>
  <c r="O14" i="2" s="1"/>
  <c r="O17" i="2" s="1"/>
  <c r="O19" i="2" s="1"/>
  <c r="O8" i="2"/>
  <c r="O33" i="2" s="1"/>
  <c r="P13" i="2"/>
  <c r="P14" i="2" s="1"/>
  <c r="P17" i="2" s="1"/>
  <c r="P19" i="2" s="1"/>
  <c r="P38" i="2" s="1"/>
  <c r="P8" i="2"/>
  <c r="P33" i="2" s="1"/>
  <c r="T13" i="2"/>
  <c r="T14" i="2" s="1"/>
  <c r="T17" i="2" s="1"/>
  <c r="T19" i="2" s="1"/>
  <c r="T35" i="2" s="1"/>
  <c r="T8" i="2"/>
  <c r="T33" i="2" s="1"/>
  <c r="R18" i="2"/>
  <c r="AD18" i="2" s="1"/>
  <c r="R16" i="2"/>
  <c r="AD16" i="2" s="1"/>
  <c r="R15" i="2"/>
  <c r="AD15" i="2" s="1"/>
  <c r="R12" i="2"/>
  <c r="AD12" i="2" s="1"/>
  <c r="R11" i="2"/>
  <c r="AD11" i="2" s="1"/>
  <c r="R10" i="2"/>
  <c r="AD10" i="2" s="1"/>
  <c r="R9" i="2"/>
  <c r="AD9" i="2" s="1"/>
  <c r="R7" i="2"/>
  <c r="AD7" i="2" s="1"/>
  <c r="R6" i="2"/>
  <c r="AD6" i="2" s="1"/>
  <c r="V16" i="2"/>
  <c r="AE16" i="2" s="1"/>
  <c r="V18" i="2"/>
  <c r="AE18" i="2" s="1"/>
  <c r="V15" i="2"/>
  <c r="AE15" i="2" s="1"/>
  <c r="V12" i="2"/>
  <c r="AE12" i="2" s="1"/>
  <c r="V11" i="2"/>
  <c r="AE11" i="2" s="1"/>
  <c r="V10" i="2"/>
  <c r="AE10" i="2" s="1"/>
  <c r="V9" i="2"/>
  <c r="AE9" i="2" s="1"/>
  <c r="V7" i="2"/>
  <c r="AE7" i="2" s="1"/>
  <c r="V6" i="2"/>
  <c r="AE6" i="2" s="1"/>
  <c r="Q13" i="2"/>
  <c r="Q14" i="2" s="1"/>
  <c r="Q17" i="2" s="1"/>
  <c r="Q8" i="2"/>
  <c r="Q33" i="2" s="1"/>
  <c r="U8" i="2"/>
  <c r="U33" i="2" s="1"/>
  <c r="U13" i="2"/>
  <c r="U14" i="2" s="1"/>
  <c r="U17" i="2" s="1"/>
  <c r="W13" i="2"/>
  <c r="W14" i="2" s="1"/>
  <c r="W34" i="2" s="1"/>
  <c r="W8" i="2"/>
  <c r="W33" i="2" s="1"/>
  <c r="S13" i="2"/>
  <c r="S14" i="2" s="1"/>
  <c r="S17" i="2" s="1"/>
  <c r="S8" i="2"/>
  <c r="S33" i="2" s="1"/>
  <c r="C45" i="1"/>
  <c r="E44" i="1"/>
  <c r="E43" i="1"/>
  <c r="E42" i="1"/>
  <c r="E41" i="1"/>
  <c r="C37" i="1"/>
  <c r="D45" i="1"/>
  <c r="E34" i="1"/>
  <c r="E35" i="1"/>
  <c r="E36" i="1"/>
  <c r="E33" i="1"/>
  <c r="D37" i="1"/>
  <c r="E37" i="1" s="1"/>
  <c r="D29" i="1"/>
  <c r="C29" i="1"/>
  <c r="E28" i="1"/>
  <c r="E27" i="1"/>
  <c r="AL24" i="2" l="1"/>
  <c r="AM24" i="2" s="1"/>
  <c r="AN24" i="2" s="1"/>
  <c r="AO24" i="2" s="1"/>
  <c r="AP24" i="2" s="1"/>
  <c r="AQ24" i="2" s="1"/>
  <c r="AR24" i="2" s="1"/>
  <c r="AS24" i="2" s="1"/>
  <c r="AT24" i="2" s="1"/>
  <c r="AU24" i="2" s="1"/>
  <c r="AD36" i="2"/>
  <c r="AA5" i="2"/>
  <c r="AD30" i="2"/>
  <c r="I31" i="2"/>
  <c r="AB29" i="2"/>
  <c r="AD5" i="2"/>
  <c r="AE26" i="2"/>
  <c r="AE30" i="2"/>
  <c r="AE29" i="2"/>
  <c r="AB36" i="2"/>
  <c r="AB26" i="2"/>
  <c r="AB5" i="2"/>
  <c r="AB31" i="2" s="1"/>
  <c r="AE5" i="2"/>
  <c r="AC30" i="2"/>
  <c r="AB30" i="2"/>
  <c r="AC29" i="2"/>
  <c r="H31" i="2"/>
  <c r="AD29" i="2"/>
  <c r="V31" i="2"/>
  <c r="AA36" i="2"/>
  <c r="U31" i="2"/>
  <c r="AE36" i="2"/>
  <c r="R31" i="2"/>
  <c r="AC5" i="2"/>
  <c r="J31" i="2"/>
  <c r="E45" i="1"/>
  <c r="T31" i="2"/>
  <c r="S31" i="2"/>
  <c r="AA15" i="2"/>
  <c r="V26" i="2"/>
  <c r="T27" i="2"/>
  <c r="R26" i="2"/>
  <c r="N26" i="2"/>
  <c r="AB15" i="2"/>
  <c r="O31" i="2"/>
  <c r="AB13" i="2"/>
  <c r="AC6" i="2"/>
  <c r="H17" i="2"/>
  <c r="H19" i="2" s="1"/>
  <c r="AB12" i="2"/>
  <c r="AC12" i="2"/>
  <c r="AA12" i="2"/>
  <c r="C17" i="2"/>
  <c r="G17" i="2"/>
  <c r="I17" i="2"/>
  <c r="I19" i="2" s="1"/>
  <c r="J14" i="2"/>
  <c r="J8" i="2"/>
  <c r="R36" i="2"/>
  <c r="W31" i="2"/>
  <c r="N13" i="2"/>
  <c r="N14" i="2" s="1"/>
  <c r="AC14" i="2" s="1"/>
  <c r="L34" i="2"/>
  <c r="L17" i="2"/>
  <c r="L19" i="2" s="1"/>
  <c r="P27" i="2" s="1"/>
  <c r="K17" i="2"/>
  <c r="K34" i="2"/>
  <c r="M17" i="2"/>
  <c r="M19" i="2" s="1"/>
  <c r="N8" i="2"/>
  <c r="N33" i="2" s="1"/>
  <c r="V36" i="2"/>
  <c r="P35" i="2"/>
  <c r="T34" i="2"/>
  <c r="T38" i="2"/>
  <c r="Q34" i="2"/>
  <c r="E17" i="2"/>
  <c r="E19" i="2" s="1"/>
  <c r="P34" i="2"/>
  <c r="D17" i="2"/>
  <c r="O38" i="2"/>
  <c r="O35" i="2"/>
  <c r="F13" i="2"/>
  <c r="F14" i="2" s="1"/>
  <c r="S34" i="2"/>
  <c r="O34" i="2"/>
  <c r="U34" i="2"/>
  <c r="F8" i="2"/>
  <c r="R8" i="2"/>
  <c r="R33" i="2" s="1"/>
  <c r="V8" i="2"/>
  <c r="V33" i="2" s="1"/>
  <c r="V13" i="2"/>
  <c r="V14" i="2" s="1"/>
  <c r="AE14" i="2" s="1"/>
  <c r="AE34" i="2" s="1"/>
  <c r="R13" i="2"/>
  <c r="R14" i="2" s="1"/>
  <c r="AD14" i="2" s="1"/>
  <c r="AD34" i="2" s="1"/>
  <c r="W17" i="2"/>
  <c r="W19" i="2" s="1"/>
  <c r="S19" i="2"/>
  <c r="S27" i="2" s="1"/>
  <c r="Q19" i="2"/>
  <c r="U19" i="2"/>
  <c r="U27" i="2" s="1"/>
  <c r="AK43" i="2" l="1"/>
  <c r="AK44" i="2" s="1"/>
  <c r="AK46" i="2" s="1"/>
  <c r="AC31" i="2"/>
  <c r="M27" i="2"/>
  <c r="AE31" i="2"/>
  <c r="AD13" i="2"/>
  <c r="AD31" i="2"/>
  <c r="Q27" i="2"/>
  <c r="AC36" i="2"/>
  <c r="AC26" i="2"/>
  <c r="AC34" i="2"/>
  <c r="AD26" i="2"/>
  <c r="H38" i="2"/>
  <c r="H35" i="2"/>
  <c r="AA8" i="2"/>
  <c r="AA33" i="2" s="1"/>
  <c r="F33" i="2"/>
  <c r="AB8" i="2"/>
  <c r="AB33" i="2" s="1"/>
  <c r="J33" i="2"/>
  <c r="AA14" i="2"/>
  <c r="AA34" i="2" s="1"/>
  <c r="F34" i="2"/>
  <c r="AB14" i="2"/>
  <c r="AB34" i="2" s="1"/>
  <c r="J34" i="2"/>
  <c r="AA13" i="2"/>
  <c r="L27" i="2"/>
  <c r="AE8" i="2"/>
  <c r="AE33" i="2" s="1"/>
  <c r="E38" i="2"/>
  <c r="E35" i="2"/>
  <c r="I27" i="2"/>
  <c r="I38" i="2"/>
  <c r="I35" i="2"/>
  <c r="K19" i="2"/>
  <c r="K38" i="2" s="1"/>
  <c r="AE13" i="2"/>
  <c r="AD8" i="2"/>
  <c r="AD33" i="2" s="1"/>
  <c r="C19" i="2"/>
  <c r="AC8" i="2"/>
  <c r="AC33" i="2" s="1"/>
  <c r="G19" i="2"/>
  <c r="AC13" i="2"/>
  <c r="J17" i="2"/>
  <c r="J19" i="2" s="1"/>
  <c r="N34" i="2"/>
  <c r="N17" i="2"/>
  <c r="N19" i="2" s="1"/>
  <c r="M38" i="2"/>
  <c r="M35" i="2"/>
  <c r="L35" i="2"/>
  <c r="L38" i="2"/>
  <c r="D19" i="2"/>
  <c r="H27" i="2" s="1"/>
  <c r="F17" i="2"/>
  <c r="F19" i="2" s="1"/>
  <c r="U35" i="2"/>
  <c r="U38" i="2"/>
  <c r="Q35" i="2"/>
  <c r="Q38" i="2"/>
  <c r="S35" i="2"/>
  <c r="S38" i="2"/>
  <c r="W38" i="2"/>
  <c r="R17" i="2"/>
  <c r="AD17" i="2" s="1"/>
  <c r="R34" i="2"/>
  <c r="V17" i="2"/>
  <c r="AE17" i="2" s="1"/>
  <c r="V34" i="2"/>
  <c r="W35" i="2"/>
  <c r="W27" i="2"/>
  <c r="K27" i="2" l="1"/>
  <c r="O27" i="2"/>
  <c r="K35" i="2"/>
  <c r="F38" i="2"/>
  <c r="F35" i="2"/>
  <c r="AA17" i="2"/>
  <c r="G27" i="2"/>
  <c r="G38" i="2"/>
  <c r="G35" i="2"/>
  <c r="D38" i="2"/>
  <c r="D35" i="2"/>
  <c r="C38" i="2"/>
  <c r="C35" i="2"/>
  <c r="J38" i="2"/>
  <c r="J35" i="2"/>
  <c r="J27" i="2"/>
  <c r="N27" i="2"/>
  <c r="AC19" i="2"/>
  <c r="AA19" i="2"/>
  <c r="AB19" i="2"/>
  <c r="AC17" i="2"/>
  <c r="AB17" i="2"/>
  <c r="N35" i="2"/>
  <c r="N38" i="2"/>
  <c r="R19" i="2"/>
  <c r="V19" i="2"/>
  <c r="AA38" i="2" l="1"/>
  <c r="AA35" i="2"/>
  <c r="AC35" i="2"/>
  <c r="AC38" i="2"/>
  <c r="AC27" i="2"/>
  <c r="AB27" i="2"/>
  <c r="AB35" i="2"/>
  <c r="AB38" i="2"/>
  <c r="AD19" i="2"/>
  <c r="R27" i="2"/>
  <c r="AE19" i="2"/>
  <c r="V27" i="2"/>
  <c r="R38" i="2"/>
  <c r="R35" i="2"/>
  <c r="V35" i="2"/>
  <c r="V38" i="2"/>
  <c r="AE38" i="2" l="1"/>
  <c r="AE35" i="2"/>
  <c r="AF19" i="2"/>
  <c r="AE27" i="2"/>
  <c r="AD35" i="2"/>
  <c r="AD27" i="2"/>
  <c r="AD38" i="2"/>
  <c r="J6" i="1"/>
  <c r="J4" i="1"/>
  <c r="J5" i="1" s="1"/>
  <c r="AG19" i="2" l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AC39" i="2"/>
  <c r="AD39" i="2"/>
  <c r="AB39" i="2"/>
  <c r="AA39" i="2"/>
  <c r="AE39" i="2"/>
  <c r="T39" i="2"/>
  <c r="O39" i="2"/>
  <c r="P39" i="2"/>
  <c r="E39" i="2"/>
  <c r="M39" i="2"/>
  <c r="L39" i="2"/>
  <c r="H39" i="2"/>
  <c r="U39" i="2"/>
  <c r="S39" i="2"/>
  <c r="I39" i="2"/>
  <c r="Q39" i="2"/>
  <c r="W39" i="2"/>
  <c r="V39" i="2"/>
  <c r="D39" i="2"/>
  <c r="N39" i="2"/>
  <c r="G39" i="2"/>
  <c r="J39" i="2"/>
  <c r="K39" i="2"/>
  <c r="F39" i="2"/>
  <c r="C39" i="2"/>
  <c r="R39" i="2"/>
  <c r="J8" i="1"/>
  <c r="AH43" i="2" l="1"/>
  <c r="AH44" i="2" s="1"/>
  <c r="AH4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tc={24CCC076-5D4C-2A4F-9C4F-AFCAB3F9A7EE}</author>
  </authors>
  <commentList>
    <comment ref="Q18" authorId="0" shapeId="0" xr:uid="{24CCC076-5D4C-2A4F-9C4F-AFCAB3F9A7E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Net income in Q3 2024 was $1.4 billion, which was down compared to net income of $4.4 billion in Q3 2023, 
primarily due to the prior year’s valuation allowance release of our U.S. deferred tax assets of $2.8 billion, 
and the recognition of non-cash tax expense related to the utilization of some of those assets in the 
current year. 
</t>
      </text>
    </comment>
  </commentList>
</comments>
</file>

<file path=xl/sharedStrings.xml><?xml version="1.0" encoding="utf-8"?>
<sst xmlns="http://schemas.openxmlformats.org/spreadsheetml/2006/main" count="114" uniqueCount="96">
  <si>
    <t xml:space="preserve">Price </t>
  </si>
  <si>
    <t>Shares</t>
  </si>
  <si>
    <t>MC</t>
  </si>
  <si>
    <t>Cash</t>
  </si>
  <si>
    <t>Debt</t>
  </si>
  <si>
    <t>EV</t>
  </si>
  <si>
    <t>ABNB</t>
  </si>
  <si>
    <t>NASDAQ</t>
  </si>
  <si>
    <t>Q125</t>
  </si>
  <si>
    <t>Airbnb, Inc.</t>
  </si>
  <si>
    <t>Founded 2008</t>
  </si>
  <si>
    <t xml:space="preserve">IPO 2020 </t>
  </si>
  <si>
    <t>Platform for Hosts</t>
  </si>
  <si>
    <t>AirBNB is a global marketplace where hosts offer guests stays and experiences</t>
  </si>
  <si>
    <t>Sector: Consumer Cyclical (hospitality and entertainment)</t>
  </si>
  <si>
    <t>We partner with hosts throughout the process of setting up their listing</t>
  </si>
  <si>
    <t>and provide them with a robust suite of tools to successfully manage their listings.</t>
  </si>
  <si>
    <t>Platform for Guests</t>
  </si>
  <si>
    <t xml:space="preserve">Our website and mobile app provide our guests with an engaging way to </t>
  </si>
  <si>
    <t>explore and easily book a wide variety of unique homes and experiences.</t>
  </si>
  <si>
    <t>System of Trust</t>
  </si>
  <si>
    <t>AirCover for Hosts includes, among other features, guest property damage protection</t>
  </si>
  <si>
    <t>host and guest reviews, account protection, risk scoring, secure payments, [...] urgent safety line</t>
  </si>
  <si>
    <t>Seasonality</t>
  </si>
  <si>
    <t>First, second, and third quarters have higher Nights and Experiences Booked than the fourth quarter.</t>
  </si>
  <si>
    <t>Nights and Experiences Booked</t>
  </si>
  <si>
    <t>Gross Booking Value</t>
  </si>
  <si>
    <t>Gross Booking Value (GBV)</t>
  </si>
  <si>
    <t>y/y</t>
  </si>
  <si>
    <t xml:space="preserve">Key Business Metrics </t>
  </si>
  <si>
    <t>North America</t>
  </si>
  <si>
    <t>EMEA</t>
  </si>
  <si>
    <t>Latin America</t>
  </si>
  <si>
    <t xml:space="preserve">Asia Pacific </t>
  </si>
  <si>
    <t xml:space="preserve">Total </t>
  </si>
  <si>
    <t>Revenue</t>
  </si>
  <si>
    <t>Main</t>
  </si>
  <si>
    <t>Q124</t>
  </si>
  <si>
    <t>Q224</t>
  </si>
  <si>
    <t>Q324</t>
  </si>
  <si>
    <t>Q424</t>
  </si>
  <si>
    <t>Cost of revenue</t>
  </si>
  <si>
    <t>R&amp;D</t>
  </si>
  <si>
    <t>S&amp;A</t>
  </si>
  <si>
    <t>Gross Profit</t>
  </si>
  <si>
    <t xml:space="preserve">Taxes </t>
  </si>
  <si>
    <t xml:space="preserve">Net income </t>
  </si>
  <si>
    <t>Ops &amp; Support</t>
  </si>
  <si>
    <t>Q422</t>
  </si>
  <si>
    <t>Q423</t>
  </si>
  <si>
    <t>Q323</t>
  </si>
  <si>
    <t xml:space="preserve">Gross Margin </t>
  </si>
  <si>
    <t xml:space="preserve">Operating Margin </t>
  </si>
  <si>
    <t xml:space="preserve">Net Margin </t>
  </si>
  <si>
    <t xml:space="preserve">EPS </t>
  </si>
  <si>
    <t xml:space="preserve">P/E </t>
  </si>
  <si>
    <t>Q223</t>
  </si>
  <si>
    <t>Q123</t>
  </si>
  <si>
    <t xml:space="preserve">OpEx </t>
  </si>
  <si>
    <t>OpInc (EBIT)</t>
  </si>
  <si>
    <t>Q322</t>
  </si>
  <si>
    <t>Q122</t>
  </si>
  <si>
    <t>Q222</t>
  </si>
  <si>
    <t>Q421</t>
  </si>
  <si>
    <t>Q321</t>
  </si>
  <si>
    <t>Q221</t>
  </si>
  <si>
    <t>Q121</t>
  </si>
  <si>
    <t>Revenue y/y</t>
  </si>
  <si>
    <t xml:space="preserve">Net Income y/y </t>
  </si>
  <si>
    <t>Nights booked</t>
  </si>
  <si>
    <t>GBV</t>
  </si>
  <si>
    <t>GBV per Night</t>
  </si>
  <si>
    <t>Nights booked y/y</t>
  </si>
  <si>
    <t>GBV y/y</t>
  </si>
  <si>
    <t xml:space="preserve">GBV per night y/y </t>
  </si>
  <si>
    <t>Discount</t>
  </si>
  <si>
    <t xml:space="preserve">NPV </t>
  </si>
  <si>
    <t xml:space="preserve">Share </t>
  </si>
  <si>
    <t>Revenue/GBV</t>
  </si>
  <si>
    <t>* Strong Net Cash position</t>
  </si>
  <si>
    <t>Q120</t>
  </si>
  <si>
    <t>Q220</t>
  </si>
  <si>
    <t>Q320</t>
  </si>
  <si>
    <t>Q420</t>
  </si>
  <si>
    <t>G&amp;A (+restructuring charges)</t>
  </si>
  <si>
    <t xml:space="preserve">Pretax  </t>
  </si>
  <si>
    <t>Other income (expense)</t>
  </si>
  <si>
    <t>Interest income (expense)</t>
  </si>
  <si>
    <t xml:space="preserve">Current </t>
  </si>
  <si>
    <t>Change</t>
  </si>
  <si>
    <t xml:space="preserve">FCF </t>
  </si>
  <si>
    <t>CFFO</t>
  </si>
  <si>
    <t>CapEx</t>
  </si>
  <si>
    <t>Terminal</t>
  </si>
  <si>
    <t xml:space="preserve">Based on net income </t>
  </si>
  <si>
    <t xml:space="preserve">Based on FCF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</si>
</sst>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theme="1"/>
      <name val="ArialMT"/>
      <family val="2"/>
    </font>
    <font>
      <b/>
      <sz val="10"/>
      <color theme="1"/>
      <name val="ArialMT"/>
    </font>
    <font>
      <sz val="10"/>
      <color rgb="FF000000"/>
      <name val="Arial"/>
      <family val="2"/>
    </font>
    <font>
      <sz val="10"/>
      <color theme="1"/>
      <name val="ArialMT"/>
    </font>
    <font>
      <u/>
      <sz val="10"/>
      <color theme="10"/>
      <name val="ArialM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" fontId="0" fillId="0" borderId="0" xfId="0" applyNumberFormat="1"/>
    <xf numFmtId="3" fontId="4" fillId="0" borderId="0" xfId="1" applyNumberFormat="1"/>
    <xf numFmtId="3" fontId="0" fillId="2" borderId="0" xfId="0" applyNumberFormat="1" applyFill="1"/>
    <xf numFmtId="0" fontId="0" fillId="2" borderId="0" xfId="0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1" fillId="2" borderId="0" xfId="0" applyNumberFormat="1" applyFont="1" applyFill="1"/>
    <xf numFmtId="10" fontId="0" fillId="2" borderId="0" xfId="0" applyNumberFormat="1" applyFill="1"/>
    <xf numFmtId="4" fontId="0" fillId="2" borderId="0" xfId="0" applyNumberFormat="1" applyFill="1"/>
    <xf numFmtId="10" fontId="1" fillId="0" borderId="0" xfId="0" applyNumberFormat="1" applyFont="1"/>
    <xf numFmtId="10" fontId="1" fillId="2" borderId="0" xfId="0" applyNumberFormat="1" applyFont="1" applyFill="1"/>
    <xf numFmtId="3" fontId="3" fillId="0" borderId="0" xfId="0" applyNumberFormat="1" applyFont="1"/>
    <xf numFmtId="10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824831</xdr:colOff>
      <xdr:row>0</xdr:row>
      <xdr:rowOff>17640</xdr:rowOff>
    </xdr:from>
    <xdr:to>
      <xdr:col>31</xdr:col>
      <xdr:colOff>5211</xdr:colOff>
      <xdr:row>53</xdr:row>
      <xdr:rowOff>92899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05BE593-3A56-1856-C41B-58C7B1F9EEC1}"/>
            </a:ext>
          </a:extLst>
        </xdr:cNvPr>
        <xdr:cNvCxnSpPr/>
      </xdr:nvCxnSpPr>
      <xdr:spPr>
        <a:xfrm>
          <a:off x="25633928" y="17640"/>
          <a:ext cx="9408" cy="895644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mytro Parkhomenko" id="{BD028A8A-28B1-F140-ADEE-F089599B65DB}" userId="36a87f973740ffc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8" dT="2025-06-17T17:56:27.92" personId="{BD028A8A-28B1-F140-ADEE-F089599B65DB}" id="{24CCC076-5D4C-2A4F-9C4F-AFCAB3F9A7EE}">
    <text xml:space="preserve">Net income in Q3 2024 was $1.4 billion, which was down compared to net income of $4.4 billion in Q3 2023, _x000D_
primarily due to the prior year’s valuation allowance release of our U.S. deferred tax assets of $2.8 billion, _x000D_
and the recognition of non-cash tax expense related to the utilization of some of those assets in the _x000D_
current year. 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1930-5923-2449-86A0-05B4A5E86FA6}">
  <dimension ref="B2:K45"/>
  <sheetViews>
    <sheetView zoomScale="125" workbookViewId="0">
      <selection activeCell="I47" sqref="I47"/>
    </sheetView>
  </sheetViews>
  <sheetFormatPr baseColWidth="10" defaultRowHeight="13"/>
  <cols>
    <col min="1" max="1" width="10.83203125" customWidth="1"/>
    <col min="2" max="2" width="31.1640625" customWidth="1"/>
  </cols>
  <sheetData>
    <row r="2" spans="2:11">
      <c r="B2" s="5" t="s">
        <v>9</v>
      </c>
      <c r="I2" s="2" t="s">
        <v>7</v>
      </c>
      <c r="J2" s="3" t="s">
        <v>6</v>
      </c>
    </row>
    <row r="3" spans="2:11">
      <c r="B3" t="s">
        <v>10</v>
      </c>
      <c r="I3" s="2" t="s">
        <v>0</v>
      </c>
      <c r="J3" s="2">
        <v>137.32</v>
      </c>
    </row>
    <row r="4" spans="2:11">
      <c r="B4" t="s">
        <v>11</v>
      </c>
      <c r="I4" s="2" t="s">
        <v>1</v>
      </c>
      <c r="J4" s="2">
        <f>432+188</f>
        <v>620</v>
      </c>
      <c r="K4" s="4" t="s">
        <v>8</v>
      </c>
    </row>
    <row r="5" spans="2:11">
      <c r="I5" s="2" t="s">
        <v>2</v>
      </c>
      <c r="J5" s="2">
        <f>J4*J3</f>
        <v>85138.4</v>
      </c>
      <c r="K5" s="4"/>
    </row>
    <row r="6" spans="2:11">
      <c r="B6" t="s">
        <v>14</v>
      </c>
      <c r="I6" s="2" t="s">
        <v>3</v>
      </c>
      <c r="J6" s="2">
        <f>7600+3892</f>
        <v>11492</v>
      </c>
      <c r="K6" s="4" t="s">
        <v>8</v>
      </c>
    </row>
    <row r="7" spans="2:11">
      <c r="B7" t="s">
        <v>13</v>
      </c>
      <c r="I7" s="2" t="s">
        <v>4</v>
      </c>
      <c r="J7" s="2">
        <v>1995</v>
      </c>
      <c r="K7" s="4" t="s">
        <v>8</v>
      </c>
    </row>
    <row r="8" spans="2:11">
      <c r="I8" s="2" t="s">
        <v>5</v>
      </c>
      <c r="J8" s="2">
        <f>J5+J7-J6</f>
        <v>75641.399999999994</v>
      </c>
    </row>
    <row r="10" spans="2:11">
      <c r="B10" s="5" t="s">
        <v>12</v>
      </c>
      <c r="I10" s="2" t="s">
        <v>79</v>
      </c>
    </row>
    <row r="11" spans="2:11">
      <c r="B11" t="s">
        <v>15</v>
      </c>
    </row>
    <row r="12" spans="2:11">
      <c r="B12" t="s">
        <v>16</v>
      </c>
    </row>
    <row r="14" spans="2:11">
      <c r="B14" s="5" t="s">
        <v>17</v>
      </c>
    </row>
    <row r="15" spans="2:11">
      <c r="B15" t="s">
        <v>18</v>
      </c>
    </row>
    <row r="16" spans="2:11">
      <c r="B16" t="s">
        <v>19</v>
      </c>
    </row>
    <row r="18" spans="2:5">
      <c r="B18" s="5" t="s">
        <v>20</v>
      </c>
    </row>
    <row r="19" spans="2:5">
      <c r="B19" t="s">
        <v>21</v>
      </c>
    </row>
    <row r="20" spans="2:5">
      <c r="B20" t="s">
        <v>22</v>
      </c>
    </row>
    <row r="22" spans="2:5">
      <c r="B22" s="5" t="s">
        <v>23</v>
      </c>
    </row>
    <row r="23" spans="2:5">
      <c r="B23" t="s">
        <v>24</v>
      </c>
    </row>
    <row r="26" spans="2:5">
      <c r="B26" s="10" t="s">
        <v>29</v>
      </c>
      <c r="C26">
        <v>2023</v>
      </c>
      <c r="D26">
        <v>2024</v>
      </c>
      <c r="E26" s="4" t="s">
        <v>28</v>
      </c>
    </row>
    <row r="27" spans="2:5">
      <c r="B27" t="s">
        <v>25</v>
      </c>
      <c r="C27">
        <v>448</v>
      </c>
      <c r="D27">
        <v>492</v>
      </c>
      <c r="E27" s="7">
        <f>(D27-C27)/C27</f>
        <v>9.8214285714285712E-2</v>
      </c>
    </row>
    <row r="28" spans="2:5">
      <c r="B28" t="s">
        <v>27</v>
      </c>
      <c r="C28" s="2">
        <v>73252</v>
      </c>
      <c r="D28" s="2">
        <v>81784</v>
      </c>
      <c r="E28" s="7">
        <f>(D28-C28)/C28</f>
        <v>0.11647463550483263</v>
      </c>
    </row>
    <row r="29" spans="2:5">
      <c r="C29" s="11">
        <f>C28/C27</f>
        <v>163.50892857142858</v>
      </c>
      <c r="D29" s="11">
        <f>D28/D27</f>
        <v>166.22764227642276</v>
      </c>
    </row>
    <row r="32" spans="2:5">
      <c r="B32" s="5" t="s">
        <v>25</v>
      </c>
      <c r="C32">
        <v>2023</v>
      </c>
      <c r="D32">
        <v>2024</v>
      </c>
      <c r="E32" s="4" t="s">
        <v>28</v>
      </c>
    </row>
    <row r="33" spans="2:5">
      <c r="B33" t="s">
        <v>30</v>
      </c>
      <c r="C33">
        <v>146</v>
      </c>
      <c r="D33">
        <v>154</v>
      </c>
      <c r="E33" s="7">
        <f>(D33-C33)/C33</f>
        <v>5.4794520547945202E-2</v>
      </c>
    </row>
    <row r="34" spans="2:5">
      <c r="B34" t="s">
        <v>31</v>
      </c>
      <c r="C34">
        <v>187</v>
      </c>
      <c r="D34">
        <v>201</v>
      </c>
      <c r="E34" s="7">
        <f t="shared" ref="E34:E37" si="0">(D34-C34)/C34</f>
        <v>7.4866310160427801E-2</v>
      </c>
    </row>
    <row r="35" spans="2:5">
      <c r="B35" t="s">
        <v>32</v>
      </c>
      <c r="C35">
        <v>64</v>
      </c>
      <c r="D35">
        <v>76</v>
      </c>
      <c r="E35" s="7">
        <f t="shared" si="0"/>
        <v>0.1875</v>
      </c>
    </row>
    <row r="36" spans="2:5">
      <c r="B36" t="s">
        <v>33</v>
      </c>
      <c r="C36">
        <v>51</v>
      </c>
      <c r="D36">
        <v>61</v>
      </c>
      <c r="E36" s="7">
        <f t="shared" si="0"/>
        <v>0.19607843137254902</v>
      </c>
    </row>
    <row r="37" spans="2:5" s="5" customFormat="1">
      <c r="B37" s="5" t="s">
        <v>34</v>
      </c>
      <c r="C37" s="5">
        <f>SUM(C33:C36)</f>
        <v>448</v>
      </c>
      <c r="D37" s="5">
        <f>SUM(D33:D36)</f>
        <v>492</v>
      </c>
      <c r="E37" s="9">
        <f t="shared" si="0"/>
        <v>9.8214285714285712E-2</v>
      </c>
    </row>
    <row r="40" spans="2:5">
      <c r="B40" s="8" t="s">
        <v>26</v>
      </c>
      <c r="C40">
        <v>2023</v>
      </c>
      <c r="D40">
        <v>2024</v>
      </c>
      <c r="E40" s="3" t="s">
        <v>28</v>
      </c>
    </row>
    <row r="41" spans="2:5">
      <c r="B41" s="2" t="s">
        <v>30</v>
      </c>
      <c r="C41" s="2">
        <v>34941</v>
      </c>
      <c r="D41" s="2">
        <v>37816</v>
      </c>
      <c r="E41" s="7">
        <f>(D41-C41)/C41</f>
        <v>8.2281560344580867E-2</v>
      </c>
    </row>
    <row r="42" spans="2:5">
      <c r="B42" s="2" t="s">
        <v>31</v>
      </c>
      <c r="C42" s="2">
        <v>26241</v>
      </c>
      <c r="D42" s="2">
        <v>29750</v>
      </c>
      <c r="E42" s="7">
        <f t="shared" ref="E42:E45" si="1">(D42-C42)/C42</f>
        <v>0.13372203803208718</v>
      </c>
    </row>
    <row r="43" spans="2:5">
      <c r="B43" s="2" t="s">
        <v>32</v>
      </c>
      <c r="C43" s="2">
        <v>6054</v>
      </c>
      <c r="D43" s="2">
        <v>7092</v>
      </c>
      <c r="E43" s="7">
        <f t="shared" si="1"/>
        <v>0.17145688800792863</v>
      </c>
    </row>
    <row r="44" spans="2:5" s="5" customFormat="1">
      <c r="B44" s="2" t="s">
        <v>33</v>
      </c>
      <c r="C44" s="2">
        <v>6016</v>
      </c>
      <c r="D44" s="2">
        <v>7126</v>
      </c>
      <c r="E44" s="7">
        <f t="shared" si="1"/>
        <v>0.18450797872340424</v>
      </c>
    </row>
    <row r="45" spans="2:5">
      <c r="B45" s="8" t="s">
        <v>34</v>
      </c>
      <c r="C45" s="8">
        <f>SUM(C41:C44)</f>
        <v>73252</v>
      </c>
      <c r="D45" s="8">
        <f>SUM(D41:D44)</f>
        <v>81784</v>
      </c>
      <c r="E45" s="9">
        <f t="shared" si="1"/>
        <v>0.11647463550483263</v>
      </c>
    </row>
  </sheetData>
  <pageMargins left="0.7" right="0.7" top="0.75" bottom="0.75" header="0.3" footer="0.3"/>
  <ignoredErrors>
    <ignoredError sqref="C37:D3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C7F3-F2C1-7648-A25C-50F3C2F80138}">
  <dimension ref="A1:BO49"/>
  <sheetViews>
    <sheetView tabSelected="1" zoomScale="125" workbookViewId="0">
      <pane xSplit="2" ySplit="2" topLeftCell="X3" activePane="bottomRight" state="frozen"/>
      <selection pane="topRight" activeCell="C1" sqref="C1"/>
      <selection pane="bottomLeft" activeCell="A3" sqref="A3"/>
      <selection pane="bottomRight" activeCell="X36" sqref="X36"/>
    </sheetView>
  </sheetViews>
  <sheetFormatPr baseColWidth="10" defaultRowHeight="13"/>
  <cols>
    <col min="1" max="1" width="4.83203125" style="2" bestFit="1" customWidth="1"/>
    <col min="2" max="2" width="24.6640625" style="2" bestFit="1" customWidth="1"/>
    <col min="3" max="4" width="10.33203125" style="2" customWidth="1"/>
    <col min="5" max="5" width="10.33203125" style="13" customWidth="1"/>
    <col min="6" max="6" width="9.5" style="2" customWidth="1"/>
    <col min="7" max="8" width="10.33203125" style="2" customWidth="1"/>
    <col min="9" max="9" width="10.33203125" style="13" customWidth="1"/>
    <col min="10" max="12" width="10.33203125" style="2" customWidth="1"/>
    <col min="13" max="13" width="10.33203125" style="13" customWidth="1"/>
    <col min="14" max="14" width="10.33203125" style="2" customWidth="1"/>
    <col min="15" max="15" width="10.6640625" style="2" customWidth="1"/>
    <col min="16" max="16" width="10.33203125" style="2" customWidth="1"/>
    <col min="17" max="17" width="10.83203125" style="13"/>
    <col min="18" max="20" width="10.83203125" style="2"/>
    <col min="21" max="21" width="10.83203125" style="13"/>
    <col min="22" max="16384" width="10.83203125" style="2"/>
  </cols>
  <sheetData>
    <row r="1" spans="1:67">
      <c r="A1" s="12" t="s">
        <v>36</v>
      </c>
    </row>
    <row r="2" spans="1:67" customFormat="1">
      <c r="C2" s="4" t="s">
        <v>80</v>
      </c>
      <c r="D2" s="4" t="s">
        <v>81</v>
      </c>
      <c r="E2" s="14" t="s">
        <v>82</v>
      </c>
      <c r="F2" s="4" t="s">
        <v>83</v>
      </c>
      <c r="G2" s="4" t="s">
        <v>66</v>
      </c>
      <c r="H2" s="4" t="s">
        <v>65</v>
      </c>
      <c r="I2" s="14" t="s">
        <v>64</v>
      </c>
      <c r="J2" s="4" t="s">
        <v>63</v>
      </c>
      <c r="K2" s="4" t="s">
        <v>61</v>
      </c>
      <c r="L2" s="4" t="s">
        <v>62</v>
      </c>
      <c r="M2" s="14" t="s">
        <v>60</v>
      </c>
      <c r="N2" s="4" t="s">
        <v>48</v>
      </c>
      <c r="O2" s="4" t="s">
        <v>57</v>
      </c>
      <c r="P2" s="4" t="s">
        <v>56</v>
      </c>
      <c r="Q2" s="14" t="s">
        <v>50</v>
      </c>
      <c r="R2" s="4" t="s">
        <v>49</v>
      </c>
      <c r="S2" s="4" t="s">
        <v>37</v>
      </c>
      <c r="T2" s="4" t="s">
        <v>38</v>
      </c>
      <c r="U2" s="14" t="s">
        <v>39</v>
      </c>
      <c r="V2" s="4" t="s">
        <v>40</v>
      </c>
      <c r="W2" s="4" t="s">
        <v>8</v>
      </c>
      <c r="AA2">
        <v>2020</v>
      </c>
      <c r="AB2">
        <v>2021</v>
      </c>
      <c r="AC2">
        <v>2022</v>
      </c>
      <c r="AD2">
        <f>AC2+1</f>
        <v>2023</v>
      </c>
      <c r="AE2">
        <f>AD2+1</f>
        <v>2024</v>
      </c>
      <c r="AF2">
        <f t="shared" ref="AF2:BO2" si="0">AE2+1</f>
        <v>2025</v>
      </c>
      <c r="AG2">
        <f t="shared" si="0"/>
        <v>2026</v>
      </c>
      <c r="AH2">
        <f t="shared" si="0"/>
        <v>2027</v>
      </c>
      <c r="AI2">
        <f t="shared" si="0"/>
        <v>2028</v>
      </c>
      <c r="AJ2">
        <f t="shared" si="0"/>
        <v>2029</v>
      </c>
      <c r="AK2">
        <f t="shared" si="0"/>
        <v>2030</v>
      </c>
      <c r="AL2">
        <f>AK2+1</f>
        <v>2031</v>
      </c>
      <c r="AM2">
        <f t="shared" si="0"/>
        <v>2032</v>
      </c>
      <c r="AN2">
        <f t="shared" si="0"/>
        <v>2033</v>
      </c>
      <c r="AO2">
        <f t="shared" si="0"/>
        <v>2034</v>
      </c>
      <c r="AP2">
        <f t="shared" si="0"/>
        <v>2035</v>
      </c>
      <c r="AQ2">
        <f t="shared" si="0"/>
        <v>2036</v>
      </c>
      <c r="AR2">
        <f t="shared" si="0"/>
        <v>2037</v>
      </c>
      <c r="AS2">
        <f t="shared" si="0"/>
        <v>2038</v>
      </c>
      <c r="AT2">
        <f t="shared" si="0"/>
        <v>2039</v>
      </c>
      <c r="AU2">
        <f t="shared" si="0"/>
        <v>2040</v>
      </c>
      <c r="AV2">
        <f t="shared" si="0"/>
        <v>2041</v>
      </c>
      <c r="AW2">
        <f t="shared" si="0"/>
        <v>2042</v>
      </c>
      <c r="AX2">
        <f t="shared" si="0"/>
        <v>2043</v>
      </c>
      <c r="AY2">
        <f t="shared" si="0"/>
        <v>2044</v>
      </c>
      <c r="AZ2">
        <f t="shared" si="0"/>
        <v>2045</v>
      </c>
      <c r="BA2">
        <f t="shared" si="0"/>
        <v>2046</v>
      </c>
      <c r="BB2">
        <f t="shared" si="0"/>
        <v>2047</v>
      </c>
      <c r="BC2">
        <f t="shared" si="0"/>
        <v>2048</v>
      </c>
      <c r="BD2">
        <f t="shared" si="0"/>
        <v>2049</v>
      </c>
      <c r="BE2">
        <f t="shared" si="0"/>
        <v>2050</v>
      </c>
      <c r="BF2">
        <f t="shared" si="0"/>
        <v>2051</v>
      </c>
      <c r="BG2">
        <f t="shared" si="0"/>
        <v>2052</v>
      </c>
      <c r="BH2">
        <f t="shared" si="0"/>
        <v>2053</v>
      </c>
      <c r="BI2">
        <f t="shared" si="0"/>
        <v>2054</v>
      </c>
      <c r="BJ2">
        <f t="shared" si="0"/>
        <v>2055</v>
      </c>
      <c r="BK2">
        <f t="shared" si="0"/>
        <v>2056</v>
      </c>
      <c r="BL2">
        <f t="shared" si="0"/>
        <v>2057</v>
      </c>
      <c r="BM2">
        <f t="shared" si="0"/>
        <v>2058</v>
      </c>
      <c r="BN2">
        <f t="shared" si="0"/>
        <v>2059</v>
      </c>
      <c r="BO2">
        <f t="shared" si="0"/>
        <v>2060</v>
      </c>
    </row>
    <row r="3" spans="1:67">
      <c r="B3" s="2" t="s">
        <v>69</v>
      </c>
      <c r="C3" s="3">
        <v>57.1</v>
      </c>
      <c r="D3" s="3">
        <v>28</v>
      </c>
      <c r="E3" s="15">
        <v>61.8</v>
      </c>
      <c r="F3" s="3">
        <v>46.3</v>
      </c>
      <c r="G3" s="3">
        <v>64.400000000000006</v>
      </c>
      <c r="H3" s="3">
        <v>83.1</v>
      </c>
      <c r="I3" s="15">
        <v>79.900000000000006</v>
      </c>
      <c r="J3" s="3">
        <v>73.400000000000006</v>
      </c>
      <c r="K3" s="3">
        <v>102.1</v>
      </c>
      <c r="L3" s="3">
        <v>103.7</v>
      </c>
      <c r="M3" s="15">
        <v>99.7</v>
      </c>
      <c r="N3" s="3">
        <v>88.2</v>
      </c>
      <c r="O3" s="3">
        <v>121.1</v>
      </c>
      <c r="P3" s="3">
        <v>115.1</v>
      </c>
      <c r="Q3" s="15">
        <v>113.2</v>
      </c>
      <c r="R3" s="3">
        <v>98.8</v>
      </c>
      <c r="S3" s="3">
        <v>132.6</v>
      </c>
      <c r="T3" s="3">
        <v>125.1</v>
      </c>
      <c r="U3" s="15">
        <v>125.1</v>
      </c>
      <c r="V3" s="3">
        <v>122.8</v>
      </c>
      <c r="W3" s="3">
        <v>111</v>
      </c>
      <c r="AA3" s="2">
        <f>SUM(C3:F3)</f>
        <v>193.2</v>
      </c>
      <c r="AB3" s="2">
        <f>SUM(G3:J3)</f>
        <v>300.8</v>
      </c>
      <c r="AC3" s="2">
        <f>SUM(K3:N3)</f>
        <v>393.7</v>
      </c>
      <c r="AD3" s="2">
        <f>SUM(O3:R3)</f>
        <v>448.2</v>
      </c>
      <c r="AE3" s="2">
        <f>SUM(S3:V3)</f>
        <v>505.59999999999997</v>
      </c>
    </row>
    <row r="4" spans="1:67">
      <c r="B4" s="2" t="s">
        <v>70</v>
      </c>
      <c r="C4" s="3">
        <v>6766</v>
      </c>
      <c r="D4" s="3">
        <v>3200</v>
      </c>
      <c r="E4" s="15">
        <v>8000</v>
      </c>
      <c r="F4" s="3">
        <v>5900</v>
      </c>
      <c r="G4" s="3">
        <v>10289</v>
      </c>
      <c r="H4" s="3">
        <v>13400</v>
      </c>
      <c r="I4" s="15">
        <v>11900</v>
      </c>
      <c r="J4" s="3">
        <v>11273</v>
      </c>
      <c r="K4" s="3">
        <v>17200</v>
      </c>
      <c r="L4" s="3">
        <v>16900</v>
      </c>
      <c r="M4" s="15">
        <v>15600</v>
      </c>
      <c r="N4" s="3">
        <v>13500</v>
      </c>
      <c r="O4" s="3">
        <v>20400</v>
      </c>
      <c r="P4" s="3">
        <v>19100</v>
      </c>
      <c r="Q4" s="15">
        <v>18300</v>
      </c>
      <c r="R4" s="3">
        <v>15500</v>
      </c>
      <c r="S4" s="3">
        <v>22900</v>
      </c>
      <c r="T4" s="3">
        <v>21200</v>
      </c>
      <c r="U4" s="15">
        <v>21200</v>
      </c>
      <c r="V4" s="3">
        <v>20100</v>
      </c>
      <c r="W4" s="3">
        <v>17600</v>
      </c>
      <c r="AA4" s="2">
        <f>SUM(C4:F4)</f>
        <v>23866</v>
      </c>
      <c r="AB4" s="2">
        <f t="shared" ref="AB4" si="1">SUM(G4:J4)</f>
        <v>46862</v>
      </c>
      <c r="AC4" s="2">
        <f t="shared" ref="AC4:AC19" si="2">SUM(K4:N4)</f>
        <v>63200</v>
      </c>
      <c r="AD4" s="2">
        <f t="shared" ref="AD4:AD19" si="3">SUM(O4:R4)</f>
        <v>73300</v>
      </c>
      <c r="AE4" s="2">
        <f t="shared" ref="AE4" si="4">SUM(S4:V4)</f>
        <v>85400</v>
      </c>
    </row>
    <row r="5" spans="1:67">
      <c r="B5" s="2" t="s">
        <v>71</v>
      </c>
      <c r="C5" s="3">
        <f>C4/C3</f>
        <v>118.4938704028021</v>
      </c>
      <c r="D5" s="3">
        <f t="shared" ref="D5:W5" si="5">D4/D3</f>
        <v>114.28571428571429</v>
      </c>
      <c r="E5" s="15">
        <f t="shared" si="5"/>
        <v>129.44983818770228</v>
      </c>
      <c r="F5" s="3">
        <f t="shared" si="5"/>
        <v>127.42980561555076</v>
      </c>
      <c r="G5" s="3">
        <f>G4/G3</f>
        <v>159.76708074534159</v>
      </c>
      <c r="H5" s="3">
        <f t="shared" ref="H5" si="6">H4/H3</f>
        <v>161.25150421179302</v>
      </c>
      <c r="I5" s="15">
        <f t="shared" ref="I5" si="7">I4/I3</f>
        <v>148.93617021276594</v>
      </c>
      <c r="J5" s="3">
        <f t="shared" ref="J5" si="8">J4/J3</f>
        <v>153.58310626702996</v>
      </c>
      <c r="K5" s="3">
        <f>K4/K3</f>
        <v>168.46229187071501</v>
      </c>
      <c r="L5" s="3">
        <f t="shared" ref="L5" si="9">L4/L3</f>
        <v>162.97010607521696</v>
      </c>
      <c r="M5" s="15">
        <f t="shared" ref="M5" si="10">M4/M3</f>
        <v>156.46940822467403</v>
      </c>
      <c r="N5" s="3">
        <f t="shared" ref="N5" si="11">N4/N3</f>
        <v>153.0612244897959</v>
      </c>
      <c r="O5" s="3">
        <f t="shared" si="5"/>
        <v>168.4558216350124</v>
      </c>
      <c r="P5" s="3">
        <f t="shared" si="5"/>
        <v>165.94265855777584</v>
      </c>
      <c r="Q5" s="15">
        <f t="shared" si="5"/>
        <v>161.66077738515901</v>
      </c>
      <c r="R5" s="3">
        <f t="shared" si="5"/>
        <v>156.88259109311741</v>
      </c>
      <c r="S5" s="3">
        <f t="shared" si="5"/>
        <v>172.6998491704374</v>
      </c>
      <c r="T5" s="3">
        <f t="shared" si="5"/>
        <v>169.46442845723422</v>
      </c>
      <c r="U5" s="15">
        <f t="shared" si="5"/>
        <v>169.46442845723422</v>
      </c>
      <c r="V5" s="3">
        <f t="shared" si="5"/>
        <v>163.68078175895766</v>
      </c>
      <c r="W5" s="3">
        <f t="shared" si="5"/>
        <v>158.55855855855856</v>
      </c>
      <c r="AA5" s="2">
        <f>AVERAGE(C5:F5)</f>
        <v>122.41480712294236</v>
      </c>
      <c r="AB5" s="2">
        <f>AVERAGE(G5:J5)</f>
        <v>155.88446535923265</v>
      </c>
      <c r="AC5" s="2">
        <f>AVERAGE(K5:N5)</f>
        <v>160.24075766510046</v>
      </c>
      <c r="AD5" s="2">
        <f>AVERAGE(O5:R5)</f>
        <v>163.23546216776617</v>
      </c>
      <c r="AE5" s="2">
        <f>AVERAGE(S5:V5)</f>
        <v>168.82737196096588</v>
      </c>
    </row>
    <row r="6" spans="1:67" s="8" customFormat="1">
      <c r="B6" s="8" t="s">
        <v>35</v>
      </c>
      <c r="C6" s="8">
        <v>841.83</v>
      </c>
      <c r="D6" s="8">
        <v>334.774</v>
      </c>
      <c r="E6" s="16">
        <v>1342.3309999999999</v>
      </c>
      <c r="F6" s="8">
        <v>859.26400000000001</v>
      </c>
      <c r="G6" s="8">
        <v>886.93600000000004</v>
      </c>
      <c r="H6" s="8">
        <v>1335</v>
      </c>
      <c r="I6" s="16">
        <v>2237.4319999999998</v>
      </c>
      <c r="J6" s="8">
        <v>1532.1959999999999</v>
      </c>
      <c r="K6" s="8">
        <v>1509</v>
      </c>
      <c r="L6" s="8">
        <v>2104</v>
      </c>
      <c r="M6" s="16">
        <v>2884</v>
      </c>
      <c r="N6" s="8">
        <f>8399-6497</f>
        <v>1902</v>
      </c>
      <c r="O6" s="8">
        <v>1818</v>
      </c>
      <c r="P6" s="8">
        <v>2484</v>
      </c>
      <c r="Q6" s="16">
        <v>3397</v>
      </c>
      <c r="R6" s="8">
        <f>9917-7699</f>
        <v>2218</v>
      </c>
      <c r="S6" s="8">
        <v>2142</v>
      </c>
      <c r="T6" s="8">
        <v>2748</v>
      </c>
      <c r="U6" s="16">
        <v>3732</v>
      </c>
      <c r="V6" s="8">
        <f>11102-8622</f>
        <v>2480</v>
      </c>
      <c r="W6" s="8">
        <v>2272</v>
      </c>
      <c r="AA6" s="8">
        <f t="shared" ref="AA6:AA19" si="12">SUM(C6:F6)</f>
        <v>3378.1990000000001</v>
      </c>
      <c r="AB6" s="8">
        <f t="shared" ref="AB6:AB19" si="13">SUM(G6:J6)</f>
        <v>5991.5640000000003</v>
      </c>
      <c r="AC6" s="8">
        <f t="shared" si="2"/>
        <v>8399</v>
      </c>
      <c r="AD6" s="8">
        <f t="shared" si="3"/>
        <v>9917</v>
      </c>
      <c r="AE6" s="8">
        <f t="shared" ref="AE6:AE19" si="14">SUM(S6:V6)</f>
        <v>11102</v>
      </c>
    </row>
    <row r="7" spans="1:67">
      <c r="B7" s="2" t="s">
        <v>41</v>
      </c>
      <c r="C7" s="2">
        <v>277.77199999999999</v>
      </c>
      <c r="D7" s="2">
        <v>161.19800000000001</v>
      </c>
      <c r="E7" s="13">
        <v>227.32499999999999</v>
      </c>
      <c r="F7" s="2">
        <v>209.74700000000001</v>
      </c>
      <c r="G7" s="2">
        <v>254.51499999999999</v>
      </c>
      <c r="H7" s="2">
        <v>294.42700000000002</v>
      </c>
      <c r="I7" s="13">
        <v>311.58</v>
      </c>
      <c r="J7" s="2">
        <v>295.31099999999998</v>
      </c>
      <c r="K7" s="2">
        <v>363</v>
      </c>
      <c r="L7" s="2">
        <v>390</v>
      </c>
      <c r="M7" s="13">
        <v>401</v>
      </c>
      <c r="N7" s="2">
        <f>1499-1154</f>
        <v>345</v>
      </c>
      <c r="O7" s="2">
        <v>428</v>
      </c>
      <c r="P7" s="2">
        <v>432</v>
      </c>
      <c r="Q7" s="13">
        <v>459</v>
      </c>
      <c r="R7" s="2">
        <f>1703-1319</f>
        <v>384</v>
      </c>
      <c r="S7" s="2">
        <v>480</v>
      </c>
      <c r="T7" s="2">
        <v>506</v>
      </c>
      <c r="U7" s="13">
        <v>465</v>
      </c>
      <c r="V7" s="2">
        <f>1878-1451</f>
        <v>427</v>
      </c>
      <c r="W7" s="2">
        <v>506</v>
      </c>
      <c r="AA7" s="2">
        <f t="shared" si="12"/>
        <v>876.04200000000014</v>
      </c>
      <c r="AB7" s="2">
        <f t="shared" si="13"/>
        <v>1155.8329999999999</v>
      </c>
      <c r="AC7" s="2">
        <f t="shared" si="2"/>
        <v>1499</v>
      </c>
      <c r="AD7" s="2">
        <f t="shared" si="3"/>
        <v>1703</v>
      </c>
      <c r="AE7" s="2">
        <f t="shared" si="14"/>
        <v>1878</v>
      </c>
    </row>
    <row r="8" spans="1:67">
      <c r="B8" s="2" t="s">
        <v>44</v>
      </c>
      <c r="C8" s="2">
        <f t="shared" ref="C8:W8" si="15">C6-C7</f>
        <v>564.05799999999999</v>
      </c>
      <c r="D8" s="2">
        <f t="shared" si="15"/>
        <v>173.57599999999999</v>
      </c>
      <c r="E8" s="13">
        <f t="shared" si="15"/>
        <v>1115.0059999999999</v>
      </c>
      <c r="F8" s="2">
        <f t="shared" si="15"/>
        <v>649.51700000000005</v>
      </c>
      <c r="G8" s="2">
        <f t="shared" si="15"/>
        <v>632.42100000000005</v>
      </c>
      <c r="H8" s="2">
        <f t="shared" si="15"/>
        <v>1040.5729999999999</v>
      </c>
      <c r="I8" s="13">
        <f t="shared" si="15"/>
        <v>1925.8519999999999</v>
      </c>
      <c r="J8" s="2">
        <f t="shared" si="15"/>
        <v>1236.885</v>
      </c>
      <c r="K8" s="2">
        <f t="shared" si="15"/>
        <v>1146</v>
      </c>
      <c r="L8" s="2">
        <f t="shared" si="15"/>
        <v>1714</v>
      </c>
      <c r="M8" s="13">
        <f t="shared" si="15"/>
        <v>2483</v>
      </c>
      <c r="N8" s="2">
        <f t="shared" si="15"/>
        <v>1557</v>
      </c>
      <c r="O8" s="2">
        <f t="shared" si="15"/>
        <v>1390</v>
      </c>
      <c r="P8" s="2">
        <f t="shared" si="15"/>
        <v>2052</v>
      </c>
      <c r="Q8" s="13">
        <f t="shared" si="15"/>
        <v>2938</v>
      </c>
      <c r="R8" s="2">
        <f t="shared" si="15"/>
        <v>1834</v>
      </c>
      <c r="S8" s="2">
        <f t="shared" si="15"/>
        <v>1662</v>
      </c>
      <c r="T8" s="2">
        <f t="shared" si="15"/>
        <v>2242</v>
      </c>
      <c r="U8" s="13">
        <f t="shared" si="15"/>
        <v>3267</v>
      </c>
      <c r="V8" s="2">
        <f t="shared" si="15"/>
        <v>2053</v>
      </c>
      <c r="W8" s="2">
        <f t="shared" si="15"/>
        <v>1766</v>
      </c>
      <c r="AA8" s="2">
        <f t="shared" si="12"/>
        <v>2502.1570000000002</v>
      </c>
      <c r="AB8" s="2">
        <f t="shared" si="13"/>
        <v>4835.7309999999998</v>
      </c>
      <c r="AC8" s="2">
        <f t="shared" si="2"/>
        <v>6900</v>
      </c>
      <c r="AD8" s="2">
        <f t="shared" si="3"/>
        <v>8214</v>
      </c>
      <c r="AE8" s="2">
        <f t="shared" si="14"/>
        <v>9224</v>
      </c>
    </row>
    <row r="9" spans="1:67">
      <c r="B9" s="2" t="s">
        <v>47</v>
      </c>
      <c r="C9" s="2">
        <v>221.78700000000001</v>
      </c>
      <c r="D9" s="2">
        <v>160.476</v>
      </c>
      <c r="E9" s="13">
        <v>166.10599999999999</v>
      </c>
      <c r="F9" s="2">
        <v>329.53199999999998</v>
      </c>
      <c r="G9" s="2">
        <v>185.43600000000001</v>
      </c>
      <c r="H9" s="2">
        <v>208.125</v>
      </c>
      <c r="I9" s="13">
        <v>228.33</v>
      </c>
      <c r="J9" s="2">
        <v>225.166</v>
      </c>
      <c r="K9" s="2">
        <v>233</v>
      </c>
      <c r="L9" s="2">
        <v>258</v>
      </c>
      <c r="M9" s="13">
        <v>290</v>
      </c>
      <c r="N9" s="2">
        <f>1041-781</f>
        <v>260</v>
      </c>
      <c r="O9" s="2">
        <v>282</v>
      </c>
      <c r="P9" s="2">
        <v>317</v>
      </c>
      <c r="Q9" s="13">
        <v>316</v>
      </c>
      <c r="R9" s="2">
        <f>1186-915</f>
        <v>271</v>
      </c>
      <c r="S9" s="2">
        <v>285</v>
      </c>
      <c r="T9" s="2">
        <v>338</v>
      </c>
      <c r="U9" s="13">
        <v>369</v>
      </c>
      <c r="V9" s="2">
        <f>1282-992</f>
        <v>290</v>
      </c>
      <c r="W9" s="2">
        <v>303</v>
      </c>
      <c r="AA9" s="2">
        <f t="shared" si="12"/>
        <v>877.90100000000007</v>
      </c>
      <c r="AB9" s="2">
        <f t="shared" si="13"/>
        <v>847.05700000000002</v>
      </c>
      <c r="AC9" s="2">
        <f t="shared" si="2"/>
        <v>1041</v>
      </c>
      <c r="AD9" s="2">
        <f t="shared" si="3"/>
        <v>1186</v>
      </c>
      <c r="AE9" s="2">
        <f t="shared" si="14"/>
        <v>1282</v>
      </c>
    </row>
    <row r="10" spans="1:67">
      <c r="B10" s="2" t="s">
        <v>42</v>
      </c>
      <c r="C10" s="2">
        <v>258.81900000000002</v>
      </c>
      <c r="D10" s="2">
        <v>217.93799999999999</v>
      </c>
      <c r="E10" s="13">
        <v>213.92</v>
      </c>
      <c r="F10" s="2">
        <v>2062.1950000000002</v>
      </c>
      <c r="G10" s="2">
        <v>363.06099999999998</v>
      </c>
      <c r="H10" s="2">
        <v>349.73399999999998</v>
      </c>
      <c r="I10" s="13">
        <v>344.41</v>
      </c>
      <c r="J10" s="2">
        <v>367.84300000000002</v>
      </c>
      <c r="K10" s="2">
        <v>363</v>
      </c>
      <c r="L10" s="2">
        <v>375</v>
      </c>
      <c r="M10" s="13">
        <v>366</v>
      </c>
      <c r="N10" s="2">
        <f>1502-1104</f>
        <v>398</v>
      </c>
      <c r="O10" s="2">
        <v>420</v>
      </c>
      <c r="P10" s="2">
        <v>451</v>
      </c>
      <c r="Q10" s="13">
        <v>419</v>
      </c>
      <c r="R10" s="2">
        <f>1722-1290</f>
        <v>432</v>
      </c>
      <c r="S10" s="2">
        <v>475</v>
      </c>
      <c r="T10" s="2">
        <v>519</v>
      </c>
      <c r="U10" s="13">
        <v>524</v>
      </c>
      <c r="V10" s="2">
        <f>2056-1518</f>
        <v>538</v>
      </c>
      <c r="W10" s="2">
        <v>568</v>
      </c>
      <c r="AA10" s="2">
        <f t="shared" si="12"/>
        <v>2752.8720000000003</v>
      </c>
      <c r="AB10" s="2">
        <f t="shared" si="13"/>
        <v>1425.048</v>
      </c>
      <c r="AC10" s="2">
        <f t="shared" si="2"/>
        <v>1502</v>
      </c>
      <c r="AD10" s="2">
        <f t="shared" si="3"/>
        <v>1722</v>
      </c>
      <c r="AE10" s="2">
        <f t="shared" si="14"/>
        <v>2056</v>
      </c>
    </row>
    <row r="11" spans="1:67">
      <c r="B11" s="2" t="s">
        <v>43</v>
      </c>
      <c r="C11" s="2">
        <v>317.17899999999997</v>
      </c>
      <c r="D11" s="2">
        <v>114.837</v>
      </c>
      <c r="E11" s="13">
        <v>113.494</v>
      </c>
      <c r="F11" s="2">
        <v>629.81500000000005</v>
      </c>
      <c r="G11" s="2">
        <v>229.125</v>
      </c>
      <c r="H11" s="2">
        <v>315.32299999999998</v>
      </c>
      <c r="I11" s="13">
        <v>290.85599999999999</v>
      </c>
      <c r="J11" s="2">
        <v>351.02800000000002</v>
      </c>
      <c r="K11" s="2">
        <v>345</v>
      </c>
      <c r="L11" s="2">
        <v>379</v>
      </c>
      <c r="M11" s="13">
        <v>384</v>
      </c>
      <c r="N11" s="2">
        <f>1516-1108</f>
        <v>408</v>
      </c>
      <c r="O11" s="2">
        <v>450</v>
      </c>
      <c r="P11" s="2">
        <v>486</v>
      </c>
      <c r="Q11" s="13">
        <v>403</v>
      </c>
      <c r="R11" s="2">
        <f>1763-1339</f>
        <v>424</v>
      </c>
      <c r="S11" s="2">
        <v>514</v>
      </c>
      <c r="T11" s="2">
        <v>573</v>
      </c>
      <c r="U11" s="13">
        <v>514</v>
      </c>
      <c r="V11" s="2">
        <f>2148-1601</f>
        <v>547</v>
      </c>
      <c r="W11" s="2">
        <v>563</v>
      </c>
      <c r="AA11" s="2">
        <f t="shared" si="12"/>
        <v>1175.325</v>
      </c>
      <c r="AB11" s="2">
        <f t="shared" si="13"/>
        <v>1186.3319999999999</v>
      </c>
      <c r="AC11" s="2">
        <f t="shared" si="2"/>
        <v>1516</v>
      </c>
      <c r="AD11" s="2">
        <f t="shared" si="3"/>
        <v>1763</v>
      </c>
      <c r="AE11" s="2">
        <f t="shared" si="14"/>
        <v>2148</v>
      </c>
    </row>
    <row r="12" spans="1:67">
      <c r="B12" s="2" t="s">
        <v>84</v>
      </c>
      <c r="C12" s="2">
        <v>91.762</v>
      </c>
      <c r="D12" s="2">
        <f>149.299+114.241</f>
        <v>263.54000000000002</v>
      </c>
      <c r="E12" s="13">
        <f>180.021+22.728</f>
        <v>202.749</v>
      </c>
      <c r="F12" s="2">
        <f>713.769+14.386</f>
        <v>728.15499999999997</v>
      </c>
      <c r="G12" s="2">
        <f>189.762+111.982</f>
        <v>301.74400000000003</v>
      </c>
      <c r="H12" s="2">
        <v>218.303</v>
      </c>
      <c r="I12" s="13">
        <f>210.748-0.465</f>
        <v>210.28299999999999</v>
      </c>
      <c r="J12" s="2">
        <f>216.511+0.77</f>
        <v>217.28100000000001</v>
      </c>
      <c r="K12" s="2">
        <v>210</v>
      </c>
      <c r="L12" s="2">
        <f>244+89</f>
        <v>333</v>
      </c>
      <c r="M12" s="13">
        <v>240</v>
      </c>
      <c r="N12" s="2">
        <f>950-694</f>
        <v>256</v>
      </c>
      <c r="O12" s="2">
        <v>243</v>
      </c>
      <c r="P12" s="2">
        <v>275</v>
      </c>
      <c r="Q12" s="13">
        <v>304</v>
      </c>
      <c r="R12" s="2">
        <f>2025-822</f>
        <v>1203</v>
      </c>
      <c r="S12" s="2">
        <v>287</v>
      </c>
      <c r="T12" s="2">
        <v>315</v>
      </c>
      <c r="U12" s="13">
        <v>335</v>
      </c>
      <c r="V12" s="2">
        <f>1185-937</f>
        <v>248</v>
      </c>
      <c r="W12" s="2">
        <v>294</v>
      </c>
      <c r="AA12" s="2">
        <f t="shared" si="12"/>
        <v>1286.2060000000001</v>
      </c>
      <c r="AB12" s="2">
        <f t="shared" si="13"/>
        <v>947.6110000000001</v>
      </c>
      <c r="AC12" s="2">
        <f t="shared" si="2"/>
        <v>1039</v>
      </c>
      <c r="AD12" s="2">
        <f t="shared" si="3"/>
        <v>2025</v>
      </c>
      <c r="AE12" s="2">
        <f t="shared" si="14"/>
        <v>1185</v>
      </c>
    </row>
    <row r="13" spans="1:67">
      <c r="B13" s="2" t="s">
        <v>58</v>
      </c>
      <c r="C13" s="2">
        <f t="shared" ref="C13:W13" si="16">C7+C12+C11+C10+C9</f>
        <v>1167.319</v>
      </c>
      <c r="D13" s="2">
        <f t="shared" si="16"/>
        <v>917.98900000000003</v>
      </c>
      <c r="E13" s="13">
        <f t="shared" si="16"/>
        <v>923.59399999999994</v>
      </c>
      <c r="F13" s="2">
        <f t="shared" si="16"/>
        <v>3959.4440000000004</v>
      </c>
      <c r="G13" s="2">
        <f t="shared" si="16"/>
        <v>1333.8809999999999</v>
      </c>
      <c r="H13" s="2">
        <f t="shared" si="16"/>
        <v>1385.912</v>
      </c>
      <c r="I13" s="13">
        <f t="shared" si="16"/>
        <v>1385.4589999999998</v>
      </c>
      <c r="J13" s="2">
        <f t="shared" si="16"/>
        <v>1456.6289999999999</v>
      </c>
      <c r="K13" s="2">
        <f t="shared" si="16"/>
        <v>1514</v>
      </c>
      <c r="L13" s="2">
        <f t="shared" si="16"/>
        <v>1735</v>
      </c>
      <c r="M13" s="13">
        <f t="shared" si="16"/>
        <v>1681</v>
      </c>
      <c r="N13" s="2">
        <f t="shared" si="16"/>
        <v>1667</v>
      </c>
      <c r="O13" s="2">
        <f t="shared" si="16"/>
        <v>1823</v>
      </c>
      <c r="P13" s="2">
        <f t="shared" si="16"/>
        <v>1961</v>
      </c>
      <c r="Q13" s="13">
        <f t="shared" si="16"/>
        <v>1901</v>
      </c>
      <c r="R13" s="2">
        <f t="shared" si="16"/>
        <v>2714</v>
      </c>
      <c r="S13" s="2">
        <f t="shared" si="16"/>
        <v>2041</v>
      </c>
      <c r="T13" s="2">
        <f t="shared" si="16"/>
        <v>2251</v>
      </c>
      <c r="U13" s="13">
        <f t="shared" si="16"/>
        <v>2207</v>
      </c>
      <c r="V13" s="2">
        <f t="shared" si="16"/>
        <v>2050</v>
      </c>
      <c r="W13" s="2">
        <f t="shared" si="16"/>
        <v>2234</v>
      </c>
      <c r="AA13" s="2">
        <f t="shared" si="12"/>
        <v>6968.3460000000005</v>
      </c>
      <c r="AB13" s="2">
        <f t="shared" si="13"/>
        <v>5561.8809999999994</v>
      </c>
      <c r="AC13" s="2">
        <f t="shared" si="2"/>
        <v>6597</v>
      </c>
      <c r="AD13" s="2">
        <f t="shared" si="3"/>
        <v>8399</v>
      </c>
      <c r="AE13" s="2">
        <f t="shared" si="14"/>
        <v>8549</v>
      </c>
    </row>
    <row r="14" spans="1:67">
      <c r="B14" s="2" t="s">
        <v>59</v>
      </c>
      <c r="C14" s="2">
        <f t="shared" ref="C14:W14" si="17">C6-C13</f>
        <v>-325.48899999999992</v>
      </c>
      <c r="D14" s="2">
        <f t="shared" si="17"/>
        <v>-583.21500000000003</v>
      </c>
      <c r="E14" s="13">
        <f t="shared" si="17"/>
        <v>418.73699999999997</v>
      </c>
      <c r="F14" s="2">
        <f t="shared" si="17"/>
        <v>-3100.1800000000003</v>
      </c>
      <c r="G14" s="2">
        <f t="shared" si="17"/>
        <v>-446.94499999999982</v>
      </c>
      <c r="H14" s="2">
        <f t="shared" si="17"/>
        <v>-50.912000000000035</v>
      </c>
      <c r="I14" s="13">
        <f t="shared" si="17"/>
        <v>851.97299999999996</v>
      </c>
      <c r="J14" s="2">
        <f t="shared" si="17"/>
        <v>75.567000000000007</v>
      </c>
      <c r="K14" s="2">
        <f t="shared" si="17"/>
        <v>-5</v>
      </c>
      <c r="L14" s="2">
        <f t="shared" si="17"/>
        <v>369</v>
      </c>
      <c r="M14" s="13">
        <f t="shared" si="17"/>
        <v>1203</v>
      </c>
      <c r="N14" s="2">
        <f t="shared" si="17"/>
        <v>235</v>
      </c>
      <c r="O14" s="2">
        <f t="shared" si="17"/>
        <v>-5</v>
      </c>
      <c r="P14" s="2">
        <f t="shared" si="17"/>
        <v>523</v>
      </c>
      <c r="Q14" s="13">
        <f t="shared" si="17"/>
        <v>1496</v>
      </c>
      <c r="R14" s="2">
        <f t="shared" si="17"/>
        <v>-496</v>
      </c>
      <c r="S14" s="2">
        <f t="shared" si="17"/>
        <v>101</v>
      </c>
      <c r="T14" s="2">
        <f t="shared" si="17"/>
        <v>497</v>
      </c>
      <c r="U14" s="13">
        <f t="shared" si="17"/>
        <v>1525</v>
      </c>
      <c r="V14" s="2">
        <f t="shared" si="17"/>
        <v>430</v>
      </c>
      <c r="W14" s="2">
        <f t="shared" si="17"/>
        <v>38</v>
      </c>
      <c r="AA14" s="2">
        <f t="shared" si="12"/>
        <v>-3590.1470000000004</v>
      </c>
      <c r="AB14" s="2">
        <f t="shared" si="13"/>
        <v>429.68300000000011</v>
      </c>
      <c r="AC14" s="2">
        <f t="shared" si="2"/>
        <v>1802</v>
      </c>
      <c r="AD14" s="2">
        <f t="shared" si="3"/>
        <v>1518</v>
      </c>
      <c r="AE14" s="2">
        <f t="shared" si="14"/>
        <v>2553</v>
      </c>
    </row>
    <row r="15" spans="1:67">
      <c r="B15" s="2" t="s">
        <v>87</v>
      </c>
      <c r="C15" s="2">
        <f>13.649+1.51</f>
        <v>15.158999999999999</v>
      </c>
      <c r="D15" s="2">
        <f>5.856-49.191</f>
        <v>-43.335000000000001</v>
      </c>
      <c r="E15" s="13">
        <f>4.325-59.143</f>
        <v>-54.817999999999998</v>
      </c>
      <c r="F15" s="2">
        <f>3.287-64.14</f>
        <v>-60.853000000000002</v>
      </c>
      <c r="G15" s="2">
        <f>3.052-421.911</f>
        <v>-418.85899999999998</v>
      </c>
      <c r="H15" s="2">
        <f>2.942-6.52</f>
        <v>-3.5779999999999994</v>
      </c>
      <c r="I15" s="13">
        <f>2.962-6.649</f>
        <v>-3.6869999999999998</v>
      </c>
      <c r="J15" s="2">
        <f>3.778-2.519</f>
        <v>1.2589999999999999</v>
      </c>
      <c r="K15" s="2">
        <v>-1</v>
      </c>
      <c r="L15" s="2">
        <f>20-8</f>
        <v>12</v>
      </c>
      <c r="M15" s="13">
        <f>59-5</f>
        <v>54</v>
      </c>
      <c r="N15" s="2">
        <f>(186-24)-(84-19)</f>
        <v>97</v>
      </c>
      <c r="O15" s="2">
        <v>146</v>
      </c>
      <c r="P15" s="2">
        <v>191</v>
      </c>
      <c r="Q15" s="13">
        <v>192</v>
      </c>
      <c r="R15" s="2">
        <f>721-529</f>
        <v>192</v>
      </c>
      <c r="S15" s="2">
        <v>202</v>
      </c>
      <c r="T15" s="2">
        <v>226</v>
      </c>
      <c r="U15" s="13">
        <v>207</v>
      </c>
      <c r="V15" s="2">
        <f>818-635</f>
        <v>183</v>
      </c>
      <c r="W15" s="2">
        <v>173</v>
      </c>
      <c r="AA15" s="2">
        <f t="shared" si="12"/>
        <v>-143.84700000000001</v>
      </c>
      <c r="AB15" s="2">
        <f t="shared" si="13"/>
        <v>-424.86499999999995</v>
      </c>
      <c r="AC15" s="2">
        <f t="shared" si="2"/>
        <v>162</v>
      </c>
      <c r="AD15" s="2">
        <f t="shared" si="3"/>
        <v>721</v>
      </c>
      <c r="AE15" s="2">
        <f t="shared" si="14"/>
        <v>818</v>
      </c>
    </row>
    <row r="16" spans="1:67">
      <c r="B16" s="2" t="s">
        <v>86</v>
      </c>
      <c r="C16" s="2">
        <v>-46.76</v>
      </c>
      <c r="D16" s="2">
        <v>-12.848000000000001</v>
      </c>
      <c r="E16" s="13">
        <v>-56.143000000000001</v>
      </c>
      <c r="F16" s="2">
        <v>-831.46900000000005</v>
      </c>
      <c r="G16" s="2">
        <v>-300.09800000000001</v>
      </c>
      <c r="H16" s="2">
        <v>-2.1280000000000001</v>
      </c>
      <c r="I16" s="13">
        <v>2.1720000000000002</v>
      </c>
      <c r="J16" s="2">
        <v>-4.6050000000000004</v>
      </c>
      <c r="K16" s="2">
        <v>-2</v>
      </c>
      <c r="L16" s="2">
        <v>2</v>
      </c>
      <c r="M16" s="13">
        <v>13</v>
      </c>
      <c r="N16" s="2">
        <f>25-13</f>
        <v>12</v>
      </c>
      <c r="O16" s="2">
        <v>-11</v>
      </c>
      <c r="P16" s="2">
        <v>-38</v>
      </c>
      <c r="Q16" s="13">
        <v>-9</v>
      </c>
      <c r="R16" s="2">
        <f>-137+58</f>
        <v>-79</v>
      </c>
      <c r="S16" s="2">
        <v>-10</v>
      </c>
      <c r="T16" s="2">
        <v>-42</v>
      </c>
      <c r="U16" s="13">
        <v>3</v>
      </c>
      <c r="V16" s="2">
        <f>-40+49</f>
        <v>9</v>
      </c>
      <c r="W16" s="2">
        <v>-38</v>
      </c>
      <c r="AA16" s="2">
        <f t="shared" si="12"/>
        <v>-947.22</v>
      </c>
      <c r="AB16" s="2">
        <f t="shared" si="13"/>
        <v>-304.65899999999999</v>
      </c>
      <c r="AC16" s="2">
        <f t="shared" si="2"/>
        <v>25</v>
      </c>
      <c r="AD16" s="2">
        <f t="shared" si="3"/>
        <v>-137</v>
      </c>
      <c r="AE16" s="2">
        <f t="shared" si="14"/>
        <v>-40</v>
      </c>
    </row>
    <row r="17" spans="2:67">
      <c r="B17" s="2" t="s">
        <v>85</v>
      </c>
      <c r="C17" s="2">
        <f t="shared" ref="C17:W17" si="18">C14+C15+C16</f>
        <v>-357.08999999999992</v>
      </c>
      <c r="D17" s="2">
        <f t="shared" si="18"/>
        <v>-639.39800000000002</v>
      </c>
      <c r="E17" s="13">
        <f t="shared" si="18"/>
        <v>307.77599999999995</v>
      </c>
      <c r="F17" s="2">
        <f t="shared" si="18"/>
        <v>-3992.5020000000004</v>
      </c>
      <c r="G17" s="2">
        <f t="shared" si="18"/>
        <v>-1165.9019999999998</v>
      </c>
      <c r="H17" s="2">
        <f t="shared" si="18"/>
        <v>-56.618000000000038</v>
      </c>
      <c r="I17" s="13">
        <f t="shared" si="18"/>
        <v>850.45799999999997</v>
      </c>
      <c r="J17" s="2">
        <f t="shared" si="18"/>
        <v>72.221000000000004</v>
      </c>
      <c r="K17" s="2">
        <f t="shared" si="18"/>
        <v>-8</v>
      </c>
      <c r="L17" s="2">
        <f t="shared" si="18"/>
        <v>383</v>
      </c>
      <c r="M17" s="13">
        <f t="shared" si="18"/>
        <v>1270</v>
      </c>
      <c r="N17" s="2">
        <f t="shared" si="18"/>
        <v>344</v>
      </c>
      <c r="O17" s="2">
        <f t="shared" si="18"/>
        <v>130</v>
      </c>
      <c r="P17" s="2">
        <f t="shared" si="18"/>
        <v>676</v>
      </c>
      <c r="Q17" s="13">
        <f t="shared" si="18"/>
        <v>1679</v>
      </c>
      <c r="R17" s="2">
        <f t="shared" si="18"/>
        <v>-383</v>
      </c>
      <c r="S17" s="2">
        <f t="shared" si="18"/>
        <v>293</v>
      </c>
      <c r="T17" s="2">
        <f t="shared" si="18"/>
        <v>681</v>
      </c>
      <c r="U17" s="13">
        <f t="shared" si="18"/>
        <v>1735</v>
      </c>
      <c r="V17" s="2">
        <f t="shared" si="18"/>
        <v>622</v>
      </c>
      <c r="W17" s="2">
        <f t="shared" si="18"/>
        <v>173</v>
      </c>
      <c r="AA17" s="2">
        <f t="shared" si="12"/>
        <v>-4681.2139999999999</v>
      </c>
      <c r="AB17" s="2">
        <f t="shared" si="13"/>
        <v>-299.84099999999978</v>
      </c>
      <c r="AC17" s="2">
        <f t="shared" si="2"/>
        <v>1989</v>
      </c>
      <c r="AD17" s="2">
        <f t="shared" si="3"/>
        <v>2102</v>
      </c>
      <c r="AE17" s="2">
        <f t="shared" si="14"/>
        <v>3331</v>
      </c>
    </row>
    <row r="18" spans="2:67">
      <c r="B18" s="2" t="s">
        <v>45</v>
      </c>
      <c r="C18" s="2">
        <v>-16.484999999999999</v>
      </c>
      <c r="D18" s="2">
        <v>-63.81</v>
      </c>
      <c r="E18" s="13">
        <v>87.724000000000004</v>
      </c>
      <c r="F18" s="2">
        <f>-104.651</f>
        <v>-104.651</v>
      </c>
      <c r="G18" s="2">
        <v>6.3090000000000002</v>
      </c>
      <c r="H18" s="2">
        <v>11.233000000000001</v>
      </c>
      <c r="I18" s="13">
        <v>16.565000000000001</v>
      </c>
      <c r="J18" s="2">
        <v>17.72</v>
      </c>
      <c r="K18" s="2">
        <v>11</v>
      </c>
      <c r="L18" s="2">
        <v>4</v>
      </c>
      <c r="M18" s="13">
        <v>56</v>
      </c>
      <c r="N18" s="2">
        <f>96-71</f>
        <v>25</v>
      </c>
      <c r="O18" s="2">
        <v>13</v>
      </c>
      <c r="P18" s="2">
        <v>26</v>
      </c>
      <c r="Q18" s="13">
        <v>-2695</v>
      </c>
      <c r="R18" s="2">
        <f>-2690+2656</f>
        <v>-34</v>
      </c>
      <c r="S18" s="2">
        <v>29</v>
      </c>
      <c r="T18" s="2">
        <v>126</v>
      </c>
      <c r="U18" s="13">
        <v>367</v>
      </c>
      <c r="V18" s="2">
        <f>683-522</f>
        <v>161</v>
      </c>
      <c r="W18" s="2">
        <v>19</v>
      </c>
      <c r="AA18" s="2">
        <f t="shared" si="12"/>
        <v>-97.221999999999994</v>
      </c>
      <c r="AB18" s="2">
        <f t="shared" si="13"/>
        <v>51.826999999999998</v>
      </c>
      <c r="AC18" s="2">
        <f t="shared" si="2"/>
        <v>96</v>
      </c>
      <c r="AD18" s="2">
        <f t="shared" si="3"/>
        <v>-2690</v>
      </c>
      <c r="AE18" s="2">
        <f t="shared" si="14"/>
        <v>683</v>
      </c>
    </row>
    <row r="19" spans="2:67" s="8" customFormat="1">
      <c r="B19" s="8" t="s">
        <v>46</v>
      </c>
      <c r="C19" s="8">
        <f t="shared" ref="C19:W19" si="19">C17-C18</f>
        <v>-340.6049999999999</v>
      </c>
      <c r="D19" s="8">
        <f t="shared" si="19"/>
        <v>-575.58799999999997</v>
      </c>
      <c r="E19" s="16">
        <f t="shared" si="19"/>
        <v>220.05199999999996</v>
      </c>
      <c r="F19" s="8">
        <f t="shared" si="19"/>
        <v>-3887.8510000000006</v>
      </c>
      <c r="G19" s="8">
        <f t="shared" si="19"/>
        <v>-1172.2109999999998</v>
      </c>
      <c r="H19" s="8">
        <f t="shared" si="19"/>
        <v>-67.851000000000042</v>
      </c>
      <c r="I19" s="16">
        <f t="shared" si="19"/>
        <v>833.89299999999992</v>
      </c>
      <c r="J19" s="8">
        <f t="shared" si="19"/>
        <v>54.501000000000005</v>
      </c>
      <c r="K19" s="8">
        <f t="shared" si="19"/>
        <v>-19</v>
      </c>
      <c r="L19" s="8">
        <f t="shared" si="19"/>
        <v>379</v>
      </c>
      <c r="M19" s="16">
        <f t="shared" si="19"/>
        <v>1214</v>
      </c>
      <c r="N19" s="8">
        <f t="shared" si="19"/>
        <v>319</v>
      </c>
      <c r="O19" s="8">
        <f t="shared" si="19"/>
        <v>117</v>
      </c>
      <c r="P19" s="8">
        <f t="shared" si="19"/>
        <v>650</v>
      </c>
      <c r="Q19" s="16">
        <f t="shared" si="19"/>
        <v>4374</v>
      </c>
      <c r="R19" s="8">
        <f t="shared" si="19"/>
        <v>-349</v>
      </c>
      <c r="S19" s="8">
        <f t="shared" si="19"/>
        <v>264</v>
      </c>
      <c r="T19" s="8">
        <f t="shared" si="19"/>
        <v>555</v>
      </c>
      <c r="U19" s="16">
        <f t="shared" si="19"/>
        <v>1368</v>
      </c>
      <c r="V19" s="8">
        <f t="shared" si="19"/>
        <v>461</v>
      </c>
      <c r="W19" s="8">
        <f t="shared" si="19"/>
        <v>154</v>
      </c>
      <c r="AA19" s="8">
        <f t="shared" si="12"/>
        <v>-4583.9920000000002</v>
      </c>
      <c r="AB19" s="8">
        <f t="shared" si="13"/>
        <v>-351.66800000000001</v>
      </c>
      <c r="AC19" s="8">
        <f t="shared" si="2"/>
        <v>1893</v>
      </c>
      <c r="AD19" s="8">
        <f t="shared" si="3"/>
        <v>4792</v>
      </c>
      <c r="AE19" s="8">
        <f t="shared" si="14"/>
        <v>2648</v>
      </c>
      <c r="AF19" s="8">
        <f>AE19*1.15</f>
        <v>3045.2</v>
      </c>
      <c r="AG19" s="8">
        <f t="shared" ref="AG19:AK19" si="20">AF19*1.15</f>
        <v>3501.9799999999996</v>
      </c>
      <c r="AH19" s="8">
        <f t="shared" si="20"/>
        <v>4027.2769999999991</v>
      </c>
      <c r="AI19" s="8">
        <f t="shared" si="20"/>
        <v>4631.3685499999983</v>
      </c>
      <c r="AJ19" s="8">
        <f>AI19*1.15</f>
        <v>5326.0738324999975</v>
      </c>
      <c r="AK19" s="8">
        <f t="shared" si="20"/>
        <v>6124.9849073749965</v>
      </c>
      <c r="AL19" s="8">
        <f>AK19*(1+$AH$42)</f>
        <v>6247.4846055224962</v>
      </c>
      <c r="AM19" s="8">
        <f>AL19*(1+$AH$42)</f>
        <v>6372.4342976329463</v>
      </c>
      <c r="AN19" s="8">
        <f>AM19*(1+$AH$42)</f>
        <v>6499.882983585605</v>
      </c>
      <c r="AO19" s="8">
        <f>AN19*(1+$AH$42)</f>
        <v>6629.8806432573174</v>
      </c>
      <c r="AP19" s="8">
        <f>AO19*(1+$AH$42)</f>
        <v>6762.4782561224638</v>
      </c>
      <c r="AQ19" s="8">
        <f>AP19*(1+$AH$42)</f>
        <v>6897.7278212449128</v>
      </c>
      <c r="AR19" s="8">
        <f>AQ19*(1+$AH$42)</f>
        <v>7035.6823776698111</v>
      </c>
      <c r="AS19" s="8">
        <f>AR19*(1+$AH$42)</f>
        <v>7176.3960252232073</v>
      </c>
      <c r="AT19" s="8">
        <f>AS19*(1+$AH$42)</f>
        <v>7319.9239457276717</v>
      </c>
      <c r="AU19" s="8">
        <f>AT19*(1+$AH$42)</f>
        <v>7466.3224246422251</v>
      </c>
      <c r="AV19" s="8">
        <f>AU19*(1+$AH$42)</f>
        <v>7615.6488731350701</v>
      </c>
      <c r="AW19" s="8">
        <f>AV19*(1+$AH$42)</f>
        <v>7767.9618505977714</v>
      </c>
      <c r="AX19" s="8">
        <f>AW19*(1+$AH$42)</f>
        <v>7923.3210876097273</v>
      </c>
      <c r="AY19" s="8">
        <f>AX19*(1+$AH$42)</f>
        <v>8081.7875093619223</v>
      </c>
      <c r="AZ19" s="8">
        <f>AY19*(1+$AH$42)</f>
        <v>8243.4232595491612</v>
      </c>
      <c r="BA19" s="8">
        <f>AZ19*(1+$AH$42)</f>
        <v>8408.2917247401438</v>
      </c>
      <c r="BB19" s="8">
        <f>BA19*(1+$AH$42)</f>
        <v>8576.4575592349465</v>
      </c>
      <c r="BC19" s="8">
        <f>BB19*(1+$AH$42)</f>
        <v>8747.9867104196455</v>
      </c>
      <c r="BD19" s="8">
        <f>BC19*(1+$AH$42)</f>
        <v>8922.9464446280381</v>
      </c>
      <c r="BE19" s="8">
        <f>BD19*(1+$AH$42)</f>
        <v>9101.4053735205998</v>
      </c>
      <c r="BF19" s="8">
        <f>BE19*(1+$AH$42)</f>
        <v>9283.4334809910124</v>
      </c>
      <c r="BG19" s="8">
        <f>BF19*(1+$AH$42)</f>
        <v>9469.1021506108336</v>
      </c>
      <c r="BH19" s="8">
        <f>BG19*(1+$AH$42)</f>
        <v>9658.4841936230496</v>
      </c>
      <c r="BI19" s="8">
        <f>BH19*(1+$AH$42)</f>
        <v>9851.6538774955116</v>
      </c>
      <c r="BJ19" s="8">
        <f>BI19*(1+$AH$42)</f>
        <v>10048.686955045421</v>
      </c>
      <c r="BK19" s="8">
        <f>BJ19*(1+$AH$42)</f>
        <v>10249.660694146331</v>
      </c>
      <c r="BL19" s="8">
        <f>BK19*(1+$AH$42)</f>
        <v>10454.653908029257</v>
      </c>
      <c r="BM19" s="8">
        <f>BL19*(1+$AH$42)</f>
        <v>10663.746986189843</v>
      </c>
      <c r="BN19" s="8">
        <f>BM19*(1+$AH$42)</f>
        <v>10877.021925913639</v>
      </c>
      <c r="BO19" s="8">
        <f>BN19*(1+$AH$42)</f>
        <v>11094.562364431913</v>
      </c>
    </row>
    <row r="20" spans="2:67">
      <c r="B20" s="2" t="s">
        <v>1</v>
      </c>
      <c r="C20" s="2">
        <v>262.50900000000001</v>
      </c>
      <c r="D20" s="2">
        <v>263.517</v>
      </c>
      <c r="E20" s="13">
        <v>299.20600000000002</v>
      </c>
      <c r="F20" s="2">
        <v>345.755</v>
      </c>
      <c r="G20" s="2">
        <v>600.96</v>
      </c>
      <c r="H20" s="2">
        <v>611.73900000000003</v>
      </c>
      <c r="I20" s="13">
        <v>681.91600000000005</v>
      </c>
      <c r="J20" s="2">
        <v>680.89599999999996</v>
      </c>
      <c r="K20" s="2">
        <v>635</v>
      </c>
      <c r="L20" s="2">
        <v>684</v>
      </c>
      <c r="M20" s="13">
        <v>683</v>
      </c>
      <c r="N20" s="2">
        <v>680</v>
      </c>
      <c r="O20" s="2">
        <v>670</v>
      </c>
      <c r="P20" s="2">
        <v>665</v>
      </c>
      <c r="Q20" s="13">
        <v>660</v>
      </c>
      <c r="R20" s="2">
        <v>662</v>
      </c>
      <c r="S20" s="2">
        <v>654</v>
      </c>
      <c r="T20" s="2">
        <v>649</v>
      </c>
      <c r="U20" s="13">
        <v>642</v>
      </c>
      <c r="V20" s="2">
        <v>645</v>
      </c>
      <c r="W20" s="2">
        <v>632</v>
      </c>
      <c r="AA20" s="2">
        <v>345.755</v>
      </c>
      <c r="AB20" s="2">
        <v>680.89599999999996</v>
      </c>
      <c r="AC20" s="2">
        <v>680</v>
      </c>
      <c r="AD20" s="2">
        <v>662</v>
      </c>
      <c r="AE20" s="2">
        <v>645</v>
      </c>
      <c r="AM20" s="8"/>
    </row>
    <row r="22" spans="2:67">
      <c r="B22" s="2" t="s">
        <v>91</v>
      </c>
      <c r="C22" s="2">
        <v>-562.9</v>
      </c>
      <c r="D22" s="2">
        <v>-256.89999999999998</v>
      </c>
      <c r="E22" s="13">
        <v>338.3</v>
      </c>
      <c r="F22" s="2">
        <v>-264.60000000000002</v>
      </c>
      <c r="G22" s="2">
        <v>618</v>
      </c>
      <c r="H22" s="2">
        <v>790</v>
      </c>
      <c r="I22" s="13">
        <v>527.79999999999995</v>
      </c>
      <c r="J22" s="2">
        <v>382</v>
      </c>
      <c r="K22" s="2">
        <v>1202</v>
      </c>
      <c r="L22" s="2">
        <v>800</v>
      </c>
      <c r="M22" s="13">
        <v>965</v>
      </c>
      <c r="N22" s="2">
        <v>463</v>
      </c>
      <c r="O22" s="2">
        <v>1587</v>
      </c>
      <c r="P22" s="2">
        <v>909</v>
      </c>
      <c r="Q22" s="13">
        <v>1325</v>
      </c>
      <c r="R22" s="2">
        <v>63</v>
      </c>
      <c r="S22" s="2">
        <v>1923</v>
      </c>
      <c r="T22" s="2">
        <v>1051</v>
      </c>
      <c r="U22" s="13">
        <v>1078</v>
      </c>
      <c r="V22" s="2">
        <v>466</v>
      </c>
      <c r="W22" s="2">
        <v>1789</v>
      </c>
      <c r="AA22" s="2">
        <f>SUM(C22:F22)</f>
        <v>-746.09999999999991</v>
      </c>
      <c r="AB22" s="2">
        <f>SUM(G22:J22)</f>
        <v>2317.8000000000002</v>
      </c>
      <c r="AC22" s="2">
        <f>SUM(K22:N22)</f>
        <v>3430</v>
      </c>
      <c r="AD22" s="2">
        <f>SUM(O22:R22)</f>
        <v>3884</v>
      </c>
      <c r="AE22" s="2">
        <f>SUM(S22:V22)</f>
        <v>4518</v>
      </c>
    </row>
    <row r="23" spans="2:67">
      <c r="B23" s="2" t="s">
        <v>92</v>
      </c>
      <c r="C23" s="2">
        <v>15.7</v>
      </c>
      <c r="D23" s="2">
        <v>6.2</v>
      </c>
      <c r="E23" s="13">
        <v>7.6</v>
      </c>
      <c r="F23" s="2">
        <v>7.9</v>
      </c>
      <c r="G23" s="2">
        <v>7.7</v>
      </c>
      <c r="H23" s="2">
        <v>7.6</v>
      </c>
      <c r="I23" s="13">
        <v>5.6</v>
      </c>
      <c r="J23" s="2">
        <v>4.4000000000000004</v>
      </c>
      <c r="K23" s="2">
        <v>6</v>
      </c>
      <c r="L23" s="2">
        <v>5</v>
      </c>
      <c r="M23" s="13">
        <v>6</v>
      </c>
      <c r="N23" s="2">
        <v>8</v>
      </c>
      <c r="O23" s="2">
        <v>6</v>
      </c>
      <c r="P23" s="2">
        <v>9</v>
      </c>
      <c r="Q23" s="13">
        <v>15</v>
      </c>
      <c r="R23" s="2">
        <v>17</v>
      </c>
      <c r="S23" s="2">
        <v>14</v>
      </c>
      <c r="T23" s="2">
        <v>8</v>
      </c>
      <c r="U23" s="13">
        <v>4</v>
      </c>
      <c r="V23" s="2">
        <v>8</v>
      </c>
      <c r="W23" s="2">
        <v>8</v>
      </c>
      <c r="AA23" s="2">
        <f t="shared" ref="AA23:AA24" si="21">SUM(C23:F23)</f>
        <v>37.4</v>
      </c>
      <c r="AB23" s="2">
        <f t="shared" ref="AB23:AB24" si="22">SUM(G23:J23)</f>
        <v>25.299999999999997</v>
      </c>
      <c r="AC23" s="2">
        <f t="shared" ref="AC23:AC24" si="23">SUM(K23:N23)</f>
        <v>25</v>
      </c>
      <c r="AD23" s="2">
        <f t="shared" ref="AD23:AD24" si="24">SUM(O23:R23)</f>
        <v>47</v>
      </c>
      <c r="AE23" s="2">
        <f t="shared" ref="AE23:AE24" si="25">SUM(S23:V23)</f>
        <v>34</v>
      </c>
    </row>
    <row r="24" spans="2:67" s="8" customFormat="1">
      <c r="B24" s="8" t="s">
        <v>90</v>
      </c>
      <c r="C24" s="8">
        <f>C22-C23</f>
        <v>-578.6</v>
      </c>
      <c r="D24" s="8">
        <f t="shared" ref="D24:W24" si="26">D22-D23</f>
        <v>-263.09999999999997</v>
      </c>
      <c r="E24" s="16">
        <f t="shared" si="26"/>
        <v>330.7</v>
      </c>
      <c r="F24" s="8">
        <f t="shared" si="26"/>
        <v>-272.5</v>
      </c>
      <c r="G24" s="8">
        <f t="shared" si="26"/>
        <v>610.29999999999995</v>
      </c>
      <c r="H24" s="8">
        <f t="shared" si="26"/>
        <v>782.4</v>
      </c>
      <c r="I24" s="16">
        <f t="shared" si="26"/>
        <v>522.19999999999993</v>
      </c>
      <c r="J24" s="8">
        <f t="shared" si="26"/>
        <v>377.6</v>
      </c>
      <c r="K24" s="8">
        <f t="shared" si="26"/>
        <v>1196</v>
      </c>
      <c r="L24" s="8">
        <f t="shared" si="26"/>
        <v>795</v>
      </c>
      <c r="M24" s="16">
        <f t="shared" si="26"/>
        <v>959</v>
      </c>
      <c r="N24" s="8">
        <f t="shared" si="26"/>
        <v>455</v>
      </c>
      <c r="O24" s="8">
        <f t="shared" si="26"/>
        <v>1581</v>
      </c>
      <c r="P24" s="8">
        <f t="shared" si="26"/>
        <v>900</v>
      </c>
      <c r="Q24" s="16">
        <f t="shared" si="26"/>
        <v>1310</v>
      </c>
      <c r="R24" s="8">
        <f t="shared" si="26"/>
        <v>46</v>
      </c>
      <c r="S24" s="8">
        <f t="shared" si="26"/>
        <v>1909</v>
      </c>
      <c r="T24" s="8">
        <f t="shared" si="26"/>
        <v>1043</v>
      </c>
      <c r="U24" s="16">
        <f t="shared" si="26"/>
        <v>1074</v>
      </c>
      <c r="V24" s="8">
        <f t="shared" si="26"/>
        <v>458</v>
      </c>
      <c r="W24" s="8">
        <f t="shared" si="26"/>
        <v>1781</v>
      </c>
      <c r="AA24" s="8">
        <f t="shared" si="21"/>
        <v>-783.5</v>
      </c>
      <c r="AB24" s="8">
        <f t="shared" si="22"/>
        <v>2292.4999999999995</v>
      </c>
      <c r="AC24" s="8">
        <f t="shared" si="23"/>
        <v>3405</v>
      </c>
      <c r="AD24" s="8">
        <f t="shared" si="24"/>
        <v>3837</v>
      </c>
      <c r="AE24" s="8">
        <f t="shared" si="25"/>
        <v>4484</v>
      </c>
      <c r="AF24" s="8">
        <f>AE24*1.15</f>
        <v>5156.5999999999995</v>
      </c>
      <c r="AG24" s="8">
        <f t="shared" ref="AG24:AJ24" si="27">AF24*1.15</f>
        <v>5930.0899999999992</v>
      </c>
      <c r="AH24" s="8">
        <f t="shared" si="27"/>
        <v>6819.6034999999983</v>
      </c>
      <c r="AI24" s="8">
        <f t="shared" si="27"/>
        <v>7842.5440249999974</v>
      </c>
      <c r="AJ24" s="8">
        <f t="shared" si="27"/>
        <v>9018.9256287499957</v>
      </c>
      <c r="AK24" s="8">
        <f>AJ24*(1+$AK$42)</f>
        <v>9199.3041413249957</v>
      </c>
      <c r="AL24" s="8">
        <f>AK24*(1+$AK$42)</f>
        <v>9383.2902241514967</v>
      </c>
      <c r="AM24" s="8">
        <f>AL24*(1+$AK$42)</f>
        <v>9570.9560286345259</v>
      </c>
      <c r="AN24" s="8">
        <f>AM24*(1+$AK$42)</f>
        <v>9762.375149207217</v>
      </c>
      <c r="AO24" s="8">
        <f>AN24*(1+$AK$42)</f>
        <v>9957.6226521913613</v>
      </c>
      <c r="AP24" s="8">
        <f>AO24*(1+$AK$42)</f>
        <v>10156.775105235189</v>
      </c>
      <c r="AQ24" s="8">
        <f>AP24*(1+$AK$42)</f>
        <v>10359.910607339893</v>
      </c>
      <c r="AR24" s="8">
        <f>AQ24*(1+$AK$42)</f>
        <v>10567.10881948669</v>
      </c>
      <c r="AS24" s="8">
        <f>AR24*(1+$AK$42)</f>
        <v>10778.450995876423</v>
      </c>
      <c r="AT24" s="8">
        <f>AS24*(1+$AK$42)</f>
        <v>10994.020015793951</v>
      </c>
      <c r="AU24" s="8">
        <f>AT24*(1+$AK$42)</f>
        <v>11213.900416109829</v>
      </c>
    </row>
    <row r="26" spans="2:67" s="8" customFormat="1">
      <c r="B26" s="8" t="s">
        <v>67</v>
      </c>
      <c r="E26" s="16"/>
      <c r="G26" s="19">
        <f t="shared" ref="G26:H26" si="28">(G6-C6)/C6</f>
        <v>5.358088925317462E-2</v>
      </c>
      <c r="H26" s="19">
        <f t="shared" si="28"/>
        <v>2.9877648801878283</v>
      </c>
      <c r="I26" s="20">
        <f t="shared" ref="I26" si="29">(I6-E6)/E6</f>
        <v>0.66682584250829335</v>
      </c>
      <c r="J26" s="19">
        <f t="shared" ref="J26" si="30">(J6-F6)/F6</f>
        <v>0.78314929986593163</v>
      </c>
      <c r="K26" s="19">
        <f t="shared" ref="K26" si="31">(K6-G6)/G6</f>
        <v>0.70136289427873033</v>
      </c>
      <c r="L26" s="19">
        <f t="shared" ref="L26" si="32">(L6-H6)/H6</f>
        <v>0.57602996254681649</v>
      </c>
      <c r="M26" s="20">
        <f t="shared" ref="M26" si="33">(M6-I6)/I6</f>
        <v>0.28897772088716006</v>
      </c>
      <c r="N26" s="19">
        <f t="shared" ref="N26" si="34">(N6-J6)/J6</f>
        <v>0.24135554459090097</v>
      </c>
      <c r="O26" s="19">
        <f t="shared" ref="O26" si="35">(O6-K6)/K6</f>
        <v>0.2047713717693837</v>
      </c>
      <c r="P26" s="19">
        <f t="shared" ref="P26" si="36">(P6-L6)/L6</f>
        <v>0.1806083650190114</v>
      </c>
      <c r="Q26" s="20">
        <f t="shared" ref="Q26:V26" si="37">(Q6-M6)/M6</f>
        <v>0.17787794729542303</v>
      </c>
      <c r="R26" s="19">
        <f t="shared" si="37"/>
        <v>0.16614090431125131</v>
      </c>
      <c r="S26" s="19">
        <f t="shared" si="37"/>
        <v>0.17821782178217821</v>
      </c>
      <c r="T26" s="19">
        <f t="shared" si="37"/>
        <v>0.10628019323671498</v>
      </c>
      <c r="U26" s="20">
        <f t="shared" si="37"/>
        <v>9.8616426258463355E-2</v>
      </c>
      <c r="V26" s="19">
        <f t="shared" si="37"/>
        <v>0.11812443642921551</v>
      </c>
      <c r="W26" s="19">
        <f>(W6-S6)/S6</f>
        <v>6.069094304388422E-2</v>
      </c>
      <c r="AA26" s="19"/>
      <c r="AB26" s="19">
        <f>(AB6-AA6)/AA6</f>
        <v>0.77359711491241345</v>
      </c>
      <c r="AC26" s="19">
        <f t="shared" ref="AC26:AE26" si="38">(AC6-AB6)/AB6</f>
        <v>0.40180427013714609</v>
      </c>
      <c r="AD26" s="19">
        <f t="shared" si="38"/>
        <v>0.18073580188117633</v>
      </c>
      <c r="AE26" s="19">
        <f t="shared" si="38"/>
        <v>0.11949178178884744</v>
      </c>
    </row>
    <row r="27" spans="2:67">
      <c r="B27" s="2" t="s">
        <v>68</v>
      </c>
      <c r="G27" s="6">
        <f t="shared" ref="G27:H27" si="39">(G19-C19)/C19</f>
        <v>2.4415554674769897</v>
      </c>
      <c r="H27" s="6">
        <f t="shared" si="39"/>
        <v>-0.88211880720237379</v>
      </c>
      <c r="I27" s="17">
        <f t="shared" ref="I27" si="40">(I19-E19)/E19</f>
        <v>2.7895270208859726</v>
      </c>
      <c r="J27" s="6">
        <f t="shared" ref="J27" si="41">(J19-F19)/F19</f>
        <v>-1.0140182841369179</v>
      </c>
      <c r="K27" s="6">
        <f t="shared" ref="K27" si="42">(K19-G19)/G19</f>
        <v>-0.98379131402111053</v>
      </c>
      <c r="L27" s="6">
        <f t="shared" ref="L27" si="43">(L19-H19)/H19</f>
        <v>-6.5857688169665849</v>
      </c>
      <c r="M27" s="17">
        <f t="shared" ref="M27" si="44">(M19-I19)/I19</f>
        <v>0.45582226976362689</v>
      </c>
      <c r="N27" s="6">
        <f t="shared" ref="N27" si="45">(N19-J19)/J19</f>
        <v>4.8531036127777476</v>
      </c>
      <c r="O27" s="6">
        <f t="shared" ref="O27" si="46">(O19-K19)/K19</f>
        <v>-7.1578947368421053</v>
      </c>
      <c r="P27" s="6">
        <f t="shared" ref="P27" si="47">(P19-L19)/L19</f>
        <v>0.71503957783641159</v>
      </c>
      <c r="Q27" s="17">
        <f t="shared" ref="Q27:V27" si="48">(Q19-M19)/M19</f>
        <v>2.6029654036243821</v>
      </c>
      <c r="R27" s="6">
        <f t="shared" si="48"/>
        <v>-2.0940438871473352</v>
      </c>
      <c r="S27" s="6">
        <f t="shared" si="48"/>
        <v>1.2564102564102564</v>
      </c>
      <c r="T27" s="6">
        <f t="shared" si="48"/>
        <v>-0.14615384615384616</v>
      </c>
      <c r="U27" s="17">
        <f t="shared" si="48"/>
        <v>-0.68724279835390945</v>
      </c>
      <c r="V27" s="6">
        <f t="shared" si="48"/>
        <v>-2.3209169054441259</v>
      </c>
      <c r="W27" s="6">
        <f>(W19-S19)/S19</f>
        <v>-0.41666666666666669</v>
      </c>
      <c r="AA27" s="6"/>
      <c r="AB27" s="6">
        <f>(AB19-AA19)/AA19</f>
        <v>-0.92328346122768112</v>
      </c>
      <c r="AC27" s="6">
        <f t="shared" ref="AC27:AE27" si="49">(AC19-AB19)/AB19</f>
        <v>-6.3829179794578979</v>
      </c>
      <c r="AD27" s="6">
        <f t="shared" si="49"/>
        <v>1.5314315900686741</v>
      </c>
      <c r="AE27" s="6">
        <f t="shared" si="49"/>
        <v>-0.44741235392320533</v>
      </c>
    </row>
    <row r="28" spans="2:67">
      <c r="G28" s="6"/>
      <c r="H28" s="6"/>
      <c r="I28" s="17"/>
      <c r="J28" s="6"/>
      <c r="K28" s="6"/>
      <c r="L28" s="6"/>
      <c r="M28" s="17"/>
      <c r="N28" s="6"/>
      <c r="O28" s="6"/>
      <c r="P28" s="6"/>
      <c r="Q28" s="17"/>
      <c r="R28" s="6"/>
      <c r="S28" s="6"/>
      <c r="T28" s="6"/>
      <c r="U28" s="17"/>
      <c r="V28" s="6"/>
      <c r="W28" s="6"/>
      <c r="AA28" s="6"/>
    </row>
    <row r="29" spans="2:67">
      <c r="B29" s="2" t="s">
        <v>72</v>
      </c>
      <c r="G29" s="6">
        <f t="shared" ref="G29:H31" si="50">(G3-C3)/C3</f>
        <v>0.12784588441331005</v>
      </c>
      <c r="H29" s="6">
        <f t="shared" si="50"/>
        <v>1.9678571428571427</v>
      </c>
      <c r="I29" s="17">
        <f t="shared" ref="I29:I31" si="51">(I3-E3)/E3</f>
        <v>0.2928802588996765</v>
      </c>
      <c r="J29" s="6">
        <f t="shared" ref="J29:J31" si="52">(J3-F3)/F3</f>
        <v>0.58531317494600454</v>
      </c>
      <c r="K29" s="6">
        <f t="shared" ref="K29:K31" si="53">(K3-G3)/G3</f>
        <v>0.58540372670807428</v>
      </c>
      <c r="L29" s="6">
        <f t="shared" ref="L29:L31" si="54">(L3-H3)/H3</f>
        <v>0.24789410348977148</v>
      </c>
      <c r="M29" s="17">
        <f t="shared" ref="M29:M31" si="55">(M3-I3)/I3</f>
        <v>0.24780976220275339</v>
      </c>
      <c r="N29" s="6">
        <f t="shared" ref="N29:N31" si="56">(N3-J3)/J3</f>
        <v>0.20163487738419614</v>
      </c>
      <c r="O29" s="6">
        <f t="shared" ref="O29:O31" si="57">(O3-K3)/K3</f>
        <v>0.1860920666013712</v>
      </c>
      <c r="P29" s="6">
        <f t="shared" ref="P29:P31" si="58">(P3-L3)/L3</f>
        <v>0.10993249758919953</v>
      </c>
      <c r="Q29" s="17">
        <f t="shared" ref="Q29:Q31" si="59">(Q3-M3)/M3</f>
        <v>0.13540621865596789</v>
      </c>
      <c r="R29" s="6">
        <f t="shared" ref="R29:R31" si="60">(R3-N3)/N3</f>
        <v>0.12018140589569154</v>
      </c>
      <c r="S29" s="6">
        <f t="shared" ref="S29:S31" si="61">(S3-O3)/O3</f>
        <v>9.4962840627580522E-2</v>
      </c>
      <c r="T29" s="6">
        <f t="shared" ref="T29:T31" si="62">(T3-P3)/P3</f>
        <v>8.6880973066898348E-2</v>
      </c>
      <c r="U29" s="17">
        <f t="shared" ref="U29:U31" si="63">(U3-Q3)/Q3</f>
        <v>0.10512367491166071</v>
      </c>
      <c r="V29" s="6">
        <f t="shared" ref="V29:V31" si="64">(V3-R3)/R3</f>
        <v>0.24291497975708504</v>
      </c>
      <c r="W29" s="6">
        <f t="shared" ref="W29" si="65">(W3-S3)/S3</f>
        <v>-0.16289592760180993</v>
      </c>
      <c r="AA29" s="6"/>
      <c r="AB29" s="6">
        <f>(AB3-AA3)/AA3</f>
        <v>0.55693581780538315</v>
      </c>
      <c r="AC29" s="6">
        <f t="shared" ref="AC29:AE29" si="66">(AC3-AB3)/AB3</f>
        <v>0.30884308510638286</v>
      </c>
      <c r="AD29" s="6">
        <f t="shared" si="66"/>
        <v>0.13843027686055373</v>
      </c>
      <c r="AE29" s="6">
        <f t="shared" si="66"/>
        <v>0.12806782686300755</v>
      </c>
    </row>
    <row r="30" spans="2:67" s="8" customFormat="1">
      <c r="B30" s="8" t="s">
        <v>73</v>
      </c>
      <c r="E30" s="16"/>
      <c r="G30" s="19">
        <f t="shared" si="50"/>
        <v>0.52069169376293234</v>
      </c>
      <c r="H30" s="19">
        <f t="shared" si="50"/>
        <v>3.1875</v>
      </c>
      <c r="I30" s="20">
        <f t="shared" si="51"/>
        <v>0.48749999999999999</v>
      </c>
      <c r="J30" s="19">
        <f t="shared" si="52"/>
        <v>0.91067796610169494</v>
      </c>
      <c r="K30" s="19">
        <f t="shared" si="53"/>
        <v>0.67168821071046747</v>
      </c>
      <c r="L30" s="19">
        <f t="shared" si="54"/>
        <v>0.26119402985074625</v>
      </c>
      <c r="M30" s="20">
        <f t="shared" si="55"/>
        <v>0.31092436974789917</v>
      </c>
      <c r="N30" s="19">
        <f t="shared" si="56"/>
        <v>0.19755167213696442</v>
      </c>
      <c r="O30" s="19">
        <f t="shared" si="57"/>
        <v>0.18604651162790697</v>
      </c>
      <c r="P30" s="19">
        <f t="shared" si="58"/>
        <v>0.13017751479289941</v>
      </c>
      <c r="Q30" s="20">
        <f t="shared" si="59"/>
        <v>0.17307692307692307</v>
      </c>
      <c r="R30" s="19">
        <f t="shared" si="60"/>
        <v>0.14814814814814814</v>
      </c>
      <c r="S30" s="19">
        <f t="shared" si="61"/>
        <v>0.12254901960784313</v>
      </c>
      <c r="T30" s="19">
        <f t="shared" si="62"/>
        <v>0.1099476439790576</v>
      </c>
      <c r="U30" s="20">
        <f t="shared" si="63"/>
        <v>0.15846994535519127</v>
      </c>
      <c r="V30" s="19">
        <f t="shared" si="64"/>
        <v>0.29677419354838708</v>
      </c>
      <c r="W30" s="19">
        <f t="shared" ref="W30" si="67">(W4-S4)/S4</f>
        <v>-0.23144104803493451</v>
      </c>
      <c r="AA30" s="6"/>
      <c r="AB30" s="6">
        <f>(AB4-AA4)/AA4</f>
        <v>0.96354646777842956</v>
      </c>
      <c r="AC30" s="6">
        <f t="shared" ref="AC30:AE30" si="68">(AC4-AB4)/AB4</f>
        <v>0.34864068968460588</v>
      </c>
      <c r="AD30" s="6">
        <f t="shared" si="68"/>
        <v>0.15981012658227847</v>
      </c>
      <c r="AE30" s="6">
        <f t="shared" si="68"/>
        <v>0.165075034106412</v>
      </c>
    </row>
    <row r="31" spans="2:67">
      <c r="B31" s="2" t="s">
        <v>74</v>
      </c>
      <c r="G31" s="6">
        <f t="shared" si="50"/>
        <v>0.34831515083638848</v>
      </c>
      <c r="H31" s="6">
        <f t="shared" si="50"/>
        <v>0.41095066185318885</v>
      </c>
      <c r="I31" s="17">
        <f t="shared" si="51"/>
        <v>0.15053191489361675</v>
      </c>
      <c r="J31" s="6">
        <f t="shared" si="52"/>
        <v>0.20523691867177743</v>
      </c>
      <c r="K31" s="6">
        <f t="shared" si="53"/>
        <v>5.4424297451068936E-2</v>
      </c>
      <c r="L31" s="6">
        <f t="shared" si="54"/>
        <v>1.0657896630636534E-2</v>
      </c>
      <c r="M31" s="17">
        <f t="shared" si="55"/>
        <v>5.058031236566856E-2</v>
      </c>
      <c r="N31" s="6">
        <f t="shared" si="56"/>
        <v>-3.3980415549525237E-3</v>
      </c>
      <c r="O31" s="6">
        <f t="shared" si="57"/>
        <v>-3.8407620071875675E-5</v>
      </c>
      <c r="P31" s="6">
        <f t="shared" si="58"/>
        <v>1.8239863458068408E-2</v>
      </c>
      <c r="Q31" s="17">
        <f t="shared" si="59"/>
        <v>3.3178173416689272E-2</v>
      </c>
      <c r="R31" s="6">
        <f t="shared" si="60"/>
        <v>2.4966261808367186E-2</v>
      </c>
      <c r="S31" s="6">
        <f t="shared" si="61"/>
        <v>2.5193712477449413E-2</v>
      </c>
      <c r="T31" s="6">
        <f t="shared" si="62"/>
        <v>2.1222812326055458E-2</v>
      </c>
      <c r="U31" s="17">
        <f t="shared" si="63"/>
        <v>4.8271765101580003E-2</v>
      </c>
      <c r="V31" s="6">
        <f t="shared" si="64"/>
        <v>4.3332983082904314E-2</v>
      </c>
      <c r="W31" s="6">
        <f t="shared" ref="W31" si="69">(W5-S5)/S5</f>
        <v>-8.1883630355246054E-2</v>
      </c>
      <c r="AA31" s="6"/>
      <c r="AB31" s="6">
        <f>(AB5-AA5)/AA5</f>
        <v>0.27341184471806901</v>
      </c>
      <c r="AC31" s="6">
        <f t="shared" ref="AC31:AE31" si="70">(AC5-AB5)/AB5</f>
        <v>2.794564741155459E-2</v>
      </c>
      <c r="AD31" s="6">
        <f t="shared" si="70"/>
        <v>1.8688781470470681E-2</v>
      </c>
      <c r="AE31" s="6">
        <f t="shared" si="70"/>
        <v>3.4256709411908226E-2</v>
      </c>
    </row>
    <row r="33" spans="2:37">
      <c r="B33" s="2" t="s">
        <v>51</v>
      </c>
      <c r="C33" s="6">
        <f t="shared" ref="C33:J33" si="71">C8/C6</f>
        <v>0.67003789363648236</v>
      </c>
      <c r="D33" s="6">
        <f t="shared" si="71"/>
        <v>0.51848709875916288</v>
      </c>
      <c r="E33" s="17">
        <f t="shared" si="71"/>
        <v>0.83064907239719554</v>
      </c>
      <c r="F33" s="6">
        <f t="shared" si="71"/>
        <v>0.75589923469387765</v>
      </c>
      <c r="G33" s="6">
        <f t="shared" si="71"/>
        <v>0.71304017426285549</v>
      </c>
      <c r="H33" s="6">
        <f t="shared" si="71"/>
        <v>0.77945543071161039</v>
      </c>
      <c r="I33" s="17">
        <f t="shared" si="71"/>
        <v>0.86074213652079712</v>
      </c>
      <c r="J33" s="6">
        <f t="shared" si="71"/>
        <v>0.80726290892287933</v>
      </c>
      <c r="K33" s="6">
        <f t="shared" ref="K33:N33" si="72">K8/K6</f>
        <v>0.75944333996023861</v>
      </c>
      <c r="L33" s="6">
        <f t="shared" si="72"/>
        <v>0.81463878326996197</v>
      </c>
      <c r="M33" s="17">
        <f t="shared" si="72"/>
        <v>0.86095700416088761</v>
      </c>
      <c r="N33" s="6">
        <f t="shared" si="72"/>
        <v>0.81861198738170349</v>
      </c>
      <c r="O33" s="6">
        <f t="shared" ref="O33:V33" si="73">O8/O6</f>
        <v>0.76457645764576454</v>
      </c>
      <c r="P33" s="6">
        <f t="shared" si="73"/>
        <v>0.82608695652173914</v>
      </c>
      <c r="Q33" s="17">
        <f t="shared" si="73"/>
        <v>0.8648807771563144</v>
      </c>
      <c r="R33" s="6">
        <f t="shared" si="73"/>
        <v>0.82687105500450853</v>
      </c>
      <c r="S33" s="6">
        <f t="shared" si="73"/>
        <v>0.77591036414565828</v>
      </c>
      <c r="T33" s="6">
        <f t="shared" si="73"/>
        <v>0.81586608442503639</v>
      </c>
      <c r="U33" s="17">
        <f t="shared" si="73"/>
        <v>0.87540192926045013</v>
      </c>
      <c r="V33" s="6">
        <f t="shared" si="73"/>
        <v>0.82782258064516134</v>
      </c>
      <c r="W33" s="6">
        <f>W8/W6</f>
        <v>0.77728873239436624</v>
      </c>
      <c r="AA33" s="6">
        <f>AA8/AA6</f>
        <v>0.74067779902841724</v>
      </c>
      <c r="AB33" s="6">
        <f t="shared" ref="AB33:AE33" si="74">AB8/AB6</f>
        <v>0.80708993511543892</v>
      </c>
      <c r="AC33" s="6">
        <f t="shared" si="74"/>
        <v>0.82152637218716518</v>
      </c>
      <c r="AD33" s="6">
        <f t="shared" si="74"/>
        <v>0.82827467984269432</v>
      </c>
      <c r="AE33" s="6">
        <f t="shared" si="74"/>
        <v>0.83084128985768335</v>
      </c>
    </row>
    <row r="34" spans="2:37">
      <c r="B34" s="2" t="s">
        <v>52</v>
      </c>
      <c r="C34" s="6">
        <f t="shared" ref="C34:J34" si="75">C14/C6</f>
        <v>-0.38664457194445423</v>
      </c>
      <c r="D34" s="6">
        <f t="shared" si="75"/>
        <v>-1.7421155764784602</v>
      </c>
      <c r="E34" s="17">
        <f t="shared" si="75"/>
        <v>0.31194764927577473</v>
      </c>
      <c r="F34" s="6">
        <f t="shared" si="75"/>
        <v>-3.6079481975271865</v>
      </c>
      <c r="G34" s="6">
        <f t="shared" si="75"/>
        <v>-0.50392023776236372</v>
      </c>
      <c r="H34" s="6">
        <f t="shared" si="75"/>
        <v>-3.8136329588015008E-2</v>
      </c>
      <c r="I34" s="17">
        <f t="shared" si="75"/>
        <v>0.38078162822378514</v>
      </c>
      <c r="J34" s="6">
        <f t="shared" si="75"/>
        <v>4.931940822192462E-2</v>
      </c>
      <c r="K34" s="6">
        <f t="shared" ref="K34:N34" si="76">K14/K6</f>
        <v>-3.3134526176275677E-3</v>
      </c>
      <c r="L34" s="6">
        <f t="shared" si="76"/>
        <v>0.17538022813688212</v>
      </c>
      <c r="M34" s="17">
        <f t="shared" si="76"/>
        <v>0.41712898751733701</v>
      </c>
      <c r="N34" s="6">
        <f t="shared" si="76"/>
        <v>0.12355415352260778</v>
      </c>
      <c r="O34" s="6">
        <f t="shared" ref="O34:V34" si="77">O14/O6</f>
        <v>-2.7502750275027505E-3</v>
      </c>
      <c r="P34" s="6">
        <f t="shared" si="77"/>
        <v>0.21054750402576489</v>
      </c>
      <c r="Q34" s="17">
        <f t="shared" si="77"/>
        <v>0.44038857815719751</v>
      </c>
      <c r="R34" s="6">
        <f t="shared" si="77"/>
        <v>-0.22362488728584309</v>
      </c>
      <c r="S34" s="6">
        <f t="shared" si="77"/>
        <v>4.7152194211017739E-2</v>
      </c>
      <c r="T34" s="6">
        <f t="shared" si="77"/>
        <v>0.18085880640465793</v>
      </c>
      <c r="U34" s="17">
        <f t="shared" si="77"/>
        <v>0.40862808145766344</v>
      </c>
      <c r="V34" s="6">
        <f t="shared" si="77"/>
        <v>0.17338709677419356</v>
      </c>
      <c r="W34" s="6">
        <f>W14/W6</f>
        <v>1.6725352112676055E-2</v>
      </c>
      <c r="AA34" s="6">
        <f>AA14/AA6</f>
        <v>-1.062739939239814</v>
      </c>
      <c r="AB34" s="6">
        <f t="shared" ref="AB34:AE34" si="78">AB14/AB6</f>
        <v>7.1714664151129842E-2</v>
      </c>
      <c r="AC34" s="6">
        <f t="shared" si="78"/>
        <v>0.21454935111322776</v>
      </c>
      <c r="AD34" s="6">
        <f t="shared" si="78"/>
        <v>0.15307048502571341</v>
      </c>
      <c r="AE34" s="6">
        <f t="shared" si="78"/>
        <v>0.2299585660241398</v>
      </c>
    </row>
    <row r="35" spans="2:37">
      <c r="B35" s="2" t="s">
        <v>53</v>
      </c>
      <c r="C35" s="6">
        <f t="shared" ref="C35:J35" si="79">C19/C6</f>
        <v>-0.4046006913509852</v>
      </c>
      <c r="D35" s="6">
        <f t="shared" si="79"/>
        <v>-1.7193330425899263</v>
      </c>
      <c r="E35" s="17">
        <f t="shared" si="79"/>
        <v>0.16393274088134743</v>
      </c>
      <c r="F35" s="6">
        <f t="shared" si="79"/>
        <v>-4.5246292175629383</v>
      </c>
      <c r="G35" s="6">
        <f t="shared" si="79"/>
        <v>-1.3216410203216464</v>
      </c>
      <c r="H35" s="6">
        <f t="shared" si="79"/>
        <v>-5.0824719101123628E-2</v>
      </c>
      <c r="I35" s="17">
        <f t="shared" si="79"/>
        <v>0.37270093571558821</v>
      </c>
      <c r="J35" s="6">
        <f t="shared" si="79"/>
        <v>3.5570514477260097E-2</v>
      </c>
      <c r="K35" s="6">
        <f t="shared" ref="K35:N35" si="80">K19/K6</f>
        <v>-1.2591119946984758E-2</v>
      </c>
      <c r="L35" s="6">
        <f t="shared" si="80"/>
        <v>0.18013307984790874</v>
      </c>
      <c r="M35" s="17">
        <f t="shared" si="80"/>
        <v>0.42094313453536752</v>
      </c>
      <c r="N35" s="6">
        <f t="shared" si="80"/>
        <v>0.16771819137749738</v>
      </c>
      <c r="O35" s="6">
        <f t="shared" ref="O35:V35" si="81">O19/O6</f>
        <v>6.4356435643564358E-2</v>
      </c>
      <c r="P35" s="6">
        <f t="shared" si="81"/>
        <v>0.26167471819645732</v>
      </c>
      <c r="Q35" s="17">
        <f t="shared" si="81"/>
        <v>1.2876067118045333</v>
      </c>
      <c r="R35" s="6">
        <f t="shared" si="81"/>
        <v>-0.15734896302975654</v>
      </c>
      <c r="S35" s="6">
        <f t="shared" si="81"/>
        <v>0.12324929971988796</v>
      </c>
      <c r="T35" s="6">
        <f t="shared" si="81"/>
        <v>0.20196506550218341</v>
      </c>
      <c r="U35" s="17">
        <f t="shared" si="81"/>
        <v>0.36655948553054662</v>
      </c>
      <c r="V35" s="6">
        <f t="shared" si="81"/>
        <v>0.18588709677419354</v>
      </c>
      <c r="W35" s="6">
        <f>W19/W6</f>
        <v>6.7781690140845077E-2</v>
      </c>
      <c r="AA35" s="6">
        <f>AA19/AA6</f>
        <v>-1.3569336797506601</v>
      </c>
      <c r="AB35" s="6">
        <f t="shared" ref="AB35:AE35" si="82">AB19/AB6</f>
        <v>-5.8693856896129291E-2</v>
      </c>
      <c r="AC35" s="6">
        <f t="shared" si="82"/>
        <v>0.22538397428265269</v>
      </c>
      <c r="AD35" s="6">
        <f t="shared" si="82"/>
        <v>0.48321064838156702</v>
      </c>
      <c r="AE35" s="6">
        <f t="shared" si="82"/>
        <v>0.23851558277787785</v>
      </c>
    </row>
    <row r="36" spans="2:37" s="8" customFormat="1">
      <c r="B36" s="8" t="s">
        <v>78</v>
      </c>
      <c r="C36" s="19">
        <f t="shared" ref="C36:J36" si="83">C6/C4</f>
        <v>0.1244206325746379</v>
      </c>
      <c r="D36" s="19">
        <f t="shared" si="83"/>
        <v>0.104616875</v>
      </c>
      <c r="E36" s="20">
        <f t="shared" si="83"/>
        <v>0.16779137499999999</v>
      </c>
      <c r="F36" s="19">
        <f t="shared" si="83"/>
        <v>0.14563796610169491</v>
      </c>
      <c r="G36" s="19">
        <f t="shared" si="83"/>
        <v>8.6202352026436002E-2</v>
      </c>
      <c r="H36" s="19">
        <f t="shared" si="83"/>
        <v>9.9626865671641793E-2</v>
      </c>
      <c r="I36" s="20">
        <f t="shared" si="83"/>
        <v>0.18801949579831931</v>
      </c>
      <c r="J36" s="19">
        <f t="shared" si="83"/>
        <v>0.1359173245808569</v>
      </c>
      <c r="K36" s="19">
        <f>K6/K4</f>
        <v>8.7732558139534886E-2</v>
      </c>
      <c r="L36" s="19">
        <f t="shared" ref="L36:N36" si="84">L6/L4</f>
        <v>0.12449704142011835</v>
      </c>
      <c r="M36" s="20">
        <f t="shared" si="84"/>
        <v>0.18487179487179486</v>
      </c>
      <c r="N36" s="19">
        <f t="shared" si="84"/>
        <v>0.1408888888888889</v>
      </c>
      <c r="O36" s="19">
        <f t="shared" ref="O36:W36" si="85">O6/O4</f>
        <v>8.9117647058823524E-2</v>
      </c>
      <c r="P36" s="19">
        <f t="shared" si="85"/>
        <v>0.13005235602094239</v>
      </c>
      <c r="Q36" s="20">
        <f t="shared" si="85"/>
        <v>0.18562841530054644</v>
      </c>
      <c r="R36" s="19">
        <f t="shared" si="85"/>
        <v>0.14309677419354838</v>
      </c>
      <c r="S36" s="19">
        <f t="shared" si="85"/>
        <v>9.3537117903930128E-2</v>
      </c>
      <c r="T36" s="19">
        <f t="shared" si="85"/>
        <v>0.12962264150943395</v>
      </c>
      <c r="U36" s="20">
        <f t="shared" si="85"/>
        <v>0.1760377358490566</v>
      </c>
      <c r="V36" s="19">
        <f t="shared" si="85"/>
        <v>0.12338308457711443</v>
      </c>
      <c r="W36" s="19">
        <f t="shared" si="85"/>
        <v>0.12909090909090909</v>
      </c>
      <c r="AA36" s="19">
        <f t="shared" ref="AA36:AE36" si="86">AA6/AA4</f>
        <v>0.14154860470962877</v>
      </c>
      <c r="AB36" s="19">
        <f t="shared" si="86"/>
        <v>0.12785549058939014</v>
      </c>
      <c r="AC36" s="19">
        <f t="shared" si="86"/>
        <v>0.13289556962025317</v>
      </c>
      <c r="AD36" s="19">
        <f t="shared" si="86"/>
        <v>0.13529331514324694</v>
      </c>
      <c r="AE36" s="19">
        <f t="shared" si="86"/>
        <v>0.13</v>
      </c>
    </row>
    <row r="38" spans="2:37">
      <c r="B38" s="2" t="s">
        <v>54</v>
      </c>
      <c r="C38" s="1">
        <f t="shared" ref="C38:J38" si="87">C19/C20</f>
        <v>-1.2974983714844057</v>
      </c>
      <c r="D38" s="1">
        <f t="shared" si="87"/>
        <v>-2.18425376730913</v>
      </c>
      <c r="E38" s="18">
        <f t="shared" si="87"/>
        <v>0.73545316604613531</v>
      </c>
      <c r="F38" s="1">
        <f t="shared" si="87"/>
        <v>-11.244525748000754</v>
      </c>
      <c r="G38" s="1">
        <f t="shared" si="87"/>
        <v>-1.950564097444089</v>
      </c>
      <c r="H38" s="1">
        <f t="shared" si="87"/>
        <v>-0.11091494902237725</v>
      </c>
      <c r="I38" s="18">
        <f t="shared" si="87"/>
        <v>1.2228676259246005</v>
      </c>
      <c r="J38" s="1">
        <f t="shared" si="87"/>
        <v>8.0043060907980079E-2</v>
      </c>
      <c r="K38" s="1">
        <f>K19/K20</f>
        <v>-2.9921259842519685E-2</v>
      </c>
      <c r="L38" s="1">
        <f>L19/L20</f>
        <v>0.55409356725146197</v>
      </c>
      <c r="M38" s="18">
        <f>M19/M20</f>
        <v>1.7774524158125915</v>
      </c>
      <c r="N38" s="1">
        <f t="shared" ref="N38" si="88">N19/N20</f>
        <v>0.46911764705882353</v>
      </c>
      <c r="O38" s="1">
        <f t="shared" ref="O38:W38" si="89">O19/O20</f>
        <v>0.17462686567164179</v>
      </c>
      <c r="P38" s="1">
        <f t="shared" si="89"/>
        <v>0.97744360902255634</v>
      </c>
      <c r="Q38" s="18">
        <f t="shared" si="89"/>
        <v>6.627272727272727</v>
      </c>
      <c r="R38" s="1">
        <f t="shared" si="89"/>
        <v>-0.52719033232628398</v>
      </c>
      <c r="S38" s="1">
        <f t="shared" si="89"/>
        <v>0.40366972477064222</v>
      </c>
      <c r="T38" s="1">
        <f t="shared" si="89"/>
        <v>0.85516178736517723</v>
      </c>
      <c r="U38" s="18">
        <f t="shared" si="89"/>
        <v>2.1308411214953269</v>
      </c>
      <c r="V38" s="1">
        <f t="shared" si="89"/>
        <v>0.71472868217054264</v>
      </c>
      <c r="W38" s="1">
        <f t="shared" si="89"/>
        <v>0.24367088607594936</v>
      </c>
      <c r="AA38" s="1">
        <f t="shared" ref="AA38:AE38" si="90">AA19/AA20</f>
        <v>-13.25791962516811</v>
      </c>
      <c r="AB38" s="1">
        <f t="shared" si="90"/>
        <v>-0.51647828743302948</v>
      </c>
      <c r="AC38" s="1">
        <f t="shared" si="90"/>
        <v>2.7838235294117646</v>
      </c>
      <c r="AD38" s="1">
        <f t="shared" si="90"/>
        <v>7.238670694864048</v>
      </c>
      <c r="AE38" s="1">
        <f t="shared" si="90"/>
        <v>4.1054263565891471</v>
      </c>
    </row>
    <row r="39" spans="2:37">
      <c r="B39" s="2" t="s">
        <v>55</v>
      </c>
      <c r="C39" s="1">
        <f>Main!$J$5/Model!C19</f>
        <v>-249.96227301419538</v>
      </c>
      <c r="D39" s="1">
        <f>Main!$J$5/Model!D19</f>
        <v>-147.91552290874722</v>
      </c>
      <c r="E39" s="18">
        <f>Main!$J$5/Model!E19</f>
        <v>386.90127787977389</v>
      </c>
      <c r="F39" s="1">
        <f>Main!$J$5/Model!F19</f>
        <v>-21.898575845627825</v>
      </c>
      <c r="G39" s="1">
        <f>Main!$J$5/Model!G19</f>
        <v>-72.630610018162272</v>
      </c>
      <c r="H39" s="1">
        <f>Main!$J$5/Model!H19</f>
        <v>-1254.7847489351659</v>
      </c>
      <c r="I39" s="18">
        <f>Main!$J$5/Model!I19</f>
        <v>102.09751131140327</v>
      </c>
      <c r="J39" s="1">
        <f>Main!$J$5/Model!J19</f>
        <v>1562.1438138749745</v>
      </c>
      <c r="K39" s="1">
        <f>Main!$J$5/Model!K19</f>
        <v>-4480.9684210526311</v>
      </c>
      <c r="L39" s="1">
        <f>Main!$J$5/Model!L19</f>
        <v>224.6395778364116</v>
      </c>
      <c r="M39" s="18">
        <f>Main!$J$5/Model!M19</f>
        <v>70.130477759472811</v>
      </c>
      <c r="N39" s="1">
        <f>Main!$J$5/Model!N19</f>
        <v>266.89153605015673</v>
      </c>
      <c r="O39" s="1">
        <f>Main!$J$5/Model!O19</f>
        <v>727.67863247863238</v>
      </c>
      <c r="P39" s="1">
        <f>Main!$J$5/Model!P19</f>
        <v>130.98215384615384</v>
      </c>
      <c r="Q39" s="18">
        <f>Main!$J$5/Model!Q19</f>
        <v>19.464654778235023</v>
      </c>
      <c r="R39" s="1">
        <f>Main!$J$5/Model!R19</f>
        <v>-243.94957020057305</v>
      </c>
      <c r="S39" s="1">
        <f>Main!$J$5/Model!S19</f>
        <v>322.4939393939394</v>
      </c>
      <c r="T39" s="1">
        <f>Main!$J$5/Model!T19</f>
        <v>153.4025225225225</v>
      </c>
      <c r="U39" s="18">
        <f>Main!$J$5/Model!U19</f>
        <v>62.235672514619878</v>
      </c>
      <c r="V39" s="1">
        <f>Main!$J$5/Model!V19</f>
        <v>184.68199566160519</v>
      </c>
      <c r="W39" s="1">
        <f>Main!$J$5/Model!W19</f>
        <v>552.84675324675322</v>
      </c>
      <c r="AA39" s="1">
        <f>Main!$J$5/Model!AA19</f>
        <v>-18.572981802760562</v>
      </c>
      <c r="AB39" s="1">
        <f>Main!$J$5/Model!AB19</f>
        <v>-242.09879772967685</v>
      </c>
      <c r="AC39" s="1">
        <f>Main!$J$5/Model!AC19</f>
        <v>44.975382989963016</v>
      </c>
      <c r="AD39" s="1">
        <f>Main!$J$5/Model!AD19</f>
        <v>17.766777963272119</v>
      </c>
      <c r="AE39" s="1">
        <f>Main!$J$5/Model!AE19</f>
        <v>32.151963746223565</v>
      </c>
    </row>
    <row r="40" spans="2:37">
      <c r="AG40" s="8" t="s">
        <v>94</v>
      </c>
      <c r="AJ40" s="8" t="s">
        <v>95</v>
      </c>
    </row>
    <row r="41" spans="2:37">
      <c r="AG41" s="2" t="s">
        <v>75</v>
      </c>
      <c r="AH41" s="6">
        <v>0.09</v>
      </c>
      <c r="AJ41" s="2" t="s">
        <v>75</v>
      </c>
      <c r="AK41" s="6">
        <v>0.09</v>
      </c>
    </row>
    <row r="42" spans="2:37">
      <c r="AG42" s="2" t="s">
        <v>93</v>
      </c>
      <c r="AH42" s="6">
        <v>0.02</v>
      </c>
      <c r="AJ42" s="2" t="s">
        <v>93</v>
      </c>
      <c r="AK42" s="6">
        <v>0.02</v>
      </c>
    </row>
    <row r="43" spans="2:37">
      <c r="AG43" s="21" t="s">
        <v>76</v>
      </c>
      <c r="AH43" s="21">
        <f>NPV(AH41, AF19:BO19)</f>
        <v>65197.140906073262</v>
      </c>
      <c r="AJ43" s="21" t="s">
        <v>76</v>
      </c>
      <c r="AK43" s="21">
        <f>NPV(AK41, AF24:AU24)</f>
        <v>70662.519253953724</v>
      </c>
    </row>
    <row r="44" spans="2:37">
      <c r="AG44" s="8" t="s">
        <v>77</v>
      </c>
      <c r="AH44" s="8">
        <f>AH43/Main!J4</f>
        <v>105.15667888076332</v>
      </c>
      <c r="AJ44" s="8" t="s">
        <v>77</v>
      </c>
      <c r="AK44" s="8">
        <f>AK43/Main!J4</f>
        <v>113.97180524831246</v>
      </c>
    </row>
    <row r="45" spans="2:37">
      <c r="AG45" s="2" t="s">
        <v>88</v>
      </c>
      <c r="AH45" s="2">
        <f>Main!J3</f>
        <v>137.32</v>
      </c>
      <c r="AJ45" s="2" t="s">
        <v>88</v>
      </c>
      <c r="AK45" s="2">
        <f>Main!J3</f>
        <v>137.32</v>
      </c>
    </row>
    <row r="46" spans="2:37">
      <c r="AG46" s="21" t="s">
        <v>89</v>
      </c>
      <c r="AH46" s="22">
        <f>(AH44-AH45)/AH45</f>
        <v>-0.23422168015756387</v>
      </c>
      <c r="AI46" s="21"/>
      <c r="AJ46" s="21" t="s">
        <v>89</v>
      </c>
      <c r="AK46" s="22">
        <f>(AK44-AK45)/AK45</f>
        <v>-0.17002763436999366</v>
      </c>
    </row>
    <row r="49" spans="15:15">
      <c r="O49" s="6"/>
    </row>
  </sheetData>
  <hyperlinks>
    <hyperlink ref="A1" location="Main!A1" display="Main" xr:uid="{D890A2DF-3B4F-DC4F-9D33-E157518EB6FE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 Parkhomenko</dc:creator>
  <cp:lastModifiedBy>Dmytro Parkhomenko</cp:lastModifiedBy>
  <dcterms:created xsi:type="dcterms:W3CDTF">2025-06-16T17:06:21Z</dcterms:created>
  <dcterms:modified xsi:type="dcterms:W3CDTF">2025-06-18T10:46:18Z</dcterms:modified>
</cp:coreProperties>
</file>