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Models/"/>
    </mc:Choice>
  </mc:AlternateContent>
  <xr:revisionPtr revIDLastSave="1571" documentId="8_{69748F80-F00F-7B4A-9A9F-ABAC2C9D56BD}" xr6:coauthVersionLast="47" xr6:coauthVersionMax="47" xr10:uidLastSave="{8C966A1B-C99D-8F47-BDCE-FC4CC77D693B}"/>
  <bookViews>
    <workbookView xWindow="1160" yWindow="860" windowWidth="33040" windowHeight="21380" activeTab="1" xr2:uid="{EF113539-BCB3-2A46-AFED-BF7C34A91979}"/>
  </bookViews>
  <sheets>
    <sheet name="Main" sheetId="1" r:id="rId1"/>
    <sheet name="Model" sheetId="5" r:id="rId2"/>
    <sheet name="Sheet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H10" i="5" s="1"/>
  <c r="I6" i="5"/>
  <c r="J6" i="5"/>
  <c r="D13" i="5"/>
  <c r="D15" i="5" s="1"/>
  <c r="D18" i="5" s="1"/>
  <c r="E13" i="5"/>
  <c r="E15" i="5" s="1"/>
  <c r="E18" i="5" s="1"/>
  <c r="F13" i="5"/>
  <c r="G13" i="5"/>
  <c r="G15" i="5" s="1"/>
  <c r="G18" i="5" s="1"/>
  <c r="F14" i="5"/>
  <c r="C15" i="5"/>
  <c r="C18" i="5" s="1"/>
  <c r="H17" i="5"/>
  <c r="I17" i="5"/>
  <c r="J17" i="5"/>
  <c r="E25" i="5"/>
  <c r="F25" i="5"/>
  <c r="G25" i="5"/>
  <c r="H25" i="5"/>
  <c r="I25" i="5"/>
  <c r="J25" i="5"/>
  <c r="D25" i="5"/>
  <c r="I10" i="5" l="1"/>
  <c r="J10" i="5"/>
  <c r="H13" i="5"/>
  <c r="H15" i="5" s="1"/>
  <c r="H18" i="5" s="1"/>
  <c r="F15" i="5"/>
  <c r="F18" i="5" s="1"/>
  <c r="H6" i="6"/>
  <c r="H10" i="6" s="1"/>
  <c r="H13" i="6" s="1"/>
  <c r="H15" i="6" s="1"/>
  <c r="D6" i="6"/>
  <c r="D10" i="6" s="1"/>
  <c r="D13" i="6" s="1"/>
  <c r="D15" i="6" s="1"/>
  <c r="G32" i="5"/>
  <c r="H32" i="5"/>
  <c r="D29" i="5"/>
  <c r="D28" i="5"/>
  <c r="F32" i="5"/>
  <c r="E29" i="5"/>
  <c r="E28" i="5"/>
  <c r="F29" i="5"/>
  <c r="F28" i="5"/>
  <c r="C29" i="5"/>
  <c r="J32" i="5"/>
  <c r="I32" i="5"/>
  <c r="J13" i="5" l="1"/>
  <c r="J15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I13" i="5"/>
  <c r="I15" i="5" s="1"/>
  <c r="I18" i="5" s="1"/>
  <c r="M38" i="5" s="1"/>
  <c r="M39" i="5" s="1"/>
  <c r="G31" i="5"/>
  <c r="D30" i="5"/>
  <c r="D20" i="5"/>
  <c r="D26" i="5"/>
  <c r="E30" i="5"/>
  <c r="E20" i="5"/>
  <c r="F30" i="5"/>
  <c r="F20" i="5"/>
  <c r="C28" i="5"/>
  <c r="J31" i="5"/>
  <c r="G28" i="5"/>
  <c r="H28" i="5"/>
  <c r="J28" i="5"/>
  <c r="E51" i="1"/>
  <c r="C33" i="1"/>
  <c r="C35" i="1"/>
  <c r="C32" i="1"/>
  <c r="C31" i="1"/>
  <c r="C30" i="1"/>
  <c r="I8" i="1"/>
  <c r="I9" i="1"/>
  <c r="I7" i="1"/>
  <c r="I31" i="5" l="1"/>
  <c r="I26" i="5"/>
  <c r="F31" i="5"/>
  <c r="F26" i="5"/>
  <c r="H31" i="5"/>
  <c r="H26" i="5"/>
  <c r="E26" i="5"/>
  <c r="G26" i="5"/>
  <c r="J26" i="5"/>
  <c r="F21" i="5"/>
  <c r="C22" i="5"/>
  <c r="G22" i="5"/>
  <c r="H22" i="5"/>
  <c r="F22" i="5"/>
  <c r="E22" i="5"/>
  <c r="D22" i="5"/>
  <c r="D31" i="5"/>
  <c r="D21" i="5"/>
  <c r="E31" i="5"/>
  <c r="E21" i="5"/>
  <c r="C30" i="5"/>
  <c r="C20" i="5"/>
  <c r="I28" i="5"/>
  <c r="I10" i="1"/>
  <c r="I11" i="1" s="1"/>
  <c r="C36" i="1"/>
  <c r="D33" i="1" s="1"/>
  <c r="G29" i="5" l="1"/>
  <c r="G21" i="5"/>
  <c r="J29" i="5"/>
  <c r="H21" i="5"/>
  <c r="H29" i="5"/>
  <c r="I21" i="5"/>
  <c r="I29" i="5"/>
  <c r="D34" i="1"/>
  <c r="D35" i="1"/>
  <c r="D32" i="1"/>
  <c r="D31" i="1"/>
  <c r="D30" i="1"/>
  <c r="J20" i="5" l="1"/>
  <c r="J21" i="5"/>
  <c r="D36" i="1"/>
  <c r="H20" i="5"/>
  <c r="I22" i="5"/>
  <c r="I20" i="5"/>
  <c r="G30" i="5"/>
  <c r="G20" i="5"/>
  <c r="I30" i="5"/>
  <c r="J30" i="5" l="1"/>
  <c r="J22" i="5"/>
  <c r="H30" i="5"/>
  <c r="C21" i="5"/>
  <c r="C31" i="5"/>
</calcChain>
</file>

<file path=xl/sharedStrings.xml><?xml version="1.0" encoding="utf-8"?>
<sst xmlns="http://schemas.openxmlformats.org/spreadsheetml/2006/main" count="163" uniqueCount="130">
  <si>
    <t>NYSE:</t>
  </si>
  <si>
    <t>FLUT</t>
  </si>
  <si>
    <t xml:space="preserve">Price </t>
  </si>
  <si>
    <t>Shares</t>
  </si>
  <si>
    <t xml:space="preserve">MC </t>
  </si>
  <si>
    <t>Cash</t>
  </si>
  <si>
    <t>Debt</t>
  </si>
  <si>
    <t xml:space="preserve">EV </t>
  </si>
  <si>
    <t>Flutter Entertainment PLC</t>
  </si>
  <si>
    <t>Founded in 1958</t>
  </si>
  <si>
    <t xml:space="preserve">IPO in 2000 </t>
  </si>
  <si>
    <t>Q125</t>
  </si>
  <si>
    <t xml:space="preserve">Cash </t>
  </si>
  <si>
    <t>Cash and Cash Equivalents</t>
  </si>
  <si>
    <t xml:space="preserve">Debt </t>
  </si>
  <si>
    <t>Operating lease liabilities</t>
  </si>
  <si>
    <t>Long-term debt due within one year</t>
  </si>
  <si>
    <t>Operating lease liabilities – non-current</t>
  </si>
  <si>
    <t>Long-term debt</t>
  </si>
  <si>
    <t>Flutter is the world’s leading online sports betting and iGaming operator based on revenue</t>
  </si>
  <si>
    <t>Sky Betting &amp; Gaming</t>
  </si>
  <si>
    <t>iGaming</t>
  </si>
  <si>
    <t xml:space="preserve">Sportsbook </t>
  </si>
  <si>
    <t xml:space="preserve">P2B - Betting against the house </t>
  </si>
  <si>
    <t>P2P -  Poker and rummy</t>
  </si>
  <si>
    <t>Lottery (Italy, Turkey, Morroco)</t>
  </si>
  <si>
    <t xml:space="preserve">U.S. </t>
  </si>
  <si>
    <t xml:space="preserve">U.K. </t>
  </si>
  <si>
    <t>Ireland</t>
  </si>
  <si>
    <t>Italy</t>
  </si>
  <si>
    <t>Rest of the world</t>
  </si>
  <si>
    <t xml:space="preserve">Total </t>
  </si>
  <si>
    <t xml:space="preserve">Australia </t>
  </si>
  <si>
    <t>Other products</t>
  </si>
  <si>
    <t>P2P Betting (commission)</t>
  </si>
  <si>
    <t xml:space="preserve">Horse racing wagering </t>
  </si>
  <si>
    <t>B2B Pricing and risk management</t>
  </si>
  <si>
    <t>Sport betting</t>
  </si>
  <si>
    <t>(We generate revenue by setting odds in a manner that includes a theoretical spread to be</t>
  </si>
  <si>
    <t xml:space="preserve">earned on each contest less winnings paid and expenses associated with promotional activity). </t>
  </si>
  <si>
    <t xml:space="preserve">Brands </t>
  </si>
  <si>
    <t>Total</t>
  </si>
  <si>
    <t>User base</t>
  </si>
  <si>
    <t>Average Monthly Players</t>
  </si>
  <si>
    <t>Total User Base (approx.)</t>
  </si>
  <si>
    <t xml:space="preserve">(iGaming consists of a full suite of casino games, such as roulette, blackjack, slot games, </t>
  </si>
  <si>
    <t>bingo and rummy, along with poker and lottery products).</t>
  </si>
  <si>
    <t>Region</t>
  </si>
  <si>
    <t>US</t>
  </si>
  <si>
    <t>UK</t>
  </si>
  <si>
    <t>AU</t>
  </si>
  <si>
    <t>World</t>
  </si>
  <si>
    <t>UK, IE</t>
  </si>
  <si>
    <t>IN</t>
  </si>
  <si>
    <t>GE</t>
  </si>
  <si>
    <t>Adjarabet</t>
  </si>
  <si>
    <t>Junglee Games</t>
  </si>
  <si>
    <t>Tombola</t>
  </si>
  <si>
    <t>Sisal</t>
  </si>
  <si>
    <t>Paddy Power</t>
  </si>
  <si>
    <t>PokerStars</t>
  </si>
  <si>
    <t xml:space="preserve">Sportsbet </t>
  </si>
  <si>
    <t xml:space="preserve">FanDuel </t>
  </si>
  <si>
    <t>Sportsbook</t>
  </si>
  <si>
    <t>Other</t>
  </si>
  <si>
    <t>AMPs</t>
  </si>
  <si>
    <t>EV/E</t>
  </si>
  <si>
    <t>Sector: iGaming (Hotels, Restaurants &amp; Leisure)</t>
  </si>
  <si>
    <t>CEO</t>
  </si>
  <si>
    <t>CFO</t>
  </si>
  <si>
    <t>COO</t>
  </si>
  <si>
    <t>Jeremy Peter Jackson</t>
  </si>
  <si>
    <t>Phil Bishop</t>
  </si>
  <si>
    <t>Rob Coldrake</t>
  </si>
  <si>
    <t>Main</t>
  </si>
  <si>
    <t>Revenue</t>
  </si>
  <si>
    <t>Gross Profit</t>
  </si>
  <si>
    <t>R&amp;D</t>
  </si>
  <si>
    <t xml:space="preserve">S&amp;M </t>
  </si>
  <si>
    <t>G&amp;A</t>
  </si>
  <si>
    <t>EPS</t>
  </si>
  <si>
    <t>P/E</t>
  </si>
  <si>
    <t>Q124</t>
  </si>
  <si>
    <t>Q424</t>
  </si>
  <si>
    <t>Q224</t>
  </si>
  <si>
    <t>Q324</t>
  </si>
  <si>
    <t>COGS</t>
  </si>
  <si>
    <t>Gross Margin</t>
  </si>
  <si>
    <t>Operating Margin</t>
  </si>
  <si>
    <t>Net Margin</t>
  </si>
  <si>
    <t>AMP Growth</t>
  </si>
  <si>
    <t>AMP (in thousands)</t>
  </si>
  <si>
    <t>revenue</t>
  </si>
  <si>
    <t>Operating Profit</t>
  </si>
  <si>
    <t>Other Income</t>
  </si>
  <si>
    <t>Interest Expense</t>
  </si>
  <si>
    <t>Income Before Taxes</t>
  </si>
  <si>
    <t>Tax Benefit</t>
  </si>
  <si>
    <t>Net Income</t>
  </si>
  <si>
    <t>FLTR</t>
  </si>
  <si>
    <t xml:space="preserve">LSE: </t>
  </si>
  <si>
    <t>Sector</t>
  </si>
  <si>
    <t xml:space="preserve">Sports betting, fantasy sports, iGaming	</t>
  </si>
  <si>
    <t xml:space="preserve">Sports betting, casino, poker, bingo	</t>
  </si>
  <si>
    <t xml:space="preserve">Sports betting	</t>
  </si>
  <si>
    <t xml:space="preserve">Online poker, casino, sports betting	</t>
  </si>
  <si>
    <t xml:space="preserve">Lottery, betting, online gaming	</t>
  </si>
  <si>
    <t xml:space="preserve">Online bingo	</t>
  </si>
  <si>
    <t xml:space="preserve">Betting exchange, sportsbook, casino	</t>
  </si>
  <si>
    <t xml:space="preserve">Horse racing betting &amp; broadcasting	</t>
  </si>
  <si>
    <t xml:space="preserve">Online skill gaming (rummy, fantasy)	</t>
  </si>
  <si>
    <t xml:space="preserve">Sports betting, casino, poker	</t>
  </si>
  <si>
    <t>Revenue by region</t>
  </si>
  <si>
    <t xml:space="preserve">IT </t>
  </si>
  <si>
    <t>TVG</t>
  </si>
  <si>
    <t xml:space="preserve">Betfair </t>
  </si>
  <si>
    <t>Net Income Adjusted</t>
  </si>
  <si>
    <t>EPS Adjusted</t>
  </si>
  <si>
    <t>Separately Disclosed Items</t>
  </si>
  <si>
    <t>Separately Disclosed Items (Non-Recurring Expenses)</t>
  </si>
  <si>
    <t xml:space="preserve">Net Margin Adjusted </t>
  </si>
  <si>
    <t>Revenue y/y</t>
  </si>
  <si>
    <t>Net Income Adjusted y/y</t>
  </si>
  <si>
    <t xml:space="preserve">Income Taxes </t>
  </si>
  <si>
    <t>Operating Profit (EBIT)</t>
  </si>
  <si>
    <t xml:space="preserve">Income Before Taxes (EBT) </t>
  </si>
  <si>
    <t>Maturity</t>
  </si>
  <si>
    <t xml:space="preserve">Discount  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</si>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</sst>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10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0" fontId="2" fillId="0" borderId="0" xfId="1"/>
    <xf numFmtId="0" fontId="1" fillId="0" borderId="0" xfId="0" applyFont="1" applyBorder="1"/>
    <xf numFmtId="3" fontId="1" fillId="0" borderId="0" xfId="0" applyNumberFormat="1" applyFont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10" fontId="1" fillId="0" borderId="0" xfId="0" applyNumberFormat="1" applyFont="1" applyBorder="1"/>
    <xf numFmtId="3" fontId="2" fillId="0" borderId="0" xfId="1" applyNumberForma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Border="1" applyAlignment="1">
      <alignment horizontal="right"/>
    </xf>
    <xf numFmtId="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6773</xdr:colOff>
      <xdr:row>0</xdr:row>
      <xdr:rowOff>11160</xdr:rowOff>
    </xdr:from>
    <xdr:to>
      <xdr:col>10</xdr:col>
      <xdr:colOff>7133</xdr:colOff>
      <xdr:row>0</xdr:row>
      <xdr:rowOff>11520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DB24231-E587-B22A-E034-E1EC5C7FA468}"/>
                </a:ext>
              </a:extLst>
            </xdr14:cNvPr>
            <xdr14:cNvContentPartPr/>
          </xdr14:nvContentPartPr>
          <xdr14:nvPr macro=""/>
          <xdr14:xfrm>
            <a:off x="4206240" y="1116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DB24231-E587-B22A-E034-E1EC5C7FA46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00120" y="50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0</xdr:colOff>
      <xdr:row>0</xdr:row>
      <xdr:rowOff>131703</xdr:rowOff>
    </xdr:from>
    <xdr:to>
      <xdr:col>10</xdr:col>
      <xdr:colOff>9408</xdr:colOff>
      <xdr:row>65</xdr:row>
      <xdr:rowOff>94074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EDE8220-654C-53CF-0C84-4892306A1BC1}"/>
            </a:ext>
          </a:extLst>
        </xdr:cNvPr>
        <xdr:cNvCxnSpPr/>
      </xdr:nvCxnSpPr>
      <xdr:spPr>
        <a:xfrm>
          <a:off x="8457259" y="131703"/>
          <a:ext cx="9408" cy="1049866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6773</xdr:colOff>
      <xdr:row>0</xdr:row>
      <xdr:rowOff>11160</xdr:rowOff>
    </xdr:from>
    <xdr:to>
      <xdr:col>2</xdr:col>
      <xdr:colOff>7133</xdr:colOff>
      <xdr:row>0</xdr:row>
      <xdr:rowOff>11520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0307079-3FBB-1049-9859-1D9EC5782913}"/>
                </a:ext>
              </a:extLst>
            </xdr14:cNvPr>
            <xdr14:cNvContentPartPr/>
          </xdr14:nvContentPartPr>
          <xdr14:nvPr macro=""/>
          <xdr14:xfrm>
            <a:off x="4206240" y="1116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0307079-3FBB-1049-9859-1D9EC578291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00120" y="50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4T22:36:30.15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6T00:36:28.43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90A-0FD9-C04D-A8EC-8AD7467CFB75}">
  <dimension ref="B2:M52"/>
  <sheetViews>
    <sheetView topLeftCell="C1" zoomScale="200" zoomScaleNormal="162" workbookViewId="0">
      <selection activeCell="I11" sqref="I11"/>
    </sheetView>
  </sheetViews>
  <sheetFormatPr baseColWidth="10" defaultRowHeight="13" x14ac:dyDescent="0.15"/>
  <cols>
    <col min="1" max="1" width="6.83203125" style="1" customWidth="1"/>
    <col min="2" max="2" width="27.1640625" style="1" customWidth="1"/>
    <col min="3" max="3" width="30.83203125" style="1" bestFit="1" customWidth="1"/>
    <col min="4" max="16384" width="10.83203125" style="1"/>
  </cols>
  <sheetData>
    <row r="2" spans="2:13" x14ac:dyDescent="0.15">
      <c r="B2" s="1" t="s">
        <v>8</v>
      </c>
      <c r="H2" s="1" t="s">
        <v>0</v>
      </c>
      <c r="I2" s="6" t="s">
        <v>1</v>
      </c>
      <c r="L2" s="1" t="s">
        <v>12</v>
      </c>
      <c r="M2" s="1" t="s">
        <v>13</v>
      </c>
    </row>
    <row r="3" spans="2:13" x14ac:dyDescent="0.15">
      <c r="B3" s="1" t="s">
        <v>9</v>
      </c>
      <c r="H3" s="1" t="s">
        <v>100</v>
      </c>
      <c r="I3" s="1" t="s">
        <v>99</v>
      </c>
      <c r="L3" s="1" t="s">
        <v>14</v>
      </c>
      <c r="M3" s="1" t="s">
        <v>15</v>
      </c>
    </row>
    <row r="4" spans="2:13" x14ac:dyDescent="0.15">
      <c r="B4" s="1" t="s">
        <v>10</v>
      </c>
      <c r="M4" s="1" t="s">
        <v>17</v>
      </c>
    </row>
    <row r="5" spans="2:13" x14ac:dyDescent="0.15">
      <c r="H5" s="1" t="s">
        <v>2</v>
      </c>
      <c r="I5" s="2">
        <v>264.61</v>
      </c>
      <c r="M5" s="1" t="s">
        <v>16</v>
      </c>
    </row>
    <row r="6" spans="2:13" x14ac:dyDescent="0.15">
      <c r="H6" s="1" t="s">
        <v>3</v>
      </c>
      <c r="I6" s="3">
        <v>176</v>
      </c>
      <c r="J6" s="6" t="s">
        <v>11</v>
      </c>
      <c r="M6" s="1" t="s">
        <v>18</v>
      </c>
    </row>
    <row r="7" spans="2:13" x14ac:dyDescent="0.15">
      <c r="B7" s="1" t="s">
        <v>67</v>
      </c>
      <c r="H7" s="1" t="s">
        <v>4</v>
      </c>
      <c r="I7" s="4">
        <f>I5*I6</f>
        <v>46571.360000000001</v>
      </c>
      <c r="J7" s="6"/>
    </row>
    <row r="8" spans="2:13" x14ac:dyDescent="0.15">
      <c r="B8" s="1" t="s">
        <v>19</v>
      </c>
      <c r="H8" s="1" t="s">
        <v>5</v>
      </c>
      <c r="I8" s="3">
        <f>4241</f>
        <v>4241</v>
      </c>
      <c r="J8" s="6" t="s">
        <v>11</v>
      </c>
    </row>
    <row r="9" spans="2:13" x14ac:dyDescent="0.15">
      <c r="H9" s="1" t="s">
        <v>6</v>
      </c>
      <c r="I9" s="3">
        <f>121+446+68+6756</f>
        <v>7391</v>
      </c>
      <c r="J9" s="6" t="s">
        <v>11</v>
      </c>
    </row>
    <row r="10" spans="2:13" x14ac:dyDescent="0.15">
      <c r="H10" s="1" t="s">
        <v>7</v>
      </c>
      <c r="I10" s="3">
        <f>I7-I8+I9</f>
        <v>49721.36</v>
      </c>
      <c r="J10" s="6"/>
    </row>
    <row r="11" spans="2:13" s="7" customFormat="1" x14ac:dyDescent="0.15">
      <c r="B11" s="7" t="s">
        <v>22</v>
      </c>
      <c r="C11" s="10">
        <v>0.56000000000000005</v>
      </c>
      <c r="D11" s="7" t="s">
        <v>92</v>
      </c>
      <c r="H11" s="1" t="s">
        <v>66</v>
      </c>
      <c r="I11" s="3">
        <f>I10/Sheet5!H15</f>
        <v>148.42197014925372</v>
      </c>
      <c r="J11" s="6" t="s">
        <v>11</v>
      </c>
    </row>
    <row r="12" spans="2:13" x14ac:dyDescent="0.15">
      <c r="B12" s="1" t="s">
        <v>37</v>
      </c>
      <c r="C12" s="10"/>
      <c r="H12" s="7"/>
      <c r="I12" s="7"/>
      <c r="J12" s="7"/>
    </row>
    <row r="13" spans="2:13" x14ac:dyDescent="0.15">
      <c r="B13" s="1" t="s">
        <v>38</v>
      </c>
    </row>
    <row r="14" spans="2:13" x14ac:dyDescent="0.15">
      <c r="B14" s="1" t="s">
        <v>39</v>
      </c>
    </row>
    <row r="16" spans="2:13" s="7" customFormat="1" x14ac:dyDescent="0.15">
      <c r="B16" s="7" t="s">
        <v>21</v>
      </c>
      <c r="C16" s="10">
        <v>0.4</v>
      </c>
      <c r="D16" s="7" t="s">
        <v>92</v>
      </c>
      <c r="H16" s="1" t="s">
        <v>68</v>
      </c>
      <c r="I16" s="1" t="s">
        <v>71</v>
      </c>
      <c r="J16" s="1"/>
    </row>
    <row r="17" spans="2:10" x14ac:dyDescent="0.15">
      <c r="B17" s="1" t="s">
        <v>23</v>
      </c>
      <c r="H17" s="1" t="s">
        <v>70</v>
      </c>
      <c r="I17" s="1" t="s">
        <v>72</v>
      </c>
      <c r="J17" s="7"/>
    </row>
    <row r="18" spans="2:10" x14ac:dyDescent="0.15">
      <c r="B18" s="1" t="s">
        <v>24</v>
      </c>
      <c r="H18" s="1" t="s">
        <v>69</v>
      </c>
      <c r="I18" s="1" t="s">
        <v>73</v>
      </c>
    </row>
    <row r="19" spans="2:10" x14ac:dyDescent="0.15">
      <c r="B19" s="1" t="s">
        <v>25</v>
      </c>
    </row>
    <row r="20" spans="2:10" x14ac:dyDescent="0.15">
      <c r="B20" s="1" t="s">
        <v>45</v>
      </c>
    </row>
    <row r="21" spans="2:10" x14ac:dyDescent="0.15">
      <c r="B21" s="1" t="s">
        <v>46</v>
      </c>
    </row>
    <row r="23" spans="2:10" s="7" customFormat="1" x14ac:dyDescent="0.15">
      <c r="B23" s="7" t="s">
        <v>33</v>
      </c>
      <c r="C23" s="10">
        <v>0.04</v>
      </c>
      <c r="D23" s="7" t="s">
        <v>92</v>
      </c>
      <c r="H23" s="1"/>
      <c r="I23" s="1"/>
      <c r="J23" s="1"/>
    </row>
    <row r="24" spans="2:10" x14ac:dyDescent="0.15">
      <c r="B24" s="1" t="s">
        <v>34</v>
      </c>
      <c r="H24" s="7"/>
      <c r="I24" s="7"/>
      <c r="J24" s="7"/>
    </row>
    <row r="25" spans="2:10" x14ac:dyDescent="0.15">
      <c r="B25" s="1" t="s">
        <v>35</v>
      </c>
      <c r="C25" s="9"/>
    </row>
    <row r="26" spans="2:10" x14ac:dyDescent="0.15">
      <c r="B26" s="1" t="s">
        <v>36</v>
      </c>
      <c r="C26" s="9"/>
    </row>
    <row r="27" spans="2:10" x14ac:dyDescent="0.15">
      <c r="C27" s="9"/>
    </row>
    <row r="28" spans="2:10" x14ac:dyDescent="0.15">
      <c r="C28" s="9"/>
    </row>
    <row r="29" spans="2:10" x14ac:dyDescent="0.15">
      <c r="B29" s="7" t="s">
        <v>112</v>
      </c>
      <c r="C29" s="7"/>
    </row>
    <row r="30" spans="2:10" x14ac:dyDescent="0.15">
      <c r="B30" s="1" t="s">
        <v>26</v>
      </c>
      <c r="C30" s="12">
        <f>5729</f>
        <v>5729</v>
      </c>
      <c r="D30" s="9">
        <f>C30/C36</f>
        <v>0.40781605922551251</v>
      </c>
    </row>
    <row r="31" spans="2:10" x14ac:dyDescent="0.15">
      <c r="B31" s="1" t="s">
        <v>27</v>
      </c>
      <c r="C31" s="12">
        <f>3279</f>
        <v>3279</v>
      </c>
      <c r="D31" s="9">
        <f>C31/C36</f>
        <v>0.2334140091116173</v>
      </c>
    </row>
    <row r="32" spans="2:10" x14ac:dyDescent="0.15">
      <c r="B32" s="1" t="s">
        <v>28</v>
      </c>
      <c r="C32" s="12">
        <f>304</f>
        <v>304</v>
      </c>
      <c r="D32" s="9">
        <f>C32/C36</f>
        <v>2.164009111617312E-2</v>
      </c>
    </row>
    <row r="33" spans="2:11" x14ac:dyDescent="0.15">
      <c r="B33" s="1" t="s">
        <v>32</v>
      </c>
      <c r="C33" s="12">
        <f>1397</f>
        <v>1397</v>
      </c>
      <c r="D33" s="9">
        <f>C33/C36</f>
        <v>9.9444760820045552E-2</v>
      </c>
    </row>
    <row r="34" spans="2:11" x14ac:dyDescent="0.15">
      <c r="B34" s="1" t="s">
        <v>29</v>
      </c>
      <c r="C34" s="12">
        <v>1484</v>
      </c>
      <c r="D34" s="9">
        <f>C34/C36</f>
        <v>0.10563781321184511</v>
      </c>
    </row>
    <row r="35" spans="2:11" x14ac:dyDescent="0.15">
      <c r="B35" s="1" t="s">
        <v>30</v>
      </c>
      <c r="C35" s="12">
        <f>1855</f>
        <v>1855</v>
      </c>
      <c r="D35" s="9">
        <f>C35/C36</f>
        <v>0.13204726651480639</v>
      </c>
    </row>
    <row r="36" spans="2:11" x14ac:dyDescent="0.15">
      <c r="B36" s="7" t="s">
        <v>31</v>
      </c>
      <c r="C36" s="14">
        <f>SUM(C30:C35)</f>
        <v>14048</v>
      </c>
      <c r="D36" s="10">
        <f>SUM(D30:D35)</f>
        <v>1</v>
      </c>
    </row>
    <row r="39" spans="2:11" x14ac:dyDescent="0.15">
      <c r="B39" s="7" t="s">
        <v>40</v>
      </c>
      <c r="C39" s="7" t="s">
        <v>101</v>
      </c>
      <c r="D39" s="7" t="s">
        <v>47</v>
      </c>
      <c r="E39" s="7" t="s">
        <v>42</v>
      </c>
      <c r="G39" s="7" t="s">
        <v>65</v>
      </c>
      <c r="H39" s="7">
        <v>2022</v>
      </c>
      <c r="I39" s="7">
        <v>2023</v>
      </c>
      <c r="J39" s="7">
        <v>2024</v>
      </c>
    </row>
    <row r="40" spans="2:11" x14ac:dyDescent="0.15">
      <c r="B40" s="1" t="s">
        <v>62</v>
      </c>
      <c r="C40" s="1" t="s">
        <v>102</v>
      </c>
      <c r="D40" s="1" t="s">
        <v>48</v>
      </c>
      <c r="E40" s="12">
        <v>18000</v>
      </c>
      <c r="G40" s="1" t="s">
        <v>63</v>
      </c>
      <c r="H40" s="12">
        <v>6817</v>
      </c>
      <c r="I40" s="12">
        <v>7383</v>
      </c>
      <c r="J40" s="12">
        <v>8365</v>
      </c>
      <c r="K40" s="7"/>
    </row>
    <row r="41" spans="2:11" x14ac:dyDescent="0.15">
      <c r="B41" s="1" t="s">
        <v>20</v>
      </c>
      <c r="C41" s="1" t="s">
        <v>103</v>
      </c>
      <c r="D41" s="1" t="s">
        <v>49</v>
      </c>
      <c r="E41" s="12">
        <v>1000</v>
      </c>
      <c r="G41" s="1" t="s">
        <v>21</v>
      </c>
      <c r="H41" s="12">
        <v>4583</v>
      </c>
      <c r="I41" s="12">
        <v>5718</v>
      </c>
      <c r="J41" s="12">
        <v>6697</v>
      </c>
    </row>
    <row r="42" spans="2:11" x14ac:dyDescent="0.15">
      <c r="B42" s="1" t="s">
        <v>61</v>
      </c>
      <c r="C42" s="1" t="s">
        <v>104</v>
      </c>
      <c r="D42" s="1" t="s">
        <v>50</v>
      </c>
      <c r="E42" s="13">
        <v>2000</v>
      </c>
      <c r="G42" s="1" t="s">
        <v>64</v>
      </c>
      <c r="H42" s="12">
        <v>1275</v>
      </c>
      <c r="I42" s="12">
        <v>1413</v>
      </c>
      <c r="J42" s="12">
        <v>1366</v>
      </c>
    </row>
    <row r="43" spans="2:11" x14ac:dyDescent="0.15">
      <c r="B43" s="1" t="s">
        <v>60</v>
      </c>
      <c r="C43" s="1" t="s">
        <v>105</v>
      </c>
      <c r="D43" s="1" t="s">
        <v>51</v>
      </c>
      <c r="E43" s="12">
        <v>3400</v>
      </c>
      <c r="G43" s="7" t="s">
        <v>41</v>
      </c>
      <c r="H43" s="14">
        <v>10245</v>
      </c>
      <c r="I43" s="14">
        <v>12325</v>
      </c>
      <c r="J43" s="14">
        <v>13898</v>
      </c>
    </row>
    <row r="44" spans="2:11" x14ac:dyDescent="0.15">
      <c r="B44" s="1" t="s">
        <v>59</v>
      </c>
      <c r="C44" s="1" t="s">
        <v>103</v>
      </c>
      <c r="D44" s="1" t="s">
        <v>52</v>
      </c>
      <c r="E44" s="12">
        <v>2000</v>
      </c>
    </row>
    <row r="45" spans="2:11" x14ac:dyDescent="0.15">
      <c r="B45" s="1" t="s">
        <v>58</v>
      </c>
      <c r="C45" s="1" t="s">
        <v>106</v>
      </c>
      <c r="D45" s="1" t="s">
        <v>113</v>
      </c>
      <c r="E45" s="13">
        <v>30000</v>
      </c>
    </row>
    <row r="46" spans="2:11" x14ac:dyDescent="0.15">
      <c r="B46" s="1" t="s">
        <v>57</v>
      </c>
      <c r="C46" s="1" t="s">
        <v>107</v>
      </c>
      <c r="D46" s="1" t="s">
        <v>49</v>
      </c>
      <c r="E46" s="12"/>
    </row>
    <row r="47" spans="2:11" x14ac:dyDescent="0.15">
      <c r="B47" s="1" t="s">
        <v>115</v>
      </c>
      <c r="C47" s="1" t="s">
        <v>108</v>
      </c>
      <c r="D47" s="1" t="s">
        <v>51</v>
      </c>
      <c r="E47" s="12">
        <v>1100</v>
      </c>
    </row>
    <row r="48" spans="2:11" x14ac:dyDescent="0.15">
      <c r="B48" s="1" t="s">
        <v>114</v>
      </c>
      <c r="C48" s="1" t="s">
        <v>109</v>
      </c>
      <c r="D48" s="1" t="s">
        <v>48</v>
      </c>
    </row>
    <row r="49" spans="2:5" x14ac:dyDescent="0.15">
      <c r="B49" s="1" t="s">
        <v>56</v>
      </c>
      <c r="C49" s="1" t="s">
        <v>110</v>
      </c>
      <c r="D49" s="1" t="s">
        <v>53</v>
      </c>
      <c r="E49" s="12">
        <v>43000</v>
      </c>
    </row>
    <row r="50" spans="2:5" x14ac:dyDescent="0.15">
      <c r="B50" s="1" t="s">
        <v>55</v>
      </c>
      <c r="C50" s="1" t="s">
        <v>111</v>
      </c>
      <c r="D50" s="1" t="s">
        <v>54</v>
      </c>
      <c r="E50" s="1">
        <v>220</v>
      </c>
    </row>
    <row r="51" spans="2:5" x14ac:dyDescent="0.15">
      <c r="B51" s="7" t="s">
        <v>44</v>
      </c>
      <c r="E51" s="14">
        <f>SUM(E40:E50)</f>
        <v>100720</v>
      </c>
    </row>
    <row r="52" spans="2:5" x14ac:dyDescent="0.15">
      <c r="B52" s="7" t="s">
        <v>43</v>
      </c>
      <c r="E52" s="18">
        <v>13898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43DB-B62D-354D-9F35-039D9DC79DC7}">
  <dimension ref="A1:AJ39"/>
  <sheetViews>
    <sheetView tabSelected="1" zoomScale="173" zoomScaleNormal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5" sqref="K25"/>
    </sheetView>
  </sheetViews>
  <sheetFormatPr baseColWidth="10" defaultRowHeight="13" x14ac:dyDescent="0.15"/>
  <cols>
    <col min="1" max="1" width="5.1640625" style="1" bestFit="1" customWidth="1"/>
    <col min="2" max="2" width="21.33203125" style="1" customWidth="1"/>
    <col min="3" max="4" width="10.5" style="1" customWidth="1"/>
    <col min="5" max="7" width="10.1640625" style="1" customWidth="1"/>
    <col min="8" max="8" width="11.1640625" style="1" bestFit="1" customWidth="1"/>
    <col min="9" max="9" width="11" style="1" customWidth="1"/>
    <col min="10" max="10" width="11.1640625" style="16" bestFit="1" customWidth="1"/>
    <col min="11" max="11" width="10.83203125" style="1"/>
    <col min="12" max="12" width="11" style="1" customWidth="1"/>
    <col min="13" max="13" width="12.1640625" style="1" bestFit="1" customWidth="1"/>
    <col min="14" max="16384" width="10.83203125" style="1"/>
  </cols>
  <sheetData>
    <row r="1" spans="1:36" ht="16" x14ac:dyDescent="0.2">
      <c r="A1" s="23" t="s">
        <v>74</v>
      </c>
      <c r="B1" s="12"/>
      <c r="C1" s="12"/>
      <c r="D1" s="12"/>
      <c r="E1" s="12"/>
      <c r="F1" s="12"/>
      <c r="G1" s="12"/>
      <c r="H1" s="12"/>
      <c r="I1" s="12"/>
      <c r="J1" s="19"/>
    </row>
    <row r="2" spans="1:36" s="5" customFormat="1" x14ac:dyDescent="0.15">
      <c r="A2" s="3"/>
      <c r="B2" s="3"/>
      <c r="C2" s="24">
        <v>2018</v>
      </c>
      <c r="D2" s="24">
        <v>2018</v>
      </c>
      <c r="E2" s="24">
        <v>2019</v>
      </c>
      <c r="F2" s="24">
        <v>2020</v>
      </c>
      <c r="G2" s="24">
        <v>2021</v>
      </c>
      <c r="H2" s="24">
        <v>2022</v>
      </c>
      <c r="I2" s="24">
        <v>2023</v>
      </c>
      <c r="J2" s="25">
        <v>2024</v>
      </c>
      <c r="K2" s="5">
        <v>2025</v>
      </c>
      <c r="L2" s="25">
        <v>2026</v>
      </c>
      <c r="M2" s="5">
        <v>2027</v>
      </c>
      <c r="N2" s="25">
        <v>2028</v>
      </c>
      <c r="O2" s="5">
        <v>2029</v>
      </c>
      <c r="P2" s="25">
        <v>2030</v>
      </c>
      <c r="Q2" s="5">
        <v>2031</v>
      </c>
      <c r="R2" s="25">
        <v>2032</v>
      </c>
      <c r="S2" s="5">
        <v>2033</v>
      </c>
      <c r="T2" s="25">
        <v>2034</v>
      </c>
      <c r="U2" s="5">
        <v>2035</v>
      </c>
      <c r="V2" s="25">
        <v>2036</v>
      </c>
      <c r="W2" s="5">
        <v>2037</v>
      </c>
      <c r="X2" s="25">
        <v>2038</v>
      </c>
      <c r="Y2" s="5">
        <v>2039</v>
      </c>
      <c r="Z2" s="25">
        <v>2040</v>
      </c>
      <c r="AA2" s="5">
        <v>2041</v>
      </c>
      <c r="AB2" s="25">
        <v>2042</v>
      </c>
      <c r="AC2" s="5">
        <v>2043</v>
      </c>
      <c r="AD2" s="25">
        <v>2044</v>
      </c>
      <c r="AE2" s="5">
        <v>2045</v>
      </c>
      <c r="AF2" s="25">
        <v>2046</v>
      </c>
      <c r="AG2" s="5">
        <v>2047</v>
      </c>
      <c r="AH2" s="25">
        <v>2048</v>
      </c>
      <c r="AI2" s="5">
        <v>2049</v>
      </c>
      <c r="AJ2" s="25">
        <v>2050</v>
      </c>
    </row>
    <row r="3" spans="1:36" s="3" customFormat="1" x14ac:dyDescent="0.15">
      <c r="B3" s="17" t="s">
        <v>91</v>
      </c>
      <c r="E3" s="3">
        <v>5400</v>
      </c>
      <c r="F3" s="3">
        <v>6400</v>
      </c>
      <c r="G3" s="3">
        <v>7600</v>
      </c>
      <c r="H3" s="3">
        <v>10245</v>
      </c>
      <c r="I3" s="3">
        <v>12325</v>
      </c>
      <c r="J3" s="20">
        <v>13898</v>
      </c>
      <c r="K3" s="7"/>
    </row>
    <row r="4" spans="1:36" s="7" customFormat="1" x14ac:dyDescent="0.15">
      <c r="A4" s="14"/>
      <c r="B4" s="14" t="s">
        <v>75</v>
      </c>
      <c r="C4" s="14">
        <v>1745.4</v>
      </c>
      <c r="D4" s="14">
        <v>1873</v>
      </c>
      <c r="E4" s="14">
        <v>2140</v>
      </c>
      <c r="F4" s="14">
        <v>4413</v>
      </c>
      <c r="G4" s="14">
        <v>6036</v>
      </c>
      <c r="H4" s="14">
        <v>9463</v>
      </c>
      <c r="I4" s="14">
        <v>11790</v>
      </c>
      <c r="J4" s="21">
        <v>14048</v>
      </c>
      <c r="L4" s="14"/>
      <c r="M4" s="14"/>
      <c r="N4" s="14"/>
      <c r="P4" s="14"/>
    </row>
    <row r="5" spans="1:36" x14ac:dyDescent="0.15">
      <c r="A5" s="12"/>
      <c r="B5" s="12" t="s">
        <v>86</v>
      </c>
      <c r="C5" s="12">
        <v>405.4</v>
      </c>
      <c r="D5" s="12">
        <v>469.9</v>
      </c>
      <c r="E5" s="12">
        <v>650.20000000000005</v>
      </c>
      <c r="F5" s="12">
        <v>1541</v>
      </c>
      <c r="G5" s="12">
        <v>2262</v>
      </c>
      <c r="H5" s="12">
        <v>4813</v>
      </c>
      <c r="I5" s="12">
        <v>6202</v>
      </c>
      <c r="J5" s="19">
        <v>7346</v>
      </c>
      <c r="L5" s="12"/>
      <c r="M5" s="12"/>
      <c r="N5" s="12"/>
      <c r="O5" s="14"/>
      <c r="P5" s="12"/>
    </row>
    <row r="6" spans="1:36" x14ac:dyDescent="0.15">
      <c r="A6" s="12"/>
      <c r="B6" s="12" t="s">
        <v>76</v>
      </c>
      <c r="C6" s="12">
        <f>C4-C5</f>
        <v>1340</v>
      </c>
      <c r="D6" s="12">
        <f>D4-D5</f>
        <v>1403.1</v>
      </c>
      <c r="E6" s="12">
        <f>E4-E5</f>
        <v>1489.8</v>
      </c>
      <c r="F6" s="12">
        <f>F4-F5</f>
        <v>2872</v>
      </c>
      <c r="G6" s="12">
        <f>G4-G5</f>
        <v>3774</v>
      </c>
      <c r="H6" s="12">
        <f>H4-H5</f>
        <v>4650</v>
      </c>
      <c r="I6" s="12">
        <f>I4-I5</f>
        <v>5588</v>
      </c>
      <c r="J6" s="19">
        <f>J4-J5</f>
        <v>6702</v>
      </c>
      <c r="K6" s="11"/>
      <c r="L6" s="11"/>
      <c r="M6" s="11"/>
      <c r="N6" s="12"/>
      <c r="O6" s="12"/>
      <c r="P6" s="12"/>
    </row>
    <row r="7" spans="1:36" x14ac:dyDescent="0.15">
      <c r="A7" s="12"/>
      <c r="B7" s="12" t="s">
        <v>77</v>
      </c>
      <c r="C7" s="12"/>
      <c r="D7" s="12"/>
      <c r="E7" s="12"/>
      <c r="F7" s="12"/>
      <c r="G7" s="12"/>
      <c r="H7" s="12">
        <v>552</v>
      </c>
      <c r="I7" s="12">
        <v>765</v>
      </c>
      <c r="J7" s="19">
        <v>820</v>
      </c>
      <c r="L7" s="12"/>
      <c r="M7" s="12"/>
      <c r="N7" s="12"/>
      <c r="O7" s="12"/>
      <c r="P7" s="12"/>
    </row>
    <row r="8" spans="1:36" x14ac:dyDescent="0.15">
      <c r="A8" s="12"/>
      <c r="B8" s="12" t="s">
        <v>78</v>
      </c>
      <c r="C8" s="12"/>
      <c r="D8" s="12"/>
      <c r="E8" s="12"/>
      <c r="F8" s="12"/>
      <c r="G8" s="12">
        <v>1508</v>
      </c>
      <c r="H8" s="12">
        <v>3014</v>
      </c>
      <c r="I8" s="12">
        <v>3776</v>
      </c>
      <c r="J8" s="19">
        <v>3205</v>
      </c>
      <c r="L8" s="12"/>
      <c r="M8" s="12"/>
      <c r="N8" s="12"/>
      <c r="O8" s="12"/>
      <c r="P8" s="12"/>
    </row>
    <row r="9" spans="1:36" x14ac:dyDescent="0.15">
      <c r="A9" s="12"/>
      <c r="B9" s="12" t="s">
        <v>79</v>
      </c>
      <c r="C9" s="12"/>
      <c r="D9" s="12"/>
      <c r="E9" s="12"/>
      <c r="F9" s="12"/>
      <c r="G9" s="12"/>
      <c r="H9" s="12">
        <v>1172</v>
      </c>
      <c r="I9" s="12">
        <v>1596</v>
      </c>
      <c r="J9" s="19">
        <v>1808</v>
      </c>
      <c r="K9" s="11"/>
      <c r="L9" s="12"/>
      <c r="M9" s="12"/>
      <c r="N9" s="12"/>
      <c r="O9" s="12"/>
      <c r="P9" s="12"/>
    </row>
    <row r="10" spans="1:36" x14ac:dyDescent="0.15">
      <c r="A10" s="12"/>
      <c r="B10" s="12" t="s">
        <v>124</v>
      </c>
      <c r="C10" s="12">
        <v>250</v>
      </c>
      <c r="D10" s="12">
        <v>204.6</v>
      </c>
      <c r="E10" s="12">
        <v>149.9</v>
      </c>
      <c r="F10" s="12">
        <v>103</v>
      </c>
      <c r="G10" s="12">
        <v>-63</v>
      </c>
      <c r="H10" s="12">
        <f>H6-(H7+H8+H9)</f>
        <v>-88</v>
      </c>
      <c r="I10" s="12">
        <f>I6-(I7+I8+I9)</f>
        <v>-549</v>
      </c>
      <c r="J10" s="12">
        <f>J6-(J7+J8+J9)</f>
        <v>869</v>
      </c>
      <c r="L10" s="12"/>
      <c r="M10" s="12"/>
      <c r="N10" s="12"/>
      <c r="O10" s="12"/>
      <c r="P10" s="12"/>
    </row>
    <row r="11" spans="1:36" x14ac:dyDescent="0.15">
      <c r="A11" s="12"/>
      <c r="B11" s="12" t="s">
        <v>94</v>
      </c>
      <c r="C11" s="12">
        <v>1.7</v>
      </c>
      <c r="D11" s="12">
        <v>21.6</v>
      </c>
      <c r="E11" s="12">
        <v>1</v>
      </c>
      <c r="F11" s="12">
        <v>80</v>
      </c>
      <c r="G11" s="12">
        <v>101</v>
      </c>
      <c r="H11" s="12">
        <v>5</v>
      </c>
      <c r="I11" s="12">
        <v>157</v>
      </c>
      <c r="J11" s="19">
        <v>434</v>
      </c>
      <c r="L11" s="12"/>
      <c r="M11" s="12"/>
      <c r="N11" s="12"/>
      <c r="O11" s="12"/>
      <c r="P11" s="12"/>
    </row>
    <row r="12" spans="1:36" x14ac:dyDescent="0.15">
      <c r="A12" s="12"/>
      <c r="B12" s="12" t="s">
        <v>95</v>
      </c>
      <c r="C12" s="12">
        <v>5.0999999999999996</v>
      </c>
      <c r="D12" s="12">
        <v>7.5</v>
      </c>
      <c r="E12" s="12">
        <v>15.2</v>
      </c>
      <c r="F12" s="12">
        <v>182</v>
      </c>
      <c r="G12" s="12">
        <v>226</v>
      </c>
      <c r="H12" s="12">
        <v>212</v>
      </c>
      <c r="I12" s="12">
        <v>385</v>
      </c>
      <c r="J12" s="19">
        <v>419</v>
      </c>
      <c r="L12" s="12"/>
      <c r="M12" s="12"/>
      <c r="N12" s="12"/>
      <c r="O12" s="12"/>
      <c r="P12" s="12"/>
    </row>
    <row r="13" spans="1:36" x14ac:dyDescent="0.15">
      <c r="A13" s="12"/>
      <c r="B13" s="12" t="s">
        <v>125</v>
      </c>
      <c r="C13" s="12">
        <v>246.6</v>
      </c>
      <c r="D13" s="12">
        <f>D10+D11-D12</f>
        <v>218.7</v>
      </c>
      <c r="E13" s="12">
        <f>E10+E11-E12</f>
        <v>135.70000000000002</v>
      </c>
      <c r="F13" s="12">
        <f>F10+F11-F12</f>
        <v>1</v>
      </c>
      <c r="G13" s="12">
        <f>G10+G11-G12</f>
        <v>-188</v>
      </c>
      <c r="H13" s="12">
        <f>H10+H11-H12</f>
        <v>-295</v>
      </c>
      <c r="I13" s="12">
        <f>I10-I11-I12</f>
        <v>-1091</v>
      </c>
      <c r="J13" s="19">
        <f>J10-J11-J12</f>
        <v>16</v>
      </c>
      <c r="L13" s="12"/>
      <c r="M13" s="12"/>
      <c r="N13" s="12"/>
      <c r="O13" s="12"/>
      <c r="P13" s="12"/>
    </row>
    <row r="14" spans="1:36" x14ac:dyDescent="0.15">
      <c r="A14" s="12"/>
      <c r="B14" s="12" t="s">
        <v>123</v>
      </c>
      <c r="C14" s="12">
        <v>-28.9</v>
      </c>
      <c r="D14" s="12">
        <v>-38</v>
      </c>
      <c r="E14" s="12">
        <v>-23.8</v>
      </c>
      <c r="F14" s="12">
        <f>35.8</f>
        <v>35.799999999999997</v>
      </c>
      <c r="G14" s="12">
        <v>-194</v>
      </c>
      <c r="H14" s="12">
        <v>-75</v>
      </c>
      <c r="I14" s="12">
        <v>-120</v>
      </c>
      <c r="J14" s="19">
        <v>146</v>
      </c>
      <c r="L14" s="12"/>
      <c r="M14" s="12"/>
      <c r="N14" s="12"/>
      <c r="O14" s="12"/>
      <c r="P14" s="12"/>
    </row>
    <row r="15" spans="1:36" s="7" customFormat="1" x14ac:dyDescent="0.15">
      <c r="A15" s="14"/>
      <c r="B15" s="14" t="s">
        <v>98</v>
      </c>
      <c r="C15" s="14">
        <f>C13+C14</f>
        <v>217.7</v>
      </c>
      <c r="D15" s="14">
        <f>D13+D14</f>
        <v>180.7</v>
      </c>
      <c r="E15" s="14">
        <f>E13+E14</f>
        <v>111.90000000000002</v>
      </c>
      <c r="F15" s="14">
        <f>F13-F14</f>
        <v>-34.799999999999997</v>
      </c>
      <c r="G15" s="14">
        <f>G13+G14</f>
        <v>-382</v>
      </c>
      <c r="H15" s="14">
        <f>H13+H14</f>
        <v>-370</v>
      </c>
      <c r="I15" s="14">
        <f>I13+I14</f>
        <v>-1211</v>
      </c>
      <c r="J15" s="21">
        <f>J13+J14</f>
        <v>162</v>
      </c>
      <c r="L15" s="14"/>
      <c r="M15" s="14"/>
      <c r="N15" s="14"/>
      <c r="O15" s="14"/>
      <c r="P15" s="14"/>
    </row>
    <row r="16" spans="1:36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9"/>
      <c r="L16" s="12"/>
      <c r="M16" s="12"/>
      <c r="N16" s="12"/>
      <c r="O16" s="12"/>
      <c r="P16" s="12"/>
    </row>
    <row r="17" spans="1:36" x14ac:dyDescent="0.15">
      <c r="A17" s="12"/>
      <c r="B17" s="12" t="s">
        <v>119</v>
      </c>
      <c r="C17" s="12">
        <v>118.3</v>
      </c>
      <c r="D17" s="12">
        <v>123.1</v>
      </c>
      <c r="E17" s="12">
        <v>112</v>
      </c>
      <c r="F17" s="12">
        <v>506.7</v>
      </c>
      <c r="G17" s="12">
        <v>866</v>
      </c>
      <c r="H17" s="12">
        <f>43+155-44+749+65+9+147-199+1-63</f>
        <v>863</v>
      </c>
      <c r="I17" s="12">
        <f>92+126+725+791+30+6+29+196-150-13+2</f>
        <v>1834</v>
      </c>
      <c r="J17" s="19">
        <f>54+135+581+202+7+8+2-3+426+2-148</f>
        <v>1266</v>
      </c>
      <c r="K17" s="12"/>
      <c r="L17" s="12"/>
      <c r="M17" s="12"/>
      <c r="N17" s="12"/>
      <c r="O17" s="14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s="26" customFormat="1" x14ac:dyDescent="0.15">
      <c r="B18" s="14" t="s">
        <v>116</v>
      </c>
      <c r="C18" s="14">
        <f>C15+C17</f>
        <v>336</v>
      </c>
      <c r="D18" s="14">
        <f>D15+D17</f>
        <v>303.79999999999995</v>
      </c>
      <c r="E18" s="14">
        <f>E15+E17</f>
        <v>223.90000000000003</v>
      </c>
      <c r="F18" s="14">
        <f>F15+F17</f>
        <v>471.9</v>
      </c>
      <c r="G18" s="14">
        <f>G15+G17</f>
        <v>484</v>
      </c>
      <c r="H18" s="14">
        <f>H15+H17</f>
        <v>493</v>
      </c>
      <c r="I18" s="14">
        <f>I15+I17</f>
        <v>623</v>
      </c>
      <c r="J18" s="21">
        <f>J15+J17</f>
        <v>1428</v>
      </c>
      <c r="K18" s="14">
        <f>J18*1.2</f>
        <v>1713.6</v>
      </c>
      <c r="L18" s="14">
        <f t="shared" ref="L18:M18" si="0">K18*1.2</f>
        <v>2056.3199999999997</v>
      </c>
      <c r="M18" s="14">
        <f t="shared" si="0"/>
        <v>2467.5839999999994</v>
      </c>
      <c r="N18" s="14">
        <f>M18*(1+$M$37)</f>
        <v>2516.9356799999996</v>
      </c>
      <c r="O18" s="14">
        <f>N18*(1+$M$37)</f>
        <v>2567.2743935999997</v>
      </c>
      <c r="P18" s="14">
        <f>O18*(1+$M$37)</f>
        <v>2618.6198814719996</v>
      </c>
      <c r="Q18" s="14">
        <f>P18*(1+$M$37)</f>
        <v>2670.9922791014396</v>
      </c>
      <c r="R18" s="14">
        <f>Q18*(1+$M$37)</f>
        <v>2724.4121246834684</v>
      </c>
      <c r="S18" s="14">
        <f>R18*(1+$M$37)</f>
        <v>2778.9003671771379</v>
      </c>
      <c r="T18" s="14">
        <f>S18*(1+$M$37)</f>
        <v>2834.4783745206805</v>
      </c>
      <c r="U18" s="14">
        <f>T18*(1+$M$37)</f>
        <v>2891.1679420110941</v>
      </c>
      <c r="V18" s="14">
        <f>U18*(1+$M$37)</f>
        <v>2948.9913008513158</v>
      </c>
      <c r="W18" s="14">
        <f>V18*(1+$M$37)</f>
        <v>3007.9711268683423</v>
      </c>
      <c r="X18" s="14">
        <f>W18*(1+$M$37)</f>
        <v>3068.1305494057092</v>
      </c>
      <c r="Y18" s="14">
        <f>X18*(1+$M$37)</f>
        <v>3129.4931603938235</v>
      </c>
      <c r="Z18" s="14">
        <f>Y18*(1+$M$37)</f>
        <v>3192.0830236017</v>
      </c>
      <c r="AA18" s="14">
        <f>Z18*(1+$M$37)</f>
        <v>3255.9246840737342</v>
      </c>
      <c r="AB18" s="14">
        <f>AA18*(1+$M$37)</f>
        <v>3321.0431777552089</v>
      </c>
      <c r="AC18" s="14">
        <f>AB18*(1+$M$37)</f>
        <v>3387.4640413103134</v>
      </c>
      <c r="AD18" s="14">
        <f>AC18*(1+$M$37)</f>
        <v>3455.2133221365198</v>
      </c>
      <c r="AE18" s="14">
        <f>AD18*(1+$M$37)</f>
        <v>3524.3175885792502</v>
      </c>
      <c r="AF18" s="14">
        <f>AE18*(1+$M$37)</f>
        <v>3594.8039403508351</v>
      </c>
      <c r="AG18" s="14">
        <f>AF18*(1+$M$37)</f>
        <v>3666.7000191578518</v>
      </c>
      <c r="AH18" s="14">
        <f>AG18*(1+$M$37)</f>
        <v>3740.034019541009</v>
      </c>
      <c r="AI18" s="14">
        <f>AH18*(1+$M$37)</f>
        <v>3814.8346999318292</v>
      </c>
      <c r="AJ18" s="14">
        <f>AI18*(1+$M$37)</f>
        <v>3891.1313939304659</v>
      </c>
    </row>
    <row r="19" spans="1:36" x14ac:dyDescent="0.15">
      <c r="C19" s="12"/>
      <c r="D19" s="12"/>
      <c r="E19" s="12"/>
    </row>
    <row r="20" spans="1:36" x14ac:dyDescent="0.15">
      <c r="B20" s="12" t="s">
        <v>80</v>
      </c>
      <c r="C20" s="19">
        <f>C15/C23</f>
        <v>1.2369318181818181</v>
      </c>
      <c r="D20" s="19">
        <f>D15/D23</f>
        <v>1.0267045454545454</v>
      </c>
      <c r="E20" s="19">
        <f>E15/E23</f>
        <v>0.63579545454545461</v>
      </c>
      <c r="F20" s="19">
        <f>F15/F23</f>
        <v>-0.19772727272727272</v>
      </c>
      <c r="G20" s="19">
        <f>G15/G23</f>
        <v>-2.1704545454545454</v>
      </c>
      <c r="H20" s="19">
        <f>H15/H23</f>
        <v>-2.1022727272727271</v>
      </c>
      <c r="I20" s="19">
        <f>I15/I23</f>
        <v>-6.8418079096045199</v>
      </c>
      <c r="J20" s="19">
        <f>J15/J23</f>
        <v>0.9</v>
      </c>
    </row>
    <row r="21" spans="1:36" x14ac:dyDescent="0.15">
      <c r="B21" s="12" t="s">
        <v>117</v>
      </c>
      <c r="C21" s="19">
        <f>C18/C23</f>
        <v>1.9090909090909092</v>
      </c>
      <c r="D21" s="19">
        <f>D18/D23</f>
        <v>1.7261363636363634</v>
      </c>
      <c r="E21" s="19">
        <f>E18/E23</f>
        <v>1.2721590909090912</v>
      </c>
      <c r="F21" s="19">
        <f>F18/F23</f>
        <v>2.6812499999999999</v>
      </c>
      <c r="G21" s="19">
        <f>G18/G23</f>
        <v>2.75</v>
      </c>
      <c r="H21" s="19">
        <f>H18/H23</f>
        <v>2.8011363636363638</v>
      </c>
      <c r="I21" s="19">
        <f>I18/I23</f>
        <v>3.5197740112994351</v>
      </c>
      <c r="J21" s="19">
        <f>J18/J23</f>
        <v>7.9333333333333336</v>
      </c>
    </row>
    <row r="22" spans="1:36" x14ac:dyDescent="0.15">
      <c r="B22" s="12" t="s">
        <v>81</v>
      </c>
      <c r="C22" s="12">
        <f>Main!I7/C15</f>
        <v>213.92448323380802</v>
      </c>
      <c r="D22" s="12">
        <f>Main!I7/D15</f>
        <v>257.72750415052576</v>
      </c>
      <c r="E22" s="12">
        <f>Main!I7/E15</f>
        <v>416.18731009830196</v>
      </c>
      <c r="F22" s="12">
        <f>Main!I7/F15</f>
        <v>-1338.257471264368</v>
      </c>
      <c r="G22" s="12">
        <f>Main!I7/G15</f>
        <v>-121.91455497382199</v>
      </c>
      <c r="H22" s="12">
        <f>Main!I7/H15</f>
        <v>-125.86854054054054</v>
      </c>
      <c r="I22" s="12">
        <f>Main!I7/I15</f>
        <v>-38.456944673823287</v>
      </c>
      <c r="J22" s="19">
        <f>Main!I7/J15</f>
        <v>287.47753086419755</v>
      </c>
    </row>
    <row r="23" spans="1:36" x14ac:dyDescent="0.15">
      <c r="B23" s="12" t="s">
        <v>3</v>
      </c>
      <c r="C23" s="12">
        <v>176</v>
      </c>
      <c r="D23" s="12">
        <v>176</v>
      </c>
      <c r="E23" s="12">
        <v>176</v>
      </c>
      <c r="F23" s="12">
        <v>176</v>
      </c>
      <c r="G23" s="12">
        <v>176</v>
      </c>
      <c r="H23" s="12">
        <v>176</v>
      </c>
      <c r="I23" s="12">
        <v>177</v>
      </c>
      <c r="J23" s="19">
        <v>180</v>
      </c>
      <c r="K23" s="16"/>
      <c r="L23" s="16"/>
      <c r="M23" s="16"/>
      <c r="N23" s="16"/>
      <c r="O23" s="16"/>
      <c r="P23" s="16"/>
    </row>
    <row r="25" spans="1:36" x14ac:dyDescent="0.15">
      <c r="B25" s="1" t="s">
        <v>121</v>
      </c>
      <c r="D25" s="8">
        <f>(D4-C4)/C4</f>
        <v>7.3106451243267964E-2</v>
      </c>
      <c r="E25" s="8">
        <f>(E4-D4)/D4</f>
        <v>0.14255205552589428</v>
      </c>
      <c r="F25" s="8">
        <f>(F4-E4)/E4</f>
        <v>1.0621495327102803</v>
      </c>
      <c r="G25" s="8">
        <f>(G4-F4)/F4</f>
        <v>0.36777702243371857</v>
      </c>
      <c r="H25" s="8">
        <f>(H4-G4)/G4</f>
        <v>0.56776010603048377</v>
      </c>
      <c r="I25" s="8">
        <f>(I4-H4)/H4</f>
        <v>0.24590510408961216</v>
      </c>
      <c r="J25" s="8">
        <f>(J4-I4)/I4</f>
        <v>0.19151823579304494</v>
      </c>
    </row>
    <row r="26" spans="1:36" x14ac:dyDescent="0.15">
      <c r="B26" s="1" t="s">
        <v>122</v>
      </c>
      <c r="D26" s="8">
        <f>(D18-C18)/C18</f>
        <v>-9.5833333333333465E-2</v>
      </c>
      <c r="E26" s="8">
        <f t="shared" ref="E26:J26" si="1">(E18-D18)/D18</f>
        <v>-0.26300197498354161</v>
      </c>
      <c r="F26" s="8">
        <f t="shared" si="1"/>
        <v>1.1076373380973645</v>
      </c>
      <c r="G26" s="8">
        <f t="shared" si="1"/>
        <v>2.5641025641025692E-2</v>
      </c>
      <c r="H26" s="8">
        <f t="shared" si="1"/>
        <v>1.859504132231405E-2</v>
      </c>
      <c r="I26" s="8">
        <f t="shared" si="1"/>
        <v>0.26369168356997974</v>
      </c>
      <c r="J26" s="8">
        <f t="shared" si="1"/>
        <v>1.2921348314606742</v>
      </c>
    </row>
    <row r="27" spans="1:36" x14ac:dyDescent="0.15">
      <c r="D27" s="8"/>
      <c r="E27" s="8"/>
      <c r="F27" s="8"/>
      <c r="G27" s="8"/>
      <c r="H27" s="8"/>
      <c r="I27" s="8"/>
      <c r="J27" s="8"/>
    </row>
    <row r="28" spans="1:36" x14ac:dyDescent="0.15">
      <c r="B28" s="1" t="s">
        <v>87</v>
      </c>
      <c r="C28" s="8">
        <f>C6/C4</f>
        <v>0.76773232496848853</v>
      </c>
      <c r="D28" s="8">
        <f>D6/D4</f>
        <v>0.74911906033101971</v>
      </c>
      <c r="E28" s="8">
        <f>E6/E4</f>
        <v>0.69616822429906544</v>
      </c>
      <c r="F28" s="8">
        <f>F6/F4</f>
        <v>0.65080444142306826</v>
      </c>
      <c r="G28" s="8">
        <f>G6/G4</f>
        <v>0.62524850894632211</v>
      </c>
      <c r="H28" s="8">
        <f>H6/H4</f>
        <v>0.49138750924653918</v>
      </c>
      <c r="I28" s="8">
        <f>I6/I4</f>
        <v>0.47396098388464802</v>
      </c>
      <c r="J28" s="22">
        <f>J6/J4</f>
        <v>0.4770785876993166</v>
      </c>
    </row>
    <row r="29" spans="1:36" x14ac:dyDescent="0.15">
      <c r="B29" s="1" t="s">
        <v>88</v>
      </c>
      <c r="C29" s="8">
        <f>C10/C4</f>
        <v>0.1432336427180016</v>
      </c>
      <c r="D29" s="8">
        <f>D10/D4</f>
        <v>0.10923651895355045</v>
      </c>
      <c r="E29" s="8">
        <f>E10/E4</f>
        <v>7.0046728971962624E-2</v>
      </c>
      <c r="F29" s="8">
        <f>F10/F4</f>
        <v>2.3340131429866306E-2</v>
      </c>
      <c r="G29" s="8">
        <f>G10/G4</f>
        <v>-1.0437375745526839E-2</v>
      </c>
      <c r="H29" s="8">
        <f>H10/H4</f>
        <v>-9.2993765190742886E-3</v>
      </c>
      <c r="I29" s="8">
        <f>I10/I4</f>
        <v>-4.6564885496183206E-2</v>
      </c>
      <c r="J29" s="22">
        <f>J10/J4</f>
        <v>6.1859339407744872E-2</v>
      </c>
    </row>
    <row r="30" spans="1:36" x14ac:dyDescent="0.15">
      <c r="B30" s="1" t="s">
        <v>89</v>
      </c>
      <c r="C30" s="8">
        <f>C15/C4</f>
        <v>0.12472785607883578</v>
      </c>
      <c r="D30" s="8">
        <f>D15/D4</f>
        <v>9.6476241324079018E-2</v>
      </c>
      <c r="E30" s="8">
        <f>E15/E4</f>
        <v>5.2289719626168234E-2</v>
      </c>
      <c r="F30" s="8">
        <f>F15/F4</f>
        <v>-7.8857919782460897E-3</v>
      </c>
      <c r="G30" s="8">
        <f>G15/G4</f>
        <v>-6.328694499668655E-2</v>
      </c>
      <c r="H30" s="8">
        <f>H15/H4</f>
        <v>-3.9099651273380533E-2</v>
      </c>
      <c r="I30" s="8">
        <f>I15/I4</f>
        <v>-0.10271416454622562</v>
      </c>
      <c r="J30" s="22">
        <f>J15/J4</f>
        <v>1.1531890660592256E-2</v>
      </c>
    </row>
    <row r="31" spans="1:36" x14ac:dyDescent="0.15">
      <c r="B31" s="1" t="s">
        <v>120</v>
      </c>
      <c r="C31" s="8">
        <f>C18/C4</f>
        <v>0.19250601581299415</v>
      </c>
      <c r="D31" s="8">
        <f>D18/D4</f>
        <v>0.16219967965830218</v>
      </c>
      <c r="E31" s="8">
        <f>E18/E4</f>
        <v>0.10462616822429908</v>
      </c>
      <c r="F31" s="8">
        <f>F18/F4</f>
        <v>0.10693405846363017</v>
      </c>
      <c r="G31" s="8">
        <f>G18/G4</f>
        <v>8.0185553346587141E-2</v>
      </c>
      <c r="H31" s="8">
        <f>H18/H4</f>
        <v>5.2097643453450283E-2</v>
      </c>
      <c r="I31" s="8">
        <f>I18/I4</f>
        <v>5.2841391009329941E-2</v>
      </c>
      <c r="J31" s="22">
        <f>J18/J4</f>
        <v>0.10165148063781321</v>
      </c>
    </row>
    <row r="32" spans="1:36" x14ac:dyDescent="0.15">
      <c r="B32" s="1" t="s">
        <v>90</v>
      </c>
      <c r="E32" s="8"/>
      <c r="F32" s="8">
        <f>(F3-E3)/E3</f>
        <v>0.18518518518518517</v>
      </c>
      <c r="G32" s="8">
        <f>(G3-F3)/F3</f>
        <v>0.1875</v>
      </c>
      <c r="H32" s="8">
        <f>(H3-G3)/G3</f>
        <v>0.34802631578947368</v>
      </c>
      <c r="I32" s="8">
        <f>(I3-H3)/H3</f>
        <v>0.20302586627623231</v>
      </c>
      <c r="J32" s="22">
        <f>(J3-I3)/I3</f>
        <v>0.12762677484787019</v>
      </c>
    </row>
    <row r="36" spans="12:13" x14ac:dyDescent="0.15">
      <c r="L36" s="1" t="s">
        <v>127</v>
      </c>
      <c r="M36" s="9">
        <v>0.08</v>
      </c>
    </row>
    <row r="37" spans="12:13" x14ac:dyDescent="0.15">
      <c r="L37" s="1" t="s">
        <v>126</v>
      </c>
      <c r="M37" s="9">
        <v>0.02</v>
      </c>
    </row>
    <row r="38" spans="12:13" x14ac:dyDescent="0.15">
      <c r="L38" s="1" t="s">
        <v>128</v>
      </c>
      <c r="M38" s="12">
        <f>NPV(M36, C18:AJ18)</f>
        <v>18898.554954931216</v>
      </c>
    </row>
    <row r="39" spans="12:13" x14ac:dyDescent="0.15">
      <c r="L39" s="1" t="s">
        <v>129</v>
      </c>
      <c r="M39" s="12">
        <f>M38/Main!I6</f>
        <v>107.37815315301827</v>
      </c>
    </row>
  </sheetData>
  <hyperlinks>
    <hyperlink ref="A1" location="Main!A1" display="Main!A1" xr:uid="{C6D62328-0113-CD43-8596-4A6DB858A7E6}"/>
  </hyperlink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2C75-DEB6-EB40-AB5E-6BD2AE248C15}">
  <dimension ref="A1:H28"/>
  <sheetViews>
    <sheetView zoomScale="159" workbookViewId="0"/>
  </sheetViews>
  <sheetFormatPr baseColWidth="10" defaultRowHeight="13" x14ac:dyDescent="0.15"/>
  <cols>
    <col min="1" max="1" width="5.1640625" style="1" bestFit="1" customWidth="1"/>
    <col min="2" max="2" width="21.6640625" style="1" customWidth="1"/>
    <col min="3" max="16384" width="10.83203125" style="1"/>
  </cols>
  <sheetData>
    <row r="1" spans="1:8" ht="16" x14ac:dyDescent="0.2">
      <c r="A1" s="15" t="s">
        <v>74</v>
      </c>
    </row>
    <row r="2" spans="1:8" s="5" customFormat="1" x14ac:dyDescent="0.15">
      <c r="D2" s="3" t="s">
        <v>82</v>
      </c>
      <c r="E2" s="3" t="s">
        <v>84</v>
      </c>
      <c r="F2" s="3" t="s">
        <v>85</v>
      </c>
      <c r="G2" s="3" t="s">
        <v>83</v>
      </c>
      <c r="H2" s="3" t="s">
        <v>11</v>
      </c>
    </row>
    <row r="3" spans="1:8" s="3" customFormat="1" x14ac:dyDescent="0.15">
      <c r="B3" s="17" t="s">
        <v>91</v>
      </c>
    </row>
    <row r="4" spans="1:8" s="7" customFormat="1" x14ac:dyDescent="0.15">
      <c r="B4" s="7" t="s">
        <v>75</v>
      </c>
      <c r="D4" s="14">
        <v>3397</v>
      </c>
      <c r="E4" s="14"/>
      <c r="F4" s="14"/>
      <c r="H4" s="14">
        <v>3665</v>
      </c>
    </row>
    <row r="5" spans="1:8" x14ac:dyDescent="0.15">
      <c r="B5" s="1" t="s">
        <v>86</v>
      </c>
      <c r="D5" s="12">
        <v>1793</v>
      </c>
      <c r="E5" s="12"/>
      <c r="F5" s="12"/>
      <c r="G5" s="14"/>
      <c r="H5" s="12">
        <v>1956</v>
      </c>
    </row>
    <row r="6" spans="1:8" x14ac:dyDescent="0.15">
      <c r="B6" s="1" t="s">
        <v>76</v>
      </c>
      <c r="D6" s="12">
        <f>D4-D5</f>
        <v>1604</v>
      </c>
      <c r="E6" s="12"/>
      <c r="F6" s="12"/>
      <c r="G6" s="12"/>
      <c r="H6" s="12">
        <f>H4-H5</f>
        <v>1709</v>
      </c>
    </row>
    <row r="7" spans="1:8" x14ac:dyDescent="0.15">
      <c r="B7" s="1" t="s">
        <v>77</v>
      </c>
      <c r="D7" s="12">
        <v>190</v>
      </c>
      <c r="E7" s="12"/>
      <c r="F7" s="12"/>
      <c r="G7" s="12"/>
      <c r="H7" s="12">
        <v>215</v>
      </c>
    </row>
    <row r="8" spans="1:8" x14ac:dyDescent="0.15">
      <c r="B8" s="1" t="s">
        <v>78</v>
      </c>
      <c r="D8" s="12">
        <v>881</v>
      </c>
      <c r="E8" s="12"/>
      <c r="F8" s="12"/>
      <c r="G8" s="12"/>
      <c r="H8" s="12">
        <v>840</v>
      </c>
    </row>
    <row r="9" spans="1:8" x14ac:dyDescent="0.15">
      <c r="B9" s="1" t="s">
        <v>79</v>
      </c>
      <c r="D9" s="12">
        <v>409</v>
      </c>
      <c r="E9" s="12"/>
      <c r="F9" s="12"/>
      <c r="G9" s="12"/>
      <c r="H9" s="12">
        <v>431</v>
      </c>
    </row>
    <row r="10" spans="1:8" x14ac:dyDescent="0.15">
      <c r="B10" s="1" t="s">
        <v>93</v>
      </c>
      <c r="D10" s="12">
        <f>D6-D7-D8-D9</f>
        <v>124</v>
      </c>
      <c r="E10" s="12"/>
      <c r="F10" s="12"/>
      <c r="G10" s="12"/>
      <c r="H10" s="12">
        <f>H6-H7-H8-H9</f>
        <v>223</v>
      </c>
    </row>
    <row r="11" spans="1:8" x14ac:dyDescent="0.15">
      <c r="B11" s="1" t="s">
        <v>94</v>
      </c>
      <c r="D11" s="12">
        <v>174</v>
      </c>
      <c r="E11" s="12"/>
      <c r="F11" s="12"/>
      <c r="G11" s="12"/>
      <c r="H11" s="12">
        <v>216</v>
      </c>
    </row>
    <row r="12" spans="1:8" x14ac:dyDescent="0.15">
      <c r="B12" s="1" t="s">
        <v>95</v>
      </c>
      <c r="D12" s="12">
        <v>112</v>
      </c>
      <c r="E12" s="12"/>
      <c r="F12" s="12"/>
      <c r="G12" s="12"/>
      <c r="H12" s="12">
        <v>85</v>
      </c>
    </row>
    <row r="13" spans="1:8" x14ac:dyDescent="0.15">
      <c r="B13" s="1" t="s">
        <v>96</v>
      </c>
      <c r="D13" s="12">
        <f>D10-D11-D12</f>
        <v>-162</v>
      </c>
      <c r="E13" s="12"/>
      <c r="F13" s="12"/>
      <c r="G13" s="12"/>
      <c r="H13" s="12">
        <f>H10+H11-H12</f>
        <v>354</v>
      </c>
    </row>
    <row r="14" spans="1:8" x14ac:dyDescent="0.15">
      <c r="B14" s="1" t="s">
        <v>97</v>
      </c>
      <c r="D14" s="12">
        <v>15</v>
      </c>
      <c r="E14" s="12"/>
      <c r="F14" s="12"/>
      <c r="G14" s="12"/>
      <c r="H14" s="12">
        <v>19</v>
      </c>
    </row>
    <row r="15" spans="1:8" s="7" customFormat="1" x14ac:dyDescent="0.15">
      <c r="B15" s="7" t="s">
        <v>98</v>
      </c>
      <c r="D15" s="14">
        <f>D13-D14</f>
        <v>-177</v>
      </c>
      <c r="E15" s="14"/>
      <c r="F15" s="14"/>
      <c r="G15" s="12"/>
      <c r="H15" s="14">
        <f>H13-H14</f>
        <v>335</v>
      </c>
    </row>
    <row r="16" spans="1:8" x14ac:dyDescent="0.15">
      <c r="B16" s="1" t="s">
        <v>118</v>
      </c>
      <c r="G16" s="14"/>
    </row>
    <row r="17" spans="2:8" s="7" customFormat="1" x14ac:dyDescent="0.15">
      <c r="B17" s="7" t="s">
        <v>116</v>
      </c>
      <c r="G17" s="1"/>
    </row>
    <row r="19" spans="2:8" x14ac:dyDescent="0.15">
      <c r="B19" s="1" t="s">
        <v>80</v>
      </c>
    </row>
    <row r="20" spans="2:8" x14ac:dyDescent="0.15">
      <c r="B20" s="1" t="s">
        <v>117</v>
      </c>
    </row>
    <row r="21" spans="2:8" x14ac:dyDescent="0.15">
      <c r="B21" s="1" t="s">
        <v>81</v>
      </c>
    </row>
    <row r="22" spans="2:8" x14ac:dyDescent="0.15">
      <c r="B22" s="1" t="s">
        <v>3</v>
      </c>
      <c r="C22" s="16"/>
      <c r="D22" s="16"/>
      <c r="E22" s="16"/>
      <c r="F22" s="16"/>
      <c r="G22" s="16"/>
      <c r="H22" s="16"/>
    </row>
    <row r="24" spans="2:8" x14ac:dyDescent="0.15">
      <c r="B24" s="1" t="s">
        <v>87</v>
      </c>
    </row>
    <row r="25" spans="2:8" x14ac:dyDescent="0.15">
      <c r="B25" s="1" t="s">
        <v>88</v>
      </c>
    </row>
    <row r="26" spans="2:8" x14ac:dyDescent="0.15">
      <c r="B26" s="1" t="s">
        <v>89</v>
      </c>
    </row>
    <row r="27" spans="2:8" s="7" customFormat="1" x14ac:dyDescent="0.15">
      <c r="B27" s="7" t="s">
        <v>120</v>
      </c>
    </row>
    <row r="28" spans="2:8" x14ac:dyDescent="0.15">
      <c r="B28" s="1" t="s">
        <v>90</v>
      </c>
    </row>
  </sheetData>
  <hyperlinks>
    <hyperlink ref="A1" location="Main!A1" display="Main!A1" xr:uid="{317BA633-CCE8-AA49-AED8-FD507239914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Parkhomenko</dc:creator>
  <cp:lastModifiedBy>Dmytro Parkhomenko</cp:lastModifiedBy>
  <dcterms:created xsi:type="dcterms:W3CDTF">2025-06-14T01:42:15Z</dcterms:created>
  <dcterms:modified xsi:type="dcterms:W3CDTF">2025-06-16T17:05:37Z</dcterms:modified>
</cp:coreProperties>
</file>