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Finance/Models/"/>
    </mc:Choice>
  </mc:AlternateContent>
  <xr:revisionPtr revIDLastSave="1675" documentId="8_{01B29E05-4074-C24F-9F5A-60F75487FDC6}" xr6:coauthVersionLast="47" xr6:coauthVersionMax="47" xr10:uidLastSave="{1F886CBE-C049-4E38-BEA6-7E508607BF9B}"/>
  <bookViews>
    <workbookView xWindow="-120" yWindow="-120" windowWidth="29040" windowHeight="15840" activeTab="1" xr2:uid="{E36FCDD1-B29B-B64E-8BC8-95300EC8866E}"/>
  </bookViews>
  <sheets>
    <sheet name="Main" sheetId="1" r:id="rId1"/>
    <sheet name="Model" sheetId="2" r:id="rId2"/>
    <sheet name="WAC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AD49" i="2" l="1"/>
  <c r="AE49" i="2"/>
  <c r="X25" i="2"/>
  <c r="X24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X8" i="2"/>
  <c r="X36" i="2" s="1"/>
  <c r="X13" i="2"/>
  <c r="X14" i="2" s="1"/>
  <c r="X28" i="2"/>
  <c r="X32" i="2"/>
  <c r="X33" i="2"/>
  <c r="X39" i="2"/>
  <c r="X5" i="2"/>
  <c r="J8" i="1"/>
  <c r="X26" i="2" l="1"/>
  <c r="X37" i="2"/>
  <c r="X17" i="2"/>
  <c r="X19" i="2" s="1"/>
  <c r="X38" i="2" l="1"/>
  <c r="X41" i="2"/>
  <c r="X42" i="2"/>
  <c r="AN14" i="2" l="1"/>
  <c r="C3" i="3"/>
  <c r="J4" i="1"/>
  <c r="J6" i="1"/>
  <c r="J7" i="1"/>
  <c r="C5" i="3"/>
  <c r="H32" i="2" l="1"/>
  <c r="E37" i="1"/>
  <c r="E38" i="1"/>
  <c r="E39" i="1"/>
  <c r="E40" i="1"/>
  <c r="AN18" i="2"/>
  <c r="AA25" i="2"/>
  <c r="AB25" i="2"/>
  <c r="AC25" i="2"/>
  <c r="AD25" i="2"/>
  <c r="AE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X30" i="2" s="1"/>
  <c r="U26" i="2"/>
  <c r="V26" i="2"/>
  <c r="W26" i="2"/>
  <c r="C26" i="2"/>
  <c r="AE24" i="2"/>
  <c r="AD24" i="2"/>
  <c r="AC24" i="2"/>
  <c r="AB24" i="2"/>
  <c r="AA24" i="2"/>
  <c r="G28" i="2"/>
  <c r="G32" i="2"/>
  <c r="G33" i="2"/>
  <c r="H28" i="2"/>
  <c r="I28" i="2"/>
  <c r="I32" i="2"/>
  <c r="H33" i="2"/>
  <c r="I33" i="2"/>
  <c r="J28" i="2"/>
  <c r="K28" i="2"/>
  <c r="L28" i="2"/>
  <c r="J32" i="2"/>
  <c r="K32" i="2"/>
  <c r="L32" i="2"/>
  <c r="J33" i="2"/>
  <c r="K33" i="2"/>
  <c r="L33" i="2"/>
  <c r="M28" i="2"/>
  <c r="M32" i="2"/>
  <c r="M33" i="2"/>
  <c r="O28" i="2"/>
  <c r="P28" i="2"/>
  <c r="N32" i="2"/>
  <c r="O32" i="2"/>
  <c r="P32" i="2"/>
  <c r="N33" i="2"/>
  <c r="O33" i="2"/>
  <c r="P33" i="2"/>
  <c r="Q28" i="2"/>
  <c r="S28" i="2"/>
  <c r="T28" i="2"/>
  <c r="U28" i="2"/>
  <c r="Q32" i="2"/>
  <c r="R32" i="2"/>
  <c r="S32" i="2"/>
  <c r="T32" i="2"/>
  <c r="U32" i="2"/>
  <c r="V32" i="2"/>
  <c r="Q33" i="2"/>
  <c r="R33" i="2"/>
  <c r="S33" i="2"/>
  <c r="T33" i="2"/>
  <c r="U33" i="2"/>
  <c r="V33" i="2"/>
  <c r="W28" i="2"/>
  <c r="C39" i="2"/>
  <c r="D39" i="2"/>
  <c r="E39" i="2"/>
  <c r="F39" i="2"/>
  <c r="G39" i="2"/>
  <c r="H39" i="2"/>
  <c r="I39" i="2"/>
  <c r="J39" i="2"/>
  <c r="AA4" i="2"/>
  <c r="AE4" i="2"/>
  <c r="AE3" i="2"/>
  <c r="AD4" i="2"/>
  <c r="AD3" i="2"/>
  <c r="AC4" i="2"/>
  <c r="AC3" i="2"/>
  <c r="AB4" i="2"/>
  <c r="AB6" i="2"/>
  <c r="AB7" i="2"/>
  <c r="AB9" i="2"/>
  <c r="AB10" i="2"/>
  <c r="AB11" i="2"/>
  <c r="AB16" i="2"/>
  <c r="AB18" i="2"/>
  <c r="AB3" i="2"/>
  <c r="AA7" i="2"/>
  <c r="AA9" i="2"/>
  <c r="AA10" i="2"/>
  <c r="AA11" i="2"/>
  <c r="AA16" i="2"/>
  <c r="AA6" i="2"/>
  <c r="AA3" i="2"/>
  <c r="J15" i="2"/>
  <c r="J12" i="2"/>
  <c r="J13" i="2" s="1"/>
  <c r="F18" i="2"/>
  <c r="AA18" i="2" s="1"/>
  <c r="F15" i="2"/>
  <c r="F12" i="2"/>
  <c r="I15" i="2"/>
  <c r="I12" i="2"/>
  <c r="I13" i="2" s="1"/>
  <c r="I14" i="2" s="1"/>
  <c r="I37" i="2" s="1"/>
  <c r="E15" i="2"/>
  <c r="E12" i="2"/>
  <c r="E13" i="2" s="1"/>
  <c r="E14" i="2" s="1"/>
  <c r="E37" i="2" s="1"/>
  <c r="H15" i="2"/>
  <c r="D15" i="2"/>
  <c r="D12" i="2"/>
  <c r="D13" i="2" s="1"/>
  <c r="D14" i="2" s="1"/>
  <c r="D37" i="2" s="1"/>
  <c r="G15" i="2"/>
  <c r="G12" i="2"/>
  <c r="G13" i="2" s="1"/>
  <c r="G14" i="2" s="1"/>
  <c r="G37" i="2" s="1"/>
  <c r="C15" i="2"/>
  <c r="H13" i="2"/>
  <c r="H14" i="2" s="1"/>
  <c r="H37" i="2" s="1"/>
  <c r="I8" i="2"/>
  <c r="I36" i="2" s="1"/>
  <c r="H8" i="2"/>
  <c r="H36" i="2" s="1"/>
  <c r="G8" i="2"/>
  <c r="G36" i="2" s="1"/>
  <c r="J5" i="2"/>
  <c r="I5" i="2"/>
  <c r="H5" i="2"/>
  <c r="G5" i="2"/>
  <c r="M39" i="2"/>
  <c r="L39" i="2"/>
  <c r="K39" i="2"/>
  <c r="N18" i="2"/>
  <c r="AC18" i="2" s="1"/>
  <c r="N16" i="2"/>
  <c r="AC16" i="2" s="1"/>
  <c r="N15" i="2"/>
  <c r="M15" i="2"/>
  <c r="L15" i="2"/>
  <c r="M13" i="2"/>
  <c r="M14" i="2" s="1"/>
  <c r="M37" i="2" s="1"/>
  <c r="K13" i="2"/>
  <c r="K14" i="2" s="1"/>
  <c r="N12" i="2"/>
  <c r="L12" i="2"/>
  <c r="L13" i="2" s="1"/>
  <c r="L14" i="2" s="1"/>
  <c r="N11" i="2"/>
  <c r="AC11" i="2" s="1"/>
  <c r="N10" i="2"/>
  <c r="AC10" i="2" s="1"/>
  <c r="N9" i="2"/>
  <c r="AC9" i="2" s="1"/>
  <c r="M8" i="2"/>
  <c r="M36" i="2" s="1"/>
  <c r="L8" i="2"/>
  <c r="L36" i="2" s="1"/>
  <c r="K8" i="2"/>
  <c r="K36" i="2" s="1"/>
  <c r="N7" i="2"/>
  <c r="AC7" i="2" s="1"/>
  <c r="N6" i="2"/>
  <c r="N39" i="2" s="1"/>
  <c r="N5" i="2"/>
  <c r="N34" i="2" s="1"/>
  <c r="M5" i="2"/>
  <c r="M34" i="2" s="1"/>
  <c r="L5" i="2"/>
  <c r="L34" i="2" s="1"/>
  <c r="K5" i="2"/>
  <c r="K34" i="2" s="1"/>
  <c r="O39" i="2"/>
  <c r="P39" i="2"/>
  <c r="Q39" i="2"/>
  <c r="S39" i="2"/>
  <c r="T39" i="2"/>
  <c r="U39" i="2"/>
  <c r="W39" i="2"/>
  <c r="AD2" i="2"/>
  <c r="AE2" i="2" s="1"/>
  <c r="AF2" i="2" s="1"/>
  <c r="AG2" i="2" s="1"/>
  <c r="AH2" i="2" s="1"/>
  <c r="AI2" i="2" s="1"/>
  <c r="AJ2" i="2" s="1"/>
  <c r="AK2" i="2" s="1"/>
  <c r="W32" i="2"/>
  <c r="W33" i="2"/>
  <c r="D5" i="2"/>
  <c r="E5" i="2"/>
  <c r="F5" i="2"/>
  <c r="O5" i="2"/>
  <c r="P5" i="2"/>
  <c r="Q5" i="2"/>
  <c r="Q34" i="2" s="1"/>
  <c r="R5" i="2"/>
  <c r="S5" i="2"/>
  <c r="T5" i="2"/>
  <c r="X34" i="2" s="1"/>
  <c r="U5" i="2"/>
  <c r="V5" i="2"/>
  <c r="W5" i="2"/>
  <c r="C5" i="2"/>
  <c r="C13" i="2"/>
  <c r="C14" i="2" s="1"/>
  <c r="C37" i="2" s="1"/>
  <c r="E8" i="2"/>
  <c r="E36" i="2" s="1"/>
  <c r="D8" i="2"/>
  <c r="D36" i="2" s="1"/>
  <c r="C8" i="2"/>
  <c r="C36" i="2" s="1"/>
  <c r="O13" i="2"/>
  <c r="O14" i="2" s="1"/>
  <c r="O17" i="2" s="1"/>
  <c r="O19" i="2" s="1"/>
  <c r="O8" i="2"/>
  <c r="O36" i="2" s="1"/>
  <c r="P13" i="2"/>
  <c r="P14" i="2" s="1"/>
  <c r="P17" i="2" s="1"/>
  <c r="P19" i="2" s="1"/>
  <c r="P41" i="2" s="1"/>
  <c r="P8" i="2"/>
  <c r="P36" i="2" s="1"/>
  <c r="T13" i="2"/>
  <c r="T14" i="2" s="1"/>
  <c r="T17" i="2" s="1"/>
  <c r="T19" i="2" s="1"/>
  <c r="T8" i="2"/>
  <c r="T36" i="2" s="1"/>
  <c r="R18" i="2"/>
  <c r="AD18" i="2" s="1"/>
  <c r="R16" i="2"/>
  <c r="AD16" i="2" s="1"/>
  <c r="R15" i="2"/>
  <c r="AD15" i="2" s="1"/>
  <c r="R12" i="2"/>
  <c r="AD12" i="2" s="1"/>
  <c r="R11" i="2"/>
  <c r="AD11" i="2" s="1"/>
  <c r="R10" i="2"/>
  <c r="AD10" i="2" s="1"/>
  <c r="R9" i="2"/>
  <c r="AD9" i="2" s="1"/>
  <c r="R7" i="2"/>
  <c r="AD7" i="2" s="1"/>
  <c r="R6" i="2"/>
  <c r="AD6" i="2" s="1"/>
  <c r="V16" i="2"/>
  <c r="AE16" i="2" s="1"/>
  <c r="V18" i="2"/>
  <c r="AE18" i="2" s="1"/>
  <c r="V15" i="2"/>
  <c r="AE15" i="2" s="1"/>
  <c r="V12" i="2"/>
  <c r="AE12" i="2" s="1"/>
  <c r="V11" i="2"/>
  <c r="AE11" i="2" s="1"/>
  <c r="V10" i="2"/>
  <c r="AE10" i="2" s="1"/>
  <c r="V9" i="2"/>
  <c r="AE9" i="2" s="1"/>
  <c r="V7" i="2"/>
  <c r="AE7" i="2" s="1"/>
  <c r="V6" i="2"/>
  <c r="AE6" i="2" s="1"/>
  <c r="Q13" i="2"/>
  <c r="Q14" i="2" s="1"/>
  <c r="Q17" i="2" s="1"/>
  <c r="Q8" i="2"/>
  <c r="Q36" i="2" s="1"/>
  <c r="U8" i="2"/>
  <c r="U36" i="2" s="1"/>
  <c r="U13" i="2"/>
  <c r="U14" i="2" s="1"/>
  <c r="U17" i="2" s="1"/>
  <c r="W13" i="2"/>
  <c r="W14" i="2" s="1"/>
  <c r="W37" i="2" s="1"/>
  <c r="W8" i="2"/>
  <c r="W36" i="2" s="1"/>
  <c r="S13" i="2"/>
  <c r="S14" i="2" s="1"/>
  <c r="S17" i="2" s="1"/>
  <c r="S8" i="2"/>
  <c r="S36" i="2" s="1"/>
  <c r="C49" i="1"/>
  <c r="E48" i="1"/>
  <c r="E47" i="1"/>
  <c r="E46" i="1"/>
  <c r="E45" i="1"/>
  <c r="C41" i="1"/>
  <c r="D49" i="1"/>
  <c r="F47" i="1" s="1"/>
  <c r="D41" i="1"/>
  <c r="D33" i="1"/>
  <c r="C33" i="1"/>
  <c r="E32" i="1"/>
  <c r="E31" i="1"/>
  <c r="V30" i="2" l="1"/>
  <c r="P30" i="2"/>
  <c r="J30" i="2"/>
  <c r="W30" i="2"/>
  <c r="Q30" i="2"/>
  <c r="K30" i="2"/>
  <c r="U30" i="2"/>
  <c r="O30" i="2"/>
  <c r="I30" i="2"/>
  <c r="N30" i="2"/>
  <c r="H30" i="2"/>
  <c r="S30" i="2"/>
  <c r="M30" i="2"/>
  <c r="G30" i="2"/>
  <c r="R30" i="2"/>
  <c r="L30" i="2"/>
  <c r="AF6" i="2"/>
  <c r="AG6" i="2" s="1"/>
  <c r="T30" i="2"/>
  <c r="T38" i="2"/>
  <c r="X29" i="2"/>
  <c r="G34" i="2"/>
  <c r="E41" i="1"/>
  <c r="P34" i="2"/>
  <c r="AC15" i="2"/>
  <c r="F40" i="1"/>
  <c r="F46" i="1"/>
  <c r="F39" i="1"/>
  <c r="F38" i="1"/>
  <c r="F41" i="1"/>
  <c r="F45" i="1"/>
  <c r="F49" i="1"/>
  <c r="F48" i="1"/>
  <c r="F37" i="1"/>
  <c r="AC26" i="2"/>
  <c r="AD26" i="2"/>
  <c r="AE26" i="2"/>
  <c r="AA26" i="2"/>
  <c r="AB26" i="2"/>
  <c r="AB30" i="2" s="1"/>
  <c r="AD39" i="2"/>
  <c r="AA5" i="2"/>
  <c r="AD33" i="2"/>
  <c r="I34" i="2"/>
  <c r="AB32" i="2"/>
  <c r="AD5" i="2"/>
  <c r="AE28" i="2"/>
  <c r="AE33" i="2"/>
  <c r="AE32" i="2"/>
  <c r="AB39" i="2"/>
  <c r="AB28" i="2"/>
  <c r="AB5" i="2"/>
  <c r="AE5" i="2"/>
  <c r="AC33" i="2"/>
  <c r="AB33" i="2"/>
  <c r="AC32" i="2"/>
  <c r="H34" i="2"/>
  <c r="AD32" i="2"/>
  <c r="V34" i="2"/>
  <c r="AA39" i="2"/>
  <c r="U34" i="2"/>
  <c r="AE39" i="2"/>
  <c r="R34" i="2"/>
  <c r="AC5" i="2"/>
  <c r="J34" i="2"/>
  <c r="E49" i="1"/>
  <c r="T34" i="2"/>
  <c r="S34" i="2"/>
  <c r="AA15" i="2"/>
  <c r="V28" i="2"/>
  <c r="T29" i="2"/>
  <c r="R28" i="2"/>
  <c r="N28" i="2"/>
  <c r="AB15" i="2"/>
  <c r="O34" i="2"/>
  <c r="AB13" i="2"/>
  <c r="AC6" i="2"/>
  <c r="H17" i="2"/>
  <c r="H19" i="2" s="1"/>
  <c r="AB12" i="2"/>
  <c r="AC12" i="2"/>
  <c r="AA12" i="2"/>
  <c r="C17" i="2"/>
  <c r="G17" i="2"/>
  <c r="I17" i="2"/>
  <c r="I19" i="2" s="1"/>
  <c r="J14" i="2"/>
  <c r="J8" i="2"/>
  <c r="R39" i="2"/>
  <c r="W34" i="2"/>
  <c r="N13" i="2"/>
  <c r="N14" i="2" s="1"/>
  <c r="AC14" i="2" s="1"/>
  <c r="L37" i="2"/>
  <c r="L17" i="2"/>
  <c r="L19" i="2" s="1"/>
  <c r="P29" i="2" s="1"/>
  <c r="K17" i="2"/>
  <c r="K37" i="2"/>
  <c r="M17" i="2"/>
  <c r="M19" i="2" s="1"/>
  <c r="N8" i="2"/>
  <c r="N36" i="2" s="1"/>
  <c r="V39" i="2"/>
  <c r="P38" i="2"/>
  <c r="T37" i="2"/>
  <c r="T41" i="2"/>
  <c r="Q37" i="2"/>
  <c r="E17" i="2"/>
  <c r="E19" i="2" s="1"/>
  <c r="P37" i="2"/>
  <c r="D17" i="2"/>
  <c r="O41" i="2"/>
  <c r="O38" i="2"/>
  <c r="F13" i="2"/>
  <c r="F14" i="2" s="1"/>
  <c r="S37" i="2"/>
  <c r="O37" i="2"/>
  <c r="U37" i="2"/>
  <c r="F8" i="2"/>
  <c r="R8" i="2"/>
  <c r="R36" i="2" s="1"/>
  <c r="V8" i="2"/>
  <c r="V36" i="2" s="1"/>
  <c r="V13" i="2"/>
  <c r="V14" i="2" s="1"/>
  <c r="AE14" i="2" s="1"/>
  <c r="AE37" i="2" s="1"/>
  <c r="R13" i="2"/>
  <c r="R14" i="2" s="1"/>
  <c r="AD14" i="2" s="1"/>
  <c r="AD37" i="2" s="1"/>
  <c r="W17" i="2"/>
  <c r="W19" i="2" s="1"/>
  <c r="S19" i="2"/>
  <c r="S29" i="2" s="1"/>
  <c r="Q19" i="2"/>
  <c r="U19" i="2"/>
  <c r="AD30" i="2" l="1"/>
  <c r="AF26" i="2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IK26" i="2" s="1"/>
  <c r="IL26" i="2" s="1"/>
  <c r="IM26" i="2" s="1"/>
  <c r="IN26" i="2" s="1"/>
  <c r="IO26" i="2" s="1"/>
  <c r="IP26" i="2" s="1"/>
  <c r="IQ26" i="2" s="1"/>
  <c r="IR26" i="2" s="1"/>
  <c r="IS26" i="2" s="1"/>
  <c r="IT26" i="2" s="1"/>
  <c r="IU26" i="2" s="1"/>
  <c r="IV26" i="2" s="1"/>
  <c r="IW26" i="2" s="1"/>
  <c r="IX26" i="2" s="1"/>
  <c r="IY26" i="2" s="1"/>
  <c r="IZ26" i="2" s="1"/>
  <c r="JA26" i="2" s="1"/>
  <c r="JB26" i="2" s="1"/>
  <c r="JC26" i="2" s="1"/>
  <c r="JD26" i="2" s="1"/>
  <c r="JE26" i="2" s="1"/>
  <c r="JF26" i="2" s="1"/>
  <c r="JG26" i="2" s="1"/>
  <c r="JH26" i="2" s="1"/>
  <c r="JI26" i="2" s="1"/>
  <c r="JJ26" i="2" s="1"/>
  <c r="JK26" i="2" s="1"/>
  <c r="JL26" i="2" s="1"/>
  <c r="JM26" i="2" s="1"/>
  <c r="JN26" i="2" s="1"/>
  <c r="JO26" i="2" s="1"/>
  <c r="JP26" i="2" s="1"/>
  <c r="JQ26" i="2" s="1"/>
  <c r="JR26" i="2" s="1"/>
  <c r="JS26" i="2" s="1"/>
  <c r="JT26" i="2" s="1"/>
  <c r="JU26" i="2" s="1"/>
  <c r="JV26" i="2" s="1"/>
  <c r="JW26" i="2" s="1"/>
  <c r="JX26" i="2" s="1"/>
  <c r="JY26" i="2" s="1"/>
  <c r="JZ26" i="2" s="1"/>
  <c r="KA26" i="2" s="1"/>
  <c r="KB26" i="2" s="1"/>
  <c r="KC26" i="2" s="1"/>
  <c r="KD26" i="2" s="1"/>
  <c r="KE26" i="2" s="1"/>
  <c r="KF26" i="2" s="1"/>
  <c r="KG26" i="2" s="1"/>
  <c r="KH26" i="2" s="1"/>
  <c r="KI26" i="2" s="1"/>
  <c r="KJ26" i="2" s="1"/>
  <c r="KK26" i="2" s="1"/>
  <c r="KL26" i="2" s="1"/>
  <c r="KM26" i="2" s="1"/>
  <c r="KN26" i="2" s="1"/>
  <c r="KO26" i="2" s="1"/>
  <c r="KP26" i="2" s="1"/>
  <c r="KQ26" i="2" s="1"/>
  <c r="KR26" i="2" s="1"/>
  <c r="KS26" i="2" s="1"/>
  <c r="KT26" i="2" s="1"/>
  <c r="KU26" i="2" s="1"/>
  <c r="KV26" i="2" s="1"/>
  <c r="KW26" i="2" s="1"/>
  <c r="KX26" i="2" s="1"/>
  <c r="KY26" i="2" s="1"/>
  <c r="KZ26" i="2" s="1"/>
  <c r="LA26" i="2" s="1"/>
  <c r="LB26" i="2" s="1"/>
  <c r="LC26" i="2" s="1"/>
  <c r="LD26" i="2" s="1"/>
  <c r="LE26" i="2" s="1"/>
  <c r="LF26" i="2" s="1"/>
  <c r="LG26" i="2" s="1"/>
  <c r="LH26" i="2" s="1"/>
  <c r="LI26" i="2" s="1"/>
  <c r="LJ26" i="2" s="1"/>
  <c r="LK26" i="2" s="1"/>
  <c r="LL26" i="2" s="1"/>
  <c r="LM26" i="2" s="1"/>
  <c r="LN26" i="2" s="1"/>
  <c r="LO26" i="2" s="1"/>
  <c r="LP26" i="2" s="1"/>
  <c r="LQ26" i="2" s="1"/>
  <c r="LR26" i="2" s="1"/>
  <c r="LS26" i="2" s="1"/>
  <c r="LT26" i="2" s="1"/>
  <c r="LU26" i="2" s="1"/>
  <c r="LV26" i="2" s="1"/>
  <c r="LW26" i="2" s="1"/>
  <c r="LX26" i="2" s="1"/>
  <c r="LY26" i="2" s="1"/>
  <c r="LZ26" i="2" s="1"/>
  <c r="MA26" i="2" s="1"/>
  <c r="MB26" i="2" s="1"/>
  <c r="MC26" i="2" s="1"/>
  <c r="MD26" i="2" s="1"/>
  <c r="ME26" i="2" s="1"/>
  <c r="MF26" i="2" s="1"/>
  <c r="MG26" i="2" s="1"/>
  <c r="MH26" i="2" s="1"/>
  <c r="MI26" i="2" s="1"/>
  <c r="MJ26" i="2" s="1"/>
  <c r="MK26" i="2" s="1"/>
  <c r="ML26" i="2" s="1"/>
  <c r="MM26" i="2" s="1"/>
  <c r="MN26" i="2" s="1"/>
  <c r="MO26" i="2" s="1"/>
  <c r="MP26" i="2" s="1"/>
  <c r="MQ26" i="2" s="1"/>
  <c r="MR26" i="2" s="1"/>
  <c r="MS26" i="2" s="1"/>
  <c r="MT26" i="2" s="1"/>
  <c r="MU26" i="2" s="1"/>
  <c r="MV26" i="2" s="1"/>
  <c r="MW26" i="2" s="1"/>
  <c r="MX26" i="2" s="1"/>
  <c r="MY26" i="2" s="1"/>
  <c r="MZ26" i="2" s="1"/>
  <c r="NA26" i="2" s="1"/>
  <c r="NB26" i="2" s="1"/>
  <c r="NC26" i="2" s="1"/>
  <c r="ND26" i="2" s="1"/>
  <c r="NE26" i="2" s="1"/>
  <c r="NF26" i="2" s="1"/>
  <c r="NG26" i="2" s="1"/>
  <c r="NH26" i="2" s="1"/>
  <c r="NI26" i="2" s="1"/>
  <c r="NJ26" i="2" s="1"/>
  <c r="NK26" i="2" s="1"/>
  <c r="NL26" i="2" s="1"/>
  <c r="NM26" i="2" s="1"/>
  <c r="NN26" i="2" s="1"/>
  <c r="NO26" i="2" s="1"/>
  <c r="NP26" i="2" s="1"/>
  <c r="NQ26" i="2" s="1"/>
  <c r="NR26" i="2" s="1"/>
  <c r="NS26" i="2" s="1"/>
  <c r="NT26" i="2" s="1"/>
  <c r="NU26" i="2" s="1"/>
  <c r="NV26" i="2" s="1"/>
  <c r="NW26" i="2" s="1"/>
  <c r="NX26" i="2" s="1"/>
  <c r="NY26" i="2" s="1"/>
  <c r="NZ26" i="2" s="1"/>
  <c r="OA26" i="2" s="1"/>
  <c r="OB26" i="2" s="1"/>
  <c r="OC26" i="2" s="1"/>
  <c r="OD26" i="2" s="1"/>
  <c r="OE26" i="2" s="1"/>
  <c r="OF26" i="2" s="1"/>
  <c r="OG26" i="2" s="1"/>
  <c r="OH26" i="2" s="1"/>
  <c r="OI26" i="2" s="1"/>
  <c r="OJ26" i="2" s="1"/>
  <c r="OK26" i="2" s="1"/>
  <c r="OL26" i="2" s="1"/>
  <c r="OM26" i="2" s="1"/>
  <c r="ON26" i="2" s="1"/>
  <c r="OO26" i="2" s="1"/>
  <c r="OP26" i="2" s="1"/>
  <c r="OQ26" i="2" s="1"/>
  <c r="OR26" i="2" s="1"/>
  <c r="OS26" i="2" s="1"/>
  <c r="OT26" i="2" s="1"/>
  <c r="OU26" i="2" s="1"/>
  <c r="OV26" i="2" s="1"/>
  <c r="OW26" i="2" s="1"/>
  <c r="OX26" i="2" s="1"/>
  <c r="OY26" i="2" s="1"/>
  <c r="OZ26" i="2" s="1"/>
  <c r="PA26" i="2" s="1"/>
  <c r="PB26" i="2" s="1"/>
  <c r="PC26" i="2" s="1"/>
  <c r="PD26" i="2" s="1"/>
  <c r="PE26" i="2" s="1"/>
  <c r="PF26" i="2" s="1"/>
  <c r="PG26" i="2" s="1"/>
  <c r="PH26" i="2" s="1"/>
  <c r="PI26" i="2" s="1"/>
  <c r="PJ26" i="2" s="1"/>
  <c r="PK26" i="2" s="1"/>
  <c r="PL26" i="2" s="1"/>
  <c r="PM26" i="2" s="1"/>
  <c r="PN26" i="2" s="1"/>
  <c r="PO26" i="2" s="1"/>
  <c r="PP26" i="2" s="1"/>
  <c r="PQ26" i="2" s="1"/>
  <c r="PR26" i="2" s="1"/>
  <c r="PS26" i="2" s="1"/>
  <c r="PT26" i="2" s="1"/>
  <c r="PU26" i="2" s="1"/>
  <c r="PV26" i="2" s="1"/>
  <c r="PW26" i="2" s="1"/>
  <c r="PX26" i="2" s="1"/>
  <c r="PY26" i="2" s="1"/>
  <c r="PZ26" i="2" s="1"/>
  <c r="QA26" i="2" s="1"/>
  <c r="QB26" i="2" s="1"/>
  <c r="QC26" i="2" s="1"/>
  <c r="QD26" i="2" s="1"/>
  <c r="QE26" i="2" s="1"/>
  <c r="QF26" i="2" s="1"/>
  <c r="QG26" i="2" s="1"/>
  <c r="QH26" i="2" s="1"/>
  <c r="QI26" i="2" s="1"/>
  <c r="QJ26" i="2" s="1"/>
  <c r="QK26" i="2" s="1"/>
  <c r="QL26" i="2" s="1"/>
  <c r="QM26" i="2" s="1"/>
  <c r="QN26" i="2" s="1"/>
  <c r="QO26" i="2" s="1"/>
  <c r="QP26" i="2" s="1"/>
  <c r="QQ26" i="2" s="1"/>
  <c r="QR26" i="2" s="1"/>
  <c r="QS26" i="2" s="1"/>
  <c r="QT26" i="2" s="1"/>
  <c r="QU26" i="2" s="1"/>
  <c r="QV26" i="2" s="1"/>
  <c r="QW26" i="2" s="1"/>
  <c r="QX26" i="2" s="1"/>
  <c r="QY26" i="2" s="1"/>
  <c r="QZ26" i="2" s="1"/>
  <c r="RA26" i="2" s="1"/>
  <c r="RB26" i="2" s="1"/>
  <c r="RC26" i="2" s="1"/>
  <c r="RD26" i="2" s="1"/>
  <c r="RE26" i="2" s="1"/>
  <c r="RF26" i="2" s="1"/>
  <c r="RG26" i="2" s="1"/>
  <c r="RH26" i="2" s="1"/>
  <c r="RI26" i="2" s="1"/>
  <c r="RJ26" i="2" s="1"/>
  <c r="RK26" i="2" s="1"/>
  <c r="RL26" i="2" s="1"/>
  <c r="RM26" i="2" s="1"/>
  <c r="RN26" i="2" s="1"/>
  <c r="RO26" i="2" s="1"/>
  <c r="RP26" i="2" s="1"/>
  <c r="RQ26" i="2" s="1"/>
  <c r="RR26" i="2" s="1"/>
  <c r="RS26" i="2" s="1"/>
  <c r="RT26" i="2" s="1"/>
  <c r="RU26" i="2" s="1"/>
  <c r="RV26" i="2" s="1"/>
  <c r="RW26" i="2" s="1"/>
  <c r="RX26" i="2" s="1"/>
  <c r="RY26" i="2" s="1"/>
  <c r="RZ26" i="2" s="1"/>
  <c r="SA26" i="2" s="1"/>
  <c r="SB26" i="2" s="1"/>
  <c r="SC26" i="2" s="1"/>
  <c r="SD26" i="2" s="1"/>
  <c r="SE26" i="2" s="1"/>
  <c r="SF26" i="2" s="1"/>
  <c r="SG26" i="2" s="1"/>
  <c r="SH26" i="2" s="1"/>
  <c r="SI26" i="2" s="1"/>
  <c r="SJ26" i="2" s="1"/>
  <c r="SK26" i="2" s="1"/>
  <c r="SL26" i="2" s="1"/>
  <c r="SM26" i="2" s="1"/>
  <c r="SN26" i="2" s="1"/>
  <c r="SO26" i="2" s="1"/>
  <c r="SP26" i="2" s="1"/>
  <c r="SQ26" i="2" s="1"/>
  <c r="SR26" i="2" s="1"/>
  <c r="SS26" i="2" s="1"/>
  <c r="ST26" i="2" s="1"/>
  <c r="SU26" i="2" s="1"/>
  <c r="SV26" i="2" s="1"/>
  <c r="SW26" i="2" s="1"/>
  <c r="SX26" i="2" s="1"/>
  <c r="SY26" i="2" s="1"/>
  <c r="SZ26" i="2" s="1"/>
  <c r="TA26" i="2" s="1"/>
  <c r="TB26" i="2" s="1"/>
  <c r="TC26" i="2" s="1"/>
  <c r="TD26" i="2" s="1"/>
  <c r="TE26" i="2" s="1"/>
  <c r="TF26" i="2" s="1"/>
  <c r="TG26" i="2" s="1"/>
  <c r="TH26" i="2" s="1"/>
  <c r="TI26" i="2" s="1"/>
  <c r="TJ26" i="2" s="1"/>
  <c r="TK26" i="2" s="1"/>
  <c r="TL26" i="2" s="1"/>
  <c r="TM26" i="2" s="1"/>
  <c r="TN26" i="2" s="1"/>
  <c r="TO26" i="2" s="1"/>
  <c r="TP26" i="2" s="1"/>
  <c r="TQ26" i="2" s="1"/>
  <c r="TR26" i="2" s="1"/>
  <c r="TS26" i="2" s="1"/>
  <c r="TT26" i="2" s="1"/>
  <c r="TU26" i="2" s="1"/>
  <c r="TV26" i="2" s="1"/>
  <c r="TW26" i="2" s="1"/>
  <c r="TX26" i="2" s="1"/>
  <c r="TY26" i="2" s="1"/>
  <c r="TZ26" i="2" s="1"/>
  <c r="UA26" i="2" s="1"/>
  <c r="UB26" i="2" s="1"/>
  <c r="UC26" i="2" s="1"/>
  <c r="UD26" i="2" s="1"/>
  <c r="UE26" i="2" s="1"/>
  <c r="UF26" i="2" s="1"/>
  <c r="UG26" i="2" s="1"/>
  <c r="UH26" i="2" s="1"/>
  <c r="UI26" i="2" s="1"/>
  <c r="UJ26" i="2" s="1"/>
  <c r="UK26" i="2" s="1"/>
  <c r="UL26" i="2" s="1"/>
  <c r="UM26" i="2" s="1"/>
  <c r="UN26" i="2" s="1"/>
  <c r="UO26" i="2" s="1"/>
  <c r="UP26" i="2" s="1"/>
  <c r="UQ26" i="2" s="1"/>
  <c r="UR26" i="2" s="1"/>
  <c r="US26" i="2" s="1"/>
  <c r="UT26" i="2" s="1"/>
  <c r="UU26" i="2" s="1"/>
  <c r="UV26" i="2" s="1"/>
  <c r="UW26" i="2" s="1"/>
  <c r="UX26" i="2" s="1"/>
  <c r="UY26" i="2" s="1"/>
  <c r="UZ26" i="2" s="1"/>
  <c r="VA26" i="2" s="1"/>
  <c r="VB26" i="2" s="1"/>
  <c r="VC26" i="2" s="1"/>
  <c r="VD26" i="2" s="1"/>
  <c r="VE26" i="2" s="1"/>
  <c r="VF26" i="2" s="1"/>
  <c r="VG26" i="2" s="1"/>
  <c r="AE30" i="2"/>
  <c r="AC30" i="2"/>
  <c r="AH6" i="2"/>
  <c r="U29" i="2"/>
  <c r="AB34" i="2"/>
  <c r="AC34" i="2"/>
  <c r="M29" i="2"/>
  <c r="AE34" i="2"/>
  <c r="AD13" i="2"/>
  <c r="AD34" i="2"/>
  <c r="Q29" i="2"/>
  <c r="AC39" i="2"/>
  <c r="AC28" i="2"/>
  <c r="AC37" i="2"/>
  <c r="AD28" i="2"/>
  <c r="H41" i="2"/>
  <c r="H38" i="2"/>
  <c r="AA8" i="2"/>
  <c r="AA36" i="2" s="1"/>
  <c r="F36" i="2"/>
  <c r="AB8" i="2"/>
  <c r="AB36" i="2" s="1"/>
  <c r="J36" i="2"/>
  <c r="AA14" i="2"/>
  <c r="AA37" i="2" s="1"/>
  <c r="F37" i="2"/>
  <c r="AB14" i="2"/>
  <c r="AB37" i="2" s="1"/>
  <c r="J37" i="2"/>
  <c r="AA13" i="2"/>
  <c r="L29" i="2"/>
  <c r="AE8" i="2"/>
  <c r="AE36" i="2" s="1"/>
  <c r="E41" i="2"/>
  <c r="E38" i="2"/>
  <c r="I29" i="2"/>
  <c r="I41" i="2"/>
  <c r="I38" i="2"/>
  <c r="K19" i="2"/>
  <c r="K41" i="2" s="1"/>
  <c r="AE13" i="2"/>
  <c r="AD8" i="2"/>
  <c r="AD36" i="2" s="1"/>
  <c r="C19" i="2"/>
  <c r="AC8" i="2"/>
  <c r="AC36" i="2" s="1"/>
  <c r="G19" i="2"/>
  <c r="AC13" i="2"/>
  <c r="J17" i="2"/>
  <c r="J19" i="2" s="1"/>
  <c r="N37" i="2"/>
  <c r="N17" i="2"/>
  <c r="N19" i="2" s="1"/>
  <c r="M41" i="2"/>
  <c r="M38" i="2"/>
  <c r="L38" i="2"/>
  <c r="L41" i="2"/>
  <c r="D19" i="2"/>
  <c r="H29" i="2" s="1"/>
  <c r="F17" i="2"/>
  <c r="F19" i="2" s="1"/>
  <c r="U38" i="2"/>
  <c r="U41" i="2"/>
  <c r="Q38" i="2"/>
  <c r="Q41" i="2"/>
  <c r="S38" i="2"/>
  <c r="S41" i="2"/>
  <c r="W41" i="2"/>
  <c r="R17" i="2"/>
  <c r="AD17" i="2" s="1"/>
  <c r="R37" i="2"/>
  <c r="V17" i="2"/>
  <c r="AE17" i="2" s="1"/>
  <c r="V37" i="2"/>
  <c r="W38" i="2"/>
  <c r="W29" i="2"/>
  <c r="AN16" i="2" l="1"/>
  <c r="AI6" i="2"/>
  <c r="K29" i="2"/>
  <c r="O29" i="2"/>
  <c r="K38" i="2"/>
  <c r="F41" i="2"/>
  <c r="F38" i="2"/>
  <c r="AA17" i="2"/>
  <c r="G29" i="2"/>
  <c r="G41" i="2"/>
  <c r="G38" i="2"/>
  <c r="D41" i="2"/>
  <c r="D38" i="2"/>
  <c r="C41" i="2"/>
  <c r="C38" i="2"/>
  <c r="J41" i="2"/>
  <c r="J38" i="2"/>
  <c r="J29" i="2"/>
  <c r="N29" i="2"/>
  <c r="AC19" i="2"/>
  <c r="AA19" i="2"/>
  <c r="AB19" i="2"/>
  <c r="AC17" i="2"/>
  <c r="AB17" i="2"/>
  <c r="N38" i="2"/>
  <c r="N41" i="2"/>
  <c r="R19" i="2"/>
  <c r="V19" i="2"/>
  <c r="AJ6" i="2" l="1"/>
  <c r="AA41" i="2"/>
  <c r="AA38" i="2"/>
  <c r="AC38" i="2"/>
  <c r="AC41" i="2"/>
  <c r="AC29" i="2"/>
  <c r="AB29" i="2"/>
  <c r="AB38" i="2"/>
  <c r="AB41" i="2"/>
  <c r="AD19" i="2"/>
  <c r="R29" i="2"/>
  <c r="AE19" i="2"/>
  <c r="AE42" i="2" s="1"/>
  <c r="V29" i="2"/>
  <c r="R41" i="2"/>
  <c r="R38" i="2"/>
  <c r="V38" i="2"/>
  <c r="V41" i="2"/>
  <c r="AK6" i="2" l="1"/>
  <c r="AE41" i="2"/>
  <c r="AE38" i="2"/>
  <c r="AE29" i="2"/>
  <c r="AD38" i="2"/>
  <c r="AD29" i="2"/>
  <c r="AD41" i="2"/>
  <c r="AJ19" i="2" l="1"/>
  <c r="AF19" i="2"/>
  <c r="AG19" i="2"/>
  <c r="AH19" i="2"/>
  <c r="AI19" i="2"/>
  <c r="AK19" i="2"/>
  <c r="J5" i="1"/>
  <c r="AN17" i="2"/>
  <c r="AN19" i="2" l="1"/>
  <c r="T42" i="2"/>
  <c r="G42" i="2"/>
  <c r="I42" i="2"/>
  <c r="E42" i="2"/>
  <c r="AB42" i="2"/>
  <c r="K42" i="2"/>
  <c r="W42" i="2"/>
  <c r="L42" i="2"/>
  <c r="J42" i="2"/>
  <c r="M42" i="2"/>
  <c r="N42" i="2"/>
  <c r="S42" i="2"/>
  <c r="P42" i="2"/>
  <c r="AD42" i="2"/>
  <c r="C42" i="2"/>
  <c r="D42" i="2"/>
  <c r="U42" i="2"/>
  <c r="O42" i="2"/>
  <c r="AC42" i="2"/>
  <c r="Q42" i="2"/>
  <c r="AA42" i="2"/>
  <c r="R42" i="2"/>
  <c r="F42" i="2"/>
  <c r="V42" i="2"/>
  <c r="H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tc={24CCC076-5D4C-2A4F-9C4F-AFCAB3F9A7EE}</author>
  </authors>
  <commentList>
    <comment ref="Q18" authorId="0" shapeId="0" xr:uid="{24CCC076-5D4C-2A4F-9C4F-AFCAB3F9A7EE}">
      <text>
        <t>[Threaded comment]
Your version of Excel allows you to read this threaded comment; however, any edits to it will get removed if the file is opened in a newer version of Excel. Learn more: https://go.microsoft.com/fwlink/?linkid=870924
Comment:
    «due to the prior year’s valuation allowance release of our U.S. deferred tax assets of $2.8 billion, and the recognition of non-cash tax expense related to the utilization of some of those assets in the current year.»</t>
      </text>
    </comment>
  </commentList>
</comments>
</file>

<file path=xl/sharedStrings.xml><?xml version="1.0" encoding="utf-8"?>
<sst xmlns="http://schemas.openxmlformats.org/spreadsheetml/2006/main" count="143" uniqueCount="131">
  <si>
    <t xml:space="preserve">Price </t>
  </si>
  <si>
    <t>Shares</t>
  </si>
  <si>
    <t>MC</t>
  </si>
  <si>
    <t>Cash</t>
  </si>
  <si>
    <t>Debt</t>
  </si>
  <si>
    <t>ABNB</t>
  </si>
  <si>
    <t>NASDAQ</t>
  </si>
  <si>
    <t>Q125</t>
  </si>
  <si>
    <t>Airbnb, Inc.</t>
  </si>
  <si>
    <t>Founded 2008</t>
  </si>
  <si>
    <t xml:space="preserve">IPO 2020 </t>
  </si>
  <si>
    <t>Platform for Hosts</t>
  </si>
  <si>
    <t>AirBNB is a global marketplace where hosts offer guests stays and experiences</t>
  </si>
  <si>
    <t>Sector: Consumer Cyclical (hospitality and entertainment)</t>
  </si>
  <si>
    <t>We partner with hosts throughout the process of setting up their listing</t>
  </si>
  <si>
    <t>and provide them with a robust suite of tools to successfully manage their listings.</t>
  </si>
  <si>
    <t>Platform for Guests</t>
  </si>
  <si>
    <t xml:space="preserve">Our website and mobile app provide our guests with an engaging way to </t>
  </si>
  <si>
    <t>explore and easily book a wide variety of unique homes and experiences.</t>
  </si>
  <si>
    <t>System of Trust</t>
  </si>
  <si>
    <t>AirCover for Hosts includes, among other features, guest property damage protection</t>
  </si>
  <si>
    <t>host and guest reviews, account protection, risk scoring, secure payments, [...] urgent safety line</t>
  </si>
  <si>
    <t>Seasonality</t>
  </si>
  <si>
    <t>First, second, and third quarters have higher Nights and Experiences Booked than the fourth quarter.</t>
  </si>
  <si>
    <t>Nights and Experiences Booked</t>
  </si>
  <si>
    <t>Gross Booking Value</t>
  </si>
  <si>
    <t>Gross Booking Value (GBV)</t>
  </si>
  <si>
    <t>y/y</t>
  </si>
  <si>
    <t xml:space="preserve">Key Business Metrics </t>
  </si>
  <si>
    <t>North America</t>
  </si>
  <si>
    <t>EMEA</t>
  </si>
  <si>
    <t>Latin America</t>
  </si>
  <si>
    <t xml:space="preserve">Asia Pacific </t>
  </si>
  <si>
    <t xml:space="preserve">Total </t>
  </si>
  <si>
    <t>Revenue</t>
  </si>
  <si>
    <t>Main</t>
  </si>
  <si>
    <t>Q124</t>
  </si>
  <si>
    <t>Q224</t>
  </si>
  <si>
    <t>Q324</t>
  </si>
  <si>
    <t>Q424</t>
  </si>
  <si>
    <t>R&amp;D</t>
  </si>
  <si>
    <t>S&amp;A</t>
  </si>
  <si>
    <t>Gross Profit</t>
  </si>
  <si>
    <t xml:space="preserve">Taxes </t>
  </si>
  <si>
    <t xml:space="preserve">Net income </t>
  </si>
  <si>
    <t>Ops &amp; Support</t>
  </si>
  <si>
    <t>Q422</t>
  </si>
  <si>
    <t>Q423</t>
  </si>
  <si>
    <t>Q323</t>
  </si>
  <si>
    <t xml:space="preserve">Gross Margin </t>
  </si>
  <si>
    <t xml:space="preserve">Operating Margin </t>
  </si>
  <si>
    <t xml:space="preserve">Net Margin </t>
  </si>
  <si>
    <t xml:space="preserve">EPS </t>
  </si>
  <si>
    <t xml:space="preserve">P/E </t>
  </si>
  <si>
    <t>Q223</t>
  </si>
  <si>
    <t>Q123</t>
  </si>
  <si>
    <t xml:space="preserve">OpEx </t>
  </si>
  <si>
    <t>OpInc (EBIT)</t>
  </si>
  <si>
    <t>Q322</t>
  </si>
  <si>
    <t>Q122</t>
  </si>
  <si>
    <t>Q222</t>
  </si>
  <si>
    <t>Q421</t>
  </si>
  <si>
    <t>Q321</t>
  </si>
  <si>
    <t>Q221</t>
  </si>
  <si>
    <t>Q121</t>
  </si>
  <si>
    <t>Revenue y/y</t>
  </si>
  <si>
    <t xml:space="preserve">Net Income y/y </t>
  </si>
  <si>
    <t>Nights booked</t>
  </si>
  <si>
    <t>GBV</t>
  </si>
  <si>
    <t>GBV per Night</t>
  </si>
  <si>
    <t>Nights booked y/y</t>
  </si>
  <si>
    <t>GBV y/y</t>
  </si>
  <si>
    <t xml:space="preserve">GBV per night y/y </t>
  </si>
  <si>
    <t>Discount</t>
  </si>
  <si>
    <t xml:space="preserve">NPV </t>
  </si>
  <si>
    <t xml:space="preserve">Share </t>
  </si>
  <si>
    <t>Revenue/GBV</t>
  </si>
  <si>
    <t>* Strong Net Cash position</t>
  </si>
  <si>
    <t>Q120</t>
  </si>
  <si>
    <t>Q220</t>
  </si>
  <si>
    <t>Q320</t>
  </si>
  <si>
    <t>Q420</t>
  </si>
  <si>
    <t>G&amp;A (+restructuring charges)</t>
  </si>
  <si>
    <t xml:space="preserve">Pretax  </t>
  </si>
  <si>
    <t xml:space="preserve">Current </t>
  </si>
  <si>
    <t xml:space="preserve">FCF </t>
  </si>
  <si>
    <t>CFFO</t>
  </si>
  <si>
    <t>CapEx</t>
  </si>
  <si>
    <t xml:space="preserve">CEO </t>
  </si>
  <si>
    <t>Brian Chesky</t>
  </si>
  <si>
    <t>CFO</t>
  </si>
  <si>
    <t>Ellie Mertz</t>
  </si>
  <si>
    <t>share</t>
  </si>
  <si>
    <t xml:space="preserve">Cost of Revenue </t>
  </si>
  <si>
    <t>Airbnb has market share of 28.07% in reservation-and-online-booking market.</t>
  </si>
  <si>
    <t xml:space="preserve">FCF y/y </t>
  </si>
  <si>
    <t xml:space="preserve">WACC </t>
  </si>
  <si>
    <t>Cost of Debt = (Total Interest Expense / Total Debt) x (1 - Tax Rate)</t>
  </si>
  <si>
    <t xml:space="preserve">Cost of Equity </t>
  </si>
  <si>
    <t>Total Debt = Short-Term Debt + Long-Term Debt</t>
  </si>
  <si>
    <t xml:space="preserve">Risk free rate </t>
  </si>
  <si>
    <t xml:space="preserve">Beta </t>
  </si>
  <si>
    <t xml:space="preserve">Effective Tax Rate = Income Tax Expense / Earnings Before Taxes </t>
  </si>
  <si>
    <t xml:space="preserve">Market return </t>
  </si>
  <si>
    <t>Pre-tax Cost of Debt = Interest Expense / Total Debt</t>
  </si>
  <si>
    <t xml:space="preserve">Cost of Debt </t>
  </si>
  <si>
    <t xml:space="preserve">WACC = (E/V * Re) + (D/V * Rd * (1-Tc) </t>
  </si>
  <si>
    <t xml:space="preserve">E = total value of company's equity = market cap </t>
  </si>
  <si>
    <t xml:space="preserve">D = total value of a debt = Total Debt </t>
  </si>
  <si>
    <t xml:space="preserve">V = E + D </t>
  </si>
  <si>
    <t xml:space="preserve">Re = Cost of Equity </t>
  </si>
  <si>
    <t xml:space="preserve">Rd = Cost of Debt </t>
  </si>
  <si>
    <t xml:space="preserve">Tc = Tax Rate </t>
  </si>
  <si>
    <t>Q225</t>
  </si>
  <si>
    <t>Employees 7300</t>
  </si>
  <si>
    <t>Interest income</t>
  </si>
  <si>
    <t xml:space="preserve">Other income </t>
  </si>
  <si>
    <t>*The company has no interest expense</t>
  </si>
  <si>
    <t>DCF Model</t>
  </si>
  <si>
    <t>Maturity</t>
  </si>
  <si>
    <t>Net Cash</t>
  </si>
  <si>
    <t xml:space="preserve">Q225 </t>
  </si>
  <si>
    <t>Shares q/q</t>
  </si>
  <si>
    <t>Balance Sheet</t>
  </si>
  <si>
    <t>Total Assets</t>
  </si>
  <si>
    <t xml:space="preserve">Total Liabilities </t>
  </si>
  <si>
    <t>Stockholders' Equity</t>
  </si>
  <si>
    <t>*all in millions</t>
  </si>
  <si>
    <t>NAVPS</t>
  </si>
  <si>
    <t>EV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</si>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</sst>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Arial"/>
      <family val="2"/>
    </font>
    <font>
      <sz val="10"/>
      <color theme="1"/>
      <name val="ArialMT"/>
    </font>
    <font>
      <u/>
      <sz val="10"/>
      <color theme="10"/>
      <name val="ArialMT"/>
      <family val="2"/>
    </font>
    <font>
      <i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" fontId="0" fillId="0" borderId="0" xfId="0" applyNumberFormat="1"/>
    <xf numFmtId="3" fontId="4" fillId="0" borderId="0" xfId="1" applyNumberFormat="1"/>
    <xf numFmtId="10" fontId="1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/>
    <xf numFmtId="9" fontId="3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1" fillId="2" borderId="0" xfId="0" applyNumberFormat="1" applyFont="1" applyFill="1"/>
    <xf numFmtId="164" fontId="0" fillId="2" borderId="0" xfId="0" applyNumberFormat="1" applyFill="1"/>
    <xf numFmtId="10" fontId="1" fillId="2" borderId="0" xfId="0" applyNumberFormat="1" applyFont="1" applyFill="1"/>
    <xf numFmtId="10" fontId="0" fillId="2" borderId="0" xfId="0" applyNumberFormat="1" applyFill="1"/>
    <xf numFmtId="10" fontId="3" fillId="2" borderId="0" xfId="0" applyNumberFormat="1" applyFont="1" applyFill="1"/>
    <xf numFmtId="4" fontId="0" fillId="2" borderId="0" xfId="0" applyNumberForma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11396</xdr:colOff>
      <xdr:row>0</xdr:row>
      <xdr:rowOff>0</xdr:rowOff>
    </xdr:from>
    <xdr:to>
      <xdr:col>31</xdr:col>
      <xdr:colOff>14736</xdr:colOff>
      <xdr:row>56</xdr:row>
      <xdr:rowOff>75259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05BE593-3A56-1856-C41B-58C7B1F9EEC1}"/>
            </a:ext>
          </a:extLst>
        </xdr:cNvPr>
        <xdr:cNvCxnSpPr/>
      </xdr:nvCxnSpPr>
      <xdr:spPr>
        <a:xfrm>
          <a:off x="22604696" y="0"/>
          <a:ext cx="3340" cy="91430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</xdr:colOff>
      <xdr:row>0</xdr:row>
      <xdr:rowOff>0</xdr:rowOff>
    </xdr:from>
    <xdr:to>
      <xdr:col>6</xdr:col>
      <xdr:colOff>20320</xdr:colOff>
      <xdr:row>56</xdr:row>
      <xdr:rowOff>20320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693AEC7-770D-8740-B82E-6541A44F2F86}"/>
            </a:ext>
          </a:extLst>
        </xdr:cNvPr>
        <xdr:cNvCxnSpPr/>
      </xdr:nvCxnSpPr>
      <xdr:spPr>
        <a:xfrm>
          <a:off x="5364480" y="0"/>
          <a:ext cx="0" cy="8636000"/>
        </a:xfrm>
        <a:prstGeom prst="line">
          <a:avLst/>
        </a:prstGeom>
        <a:ln w="1270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820856</xdr:colOff>
      <xdr:row>0</xdr:row>
      <xdr:rowOff>0</xdr:rowOff>
    </xdr:from>
    <xdr:to>
      <xdr:col>36</xdr:col>
      <xdr:colOff>824196</xdr:colOff>
      <xdr:row>56</xdr:row>
      <xdr:rowOff>75259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FF15AB0-D94E-474E-B5DF-8BE4F12199C3}"/>
            </a:ext>
          </a:extLst>
        </xdr:cNvPr>
        <xdr:cNvCxnSpPr/>
      </xdr:nvCxnSpPr>
      <xdr:spPr>
        <a:xfrm>
          <a:off x="30583030" y="0"/>
          <a:ext cx="3340" cy="88548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mytro Parkhomenko" id="{BD028A8A-28B1-F140-ADEE-F089599B65DB}" userId="36a87f973740ff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8" dT="2025-06-17T17:56:27.92" personId="{BD028A8A-28B1-F140-ADEE-F089599B65DB}" id="{24CCC076-5D4C-2A4F-9C4F-AFCAB3F9A7EE}">
    <text>«due to the prior year’s valuation allowance release of our U.S. deferred tax assets of $2.8 billion, and the recognition of non-cash tax expense related to the utilization of some of those assets in the current year.»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1930-5923-2449-86A0-05B4A5E86FA6}">
  <dimension ref="B2:K49"/>
  <sheetViews>
    <sheetView zoomScale="115" zoomScaleNormal="115" workbookViewId="0">
      <selection activeCell="J8" sqref="J8"/>
    </sheetView>
  </sheetViews>
  <sheetFormatPr defaultColWidth="11.42578125" defaultRowHeight="12.75"/>
  <cols>
    <col min="1" max="1" width="10.85546875" customWidth="1"/>
    <col min="2" max="2" width="31.140625" customWidth="1"/>
  </cols>
  <sheetData>
    <row r="2" spans="2:11" s="5" customFormat="1">
      <c r="B2" s="5" t="s">
        <v>8</v>
      </c>
      <c r="I2" s="8" t="s">
        <v>6</v>
      </c>
      <c r="J2" s="20" t="s">
        <v>5</v>
      </c>
    </row>
    <row r="3" spans="2:11">
      <c r="B3" t="s">
        <v>9</v>
      </c>
      <c r="I3" s="2" t="s">
        <v>0</v>
      </c>
      <c r="J3" s="2">
        <v>129</v>
      </c>
    </row>
    <row r="4" spans="2:11">
      <c r="B4" t="s">
        <v>10</v>
      </c>
      <c r="I4" s="2" t="s">
        <v>1</v>
      </c>
      <c r="J4" s="2">
        <f>429+183+9</f>
        <v>621</v>
      </c>
      <c r="K4" s="4" t="s">
        <v>113</v>
      </c>
    </row>
    <row r="5" spans="2:11">
      <c r="I5" s="2" t="s">
        <v>2</v>
      </c>
      <c r="J5" s="2">
        <f>J4*J3</f>
        <v>80109</v>
      </c>
      <c r="K5" s="4"/>
    </row>
    <row r="6" spans="2:11">
      <c r="B6" s="5" t="s">
        <v>13</v>
      </c>
      <c r="I6" s="2" t="s">
        <v>3</v>
      </c>
      <c r="J6" s="2">
        <f>7402+3954</f>
        <v>11356</v>
      </c>
      <c r="K6" s="4" t="s">
        <v>113</v>
      </c>
    </row>
    <row r="7" spans="2:11">
      <c r="B7" t="s">
        <v>12</v>
      </c>
      <c r="I7" s="2" t="s">
        <v>4</v>
      </c>
      <c r="J7" s="2">
        <f>1997</f>
        <v>1997</v>
      </c>
      <c r="K7" s="4" t="s">
        <v>113</v>
      </c>
    </row>
    <row r="8" spans="2:11">
      <c r="B8" t="s">
        <v>114</v>
      </c>
      <c r="I8" s="2" t="s">
        <v>120</v>
      </c>
      <c r="J8" s="2">
        <f>J6-J7</f>
        <v>9359</v>
      </c>
      <c r="K8" s="4"/>
    </row>
    <row r="9" spans="2:11">
      <c r="I9" s="2" t="s">
        <v>129</v>
      </c>
      <c r="J9" s="2">
        <f>J5+J7-J6</f>
        <v>70750</v>
      </c>
      <c r="K9" s="4"/>
    </row>
    <row r="10" spans="2:11">
      <c r="I10" s="2"/>
      <c r="J10" s="2"/>
    </row>
    <row r="11" spans="2:11">
      <c r="B11" t="s">
        <v>94</v>
      </c>
      <c r="I11" s="2" t="s">
        <v>77</v>
      </c>
    </row>
    <row r="14" spans="2:11">
      <c r="B14" s="5" t="s">
        <v>11</v>
      </c>
    </row>
    <row r="15" spans="2:11">
      <c r="B15" t="s">
        <v>14</v>
      </c>
      <c r="I15" t="s">
        <v>88</v>
      </c>
      <c r="J15" t="s">
        <v>89</v>
      </c>
    </row>
    <row r="16" spans="2:11">
      <c r="B16" t="s">
        <v>15</v>
      </c>
      <c r="I16" t="s">
        <v>90</v>
      </c>
      <c r="J16" s="16" t="s">
        <v>91</v>
      </c>
    </row>
    <row r="18" spans="2:5">
      <c r="B18" s="5" t="s">
        <v>16</v>
      </c>
    </row>
    <row r="19" spans="2:5">
      <c r="B19" t="s">
        <v>17</v>
      </c>
    </row>
    <row r="20" spans="2:5">
      <c r="B20" t="s">
        <v>18</v>
      </c>
    </row>
    <row r="22" spans="2:5">
      <c r="B22" s="5" t="s">
        <v>19</v>
      </c>
    </row>
    <row r="23" spans="2:5">
      <c r="B23" t="s">
        <v>20</v>
      </c>
    </row>
    <row r="24" spans="2:5">
      <c r="B24" t="s">
        <v>21</v>
      </c>
    </row>
    <row r="26" spans="2:5">
      <c r="B26" s="5" t="s">
        <v>22</v>
      </c>
    </row>
    <row r="27" spans="2:5">
      <c r="B27" t="s">
        <v>23</v>
      </c>
    </row>
    <row r="30" spans="2:5">
      <c r="B30" s="10" t="s">
        <v>28</v>
      </c>
      <c r="C30">
        <v>2023</v>
      </c>
      <c r="D30">
        <v>2024</v>
      </c>
      <c r="E30" s="4" t="s">
        <v>27</v>
      </c>
    </row>
    <row r="31" spans="2:5">
      <c r="B31" t="s">
        <v>24</v>
      </c>
      <c r="C31">
        <v>448</v>
      </c>
      <c r="D31">
        <v>492</v>
      </c>
      <c r="E31" s="7">
        <f>(D31-C31)/C31</f>
        <v>9.8214285714285712E-2</v>
      </c>
    </row>
    <row r="32" spans="2:5">
      <c r="B32" t="s">
        <v>26</v>
      </c>
      <c r="C32" s="2">
        <v>73252</v>
      </c>
      <c r="D32" s="2">
        <v>81784</v>
      </c>
      <c r="E32" s="7">
        <f>(D32-C32)/C32</f>
        <v>0.11647463550483263</v>
      </c>
    </row>
    <row r="33" spans="2:6">
      <c r="C33" s="11">
        <f>C32/C31</f>
        <v>163.50892857142858</v>
      </c>
      <c r="D33" s="11">
        <f>D32/D31</f>
        <v>166.22764227642276</v>
      </c>
    </row>
    <row r="36" spans="2:6">
      <c r="B36" s="5" t="s">
        <v>24</v>
      </c>
      <c r="C36">
        <v>2023</v>
      </c>
      <c r="D36">
        <v>2024</v>
      </c>
      <c r="E36" s="4" t="s">
        <v>27</v>
      </c>
      <c r="F36" s="4" t="s">
        <v>92</v>
      </c>
    </row>
    <row r="37" spans="2:6">
      <c r="B37" t="s">
        <v>29</v>
      </c>
      <c r="C37">
        <v>146</v>
      </c>
      <c r="D37">
        <v>154</v>
      </c>
      <c r="E37" s="7">
        <f>(D37-C37)/C37</f>
        <v>5.4794520547945202E-2</v>
      </c>
      <c r="F37" s="6">
        <f>D37/$D$41</f>
        <v>0.31300813008130079</v>
      </c>
    </row>
    <row r="38" spans="2:6">
      <c r="B38" t="s">
        <v>30</v>
      </c>
      <c r="C38">
        <v>187</v>
      </c>
      <c r="D38">
        <v>201</v>
      </c>
      <c r="E38" s="7">
        <f>(D38-C38)/C38</f>
        <v>7.4866310160427801E-2</v>
      </c>
      <c r="F38" s="6">
        <f t="shared" ref="F38:F41" si="0">D38/$D$41</f>
        <v>0.40853658536585363</v>
      </c>
    </row>
    <row r="39" spans="2:6">
      <c r="B39" t="s">
        <v>31</v>
      </c>
      <c r="C39">
        <v>64</v>
      </c>
      <c r="D39">
        <v>76</v>
      </c>
      <c r="E39" s="7">
        <f>(D39-C39)/C39</f>
        <v>0.1875</v>
      </c>
      <c r="F39" s="6">
        <f t="shared" si="0"/>
        <v>0.15447154471544716</v>
      </c>
    </row>
    <row r="40" spans="2:6">
      <c r="B40" t="s">
        <v>32</v>
      </c>
      <c r="C40">
        <v>51</v>
      </c>
      <c r="D40">
        <v>61</v>
      </c>
      <c r="E40" s="7">
        <f>(D40-C40)/C40</f>
        <v>0.19607843137254902</v>
      </c>
      <c r="F40" s="6">
        <f t="shared" si="0"/>
        <v>0.12398373983739837</v>
      </c>
    </row>
    <row r="41" spans="2:6" s="5" customFormat="1">
      <c r="B41" s="5" t="s">
        <v>33</v>
      </c>
      <c r="C41" s="5">
        <f>SUM(C37:C40)</f>
        <v>448</v>
      </c>
      <c r="D41" s="5">
        <f>SUM(D37:D40)</f>
        <v>492</v>
      </c>
      <c r="E41" s="9">
        <f>(D41-C41)/C41</f>
        <v>9.8214285714285712E-2</v>
      </c>
      <c r="F41" s="6">
        <f t="shared" si="0"/>
        <v>1</v>
      </c>
    </row>
    <row r="44" spans="2:6">
      <c r="B44" s="8" t="s">
        <v>25</v>
      </c>
      <c r="C44">
        <v>2023</v>
      </c>
      <c r="D44">
        <v>2024</v>
      </c>
      <c r="E44" s="3" t="s">
        <v>27</v>
      </c>
      <c r="F44" s="4" t="s">
        <v>92</v>
      </c>
    </row>
    <row r="45" spans="2:6">
      <c r="B45" s="2" t="s">
        <v>29</v>
      </c>
      <c r="C45" s="2">
        <v>34941</v>
      </c>
      <c r="D45" s="2">
        <v>37816</v>
      </c>
      <c r="E45" s="7">
        <f>(D45-C45)/C45</f>
        <v>8.2281560344580867E-2</v>
      </c>
      <c r="F45" s="6">
        <f>D45/$D$49</f>
        <v>0.46238873129218427</v>
      </c>
    </row>
    <row r="46" spans="2:6">
      <c r="B46" s="2" t="s">
        <v>30</v>
      </c>
      <c r="C46" s="2">
        <v>26241</v>
      </c>
      <c r="D46" s="2">
        <v>29750</v>
      </c>
      <c r="E46" s="7">
        <f t="shared" ref="E46:E49" si="1">(D46-C46)/C46</f>
        <v>0.13372203803208718</v>
      </c>
      <c r="F46" s="6">
        <f t="shared" ref="F46:F49" si="2">D46/$D$49</f>
        <v>0.36376308324366624</v>
      </c>
    </row>
    <row r="47" spans="2:6">
      <c r="B47" s="2" t="s">
        <v>31</v>
      </c>
      <c r="C47" s="2">
        <v>6054</v>
      </c>
      <c r="D47" s="2">
        <v>7092</v>
      </c>
      <c r="E47" s="7">
        <f t="shared" si="1"/>
        <v>0.17145688800792863</v>
      </c>
      <c r="F47" s="6">
        <f t="shared" si="2"/>
        <v>8.6716228113078359E-2</v>
      </c>
    </row>
    <row r="48" spans="2:6" s="5" customFormat="1">
      <c r="B48" s="2" t="s">
        <v>32</v>
      </c>
      <c r="C48" s="2">
        <v>6016</v>
      </c>
      <c r="D48" s="2">
        <v>7126</v>
      </c>
      <c r="E48" s="7">
        <f t="shared" si="1"/>
        <v>0.18450797872340424</v>
      </c>
      <c r="F48" s="6">
        <f t="shared" si="2"/>
        <v>8.7131957351071113E-2</v>
      </c>
    </row>
    <row r="49" spans="2:6">
      <c r="B49" s="8" t="s">
        <v>33</v>
      </c>
      <c r="C49" s="8">
        <f>SUM(C45:C48)</f>
        <v>73252</v>
      </c>
      <c r="D49" s="8">
        <f>SUM(D45:D48)</f>
        <v>81784</v>
      </c>
      <c r="E49" s="9">
        <f t="shared" si="1"/>
        <v>0.11647463550483263</v>
      </c>
      <c r="F49" s="6">
        <f t="shared" si="2"/>
        <v>1</v>
      </c>
    </row>
  </sheetData>
  <pageMargins left="0.7" right="0.7" top="0.75" bottom="0.75" header="0.3" footer="0.3"/>
  <ignoredErrors>
    <ignoredError sqref="C41:D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7F3-F2C1-7648-A25C-50F3C2F80138}">
  <dimension ref="A1:VG53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Q21" sqref="AQ21"/>
    </sheetView>
  </sheetViews>
  <sheetFormatPr defaultColWidth="10.85546875" defaultRowHeight="12.75"/>
  <cols>
    <col min="1" max="1" width="4.85546875" style="2" bestFit="1" customWidth="1"/>
    <col min="2" max="2" width="27.5703125" style="2" customWidth="1"/>
    <col min="3" max="5" width="10.28515625" style="2" customWidth="1"/>
    <col min="6" max="6" width="9.42578125" style="2" customWidth="1"/>
    <col min="7" max="14" width="10.28515625" style="2" customWidth="1"/>
    <col min="15" max="15" width="10.7109375" style="2" customWidth="1"/>
    <col min="16" max="16" width="10.28515625" style="2" customWidth="1"/>
    <col min="17" max="22" width="10.85546875" style="2"/>
    <col min="23" max="24" width="10.85546875" style="21"/>
    <col min="25" max="16384" width="10.85546875" style="2"/>
  </cols>
  <sheetData>
    <row r="1" spans="1:40">
      <c r="A1" s="12" t="s">
        <v>35</v>
      </c>
    </row>
    <row r="2" spans="1:40" customFormat="1">
      <c r="B2" s="30" t="s">
        <v>127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64</v>
      </c>
      <c r="H2" s="4" t="s">
        <v>63</v>
      </c>
      <c r="I2" s="4" t="s">
        <v>62</v>
      </c>
      <c r="J2" s="4" t="s">
        <v>61</v>
      </c>
      <c r="K2" s="4" t="s">
        <v>59</v>
      </c>
      <c r="L2" s="4" t="s">
        <v>60</v>
      </c>
      <c r="M2" s="4" t="s">
        <v>58</v>
      </c>
      <c r="N2" s="4" t="s">
        <v>46</v>
      </c>
      <c r="O2" s="4" t="s">
        <v>55</v>
      </c>
      <c r="P2" s="4" t="s">
        <v>54</v>
      </c>
      <c r="Q2" s="4" t="s">
        <v>48</v>
      </c>
      <c r="R2" s="4" t="s">
        <v>47</v>
      </c>
      <c r="S2" s="4" t="s">
        <v>36</v>
      </c>
      <c r="T2" s="4" t="s">
        <v>37</v>
      </c>
      <c r="U2" s="4" t="s">
        <v>38</v>
      </c>
      <c r="V2" s="4" t="s">
        <v>39</v>
      </c>
      <c r="W2" s="22" t="s">
        <v>7</v>
      </c>
      <c r="X2" s="22" t="s">
        <v>121</v>
      </c>
      <c r="AA2">
        <v>2020</v>
      </c>
      <c r="AB2">
        <v>2021</v>
      </c>
      <c r="AC2">
        <v>2022</v>
      </c>
      <c r="AD2">
        <f>AC2+1</f>
        <v>2023</v>
      </c>
      <c r="AE2">
        <f>AD2+1</f>
        <v>2024</v>
      </c>
      <c r="AF2">
        <f t="shared" ref="AF2:AK2" si="0">AE2+1</f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</row>
    <row r="3" spans="1:40">
      <c r="B3" s="2" t="s">
        <v>67</v>
      </c>
      <c r="C3" s="3">
        <v>57.1</v>
      </c>
      <c r="D3" s="3">
        <v>28</v>
      </c>
      <c r="E3" s="3">
        <v>61.8</v>
      </c>
      <c r="F3" s="3">
        <v>46.3</v>
      </c>
      <c r="G3" s="3">
        <v>64.400000000000006</v>
      </c>
      <c r="H3" s="3">
        <v>83.1</v>
      </c>
      <c r="I3" s="3">
        <v>79.900000000000006</v>
      </c>
      <c r="J3" s="3">
        <v>73.400000000000006</v>
      </c>
      <c r="K3" s="3">
        <v>102.1</v>
      </c>
      <c r="L3" s="3">
        <v>103.7</v>
      </c>
      <c r="M3" s="3">
        <v>99.7</v>
      </c>
      <c r="N3" s="3">
        <v>88.2</v>
      </c>
      <c r="O3" s="3">
        <v>121.1</v>
      </c>
      <c r="P3" s="3">
        <v>115.1</v>
      </c>
      <c r="Q3" s="3">
        <v>113.2</v>
      </c>
      <c r="R3" s="3">
        <v>98.8</v>
      </c>
      <c r="S3" s="3">
        <v>132.6</v>
      </c>
      <c r="T3" s="3">
        <v>125.1</v>
      </c>
      <c r="U3" s="3">
        <v>125.1</v>
      </c>
      <c r="V3" s="3">
        <v>122.8</v>
      </c>
      <c r="W3" s="23">
        <v>111</v>
      </c>
      <c r="X3" s="21">
        <v>134.4</v>
      </c>
      <c r="AA3" s="2">
        <f>SUM(C3:F3)</f>
        <v>193.2</v>
      </c>
      <c r="AB3" s="2">
        <f>SUM(G3:J3)</f>
        <v>300.8</v>
      </c>
      <c r="AC3" s="2">
        <f>SUM(K3:N3)</f>
        <v>393.7</v>
      </c>
      <c r="AD3" s="2">
        <f>SUM(O3:R3)</f>
        <v>448.2</v>
      </c>
      <c r="AE3" s="2">
        <f>SUM(S3:V3)</f>
        <v>505.59999999999997</v>
      </c>
    </row>
    <row r="4" spans="1:40">
      <c r="B4" s="2" t="s">
        <v>68</v>
      </c>
      <c r="C4" s="3">
        <v>6766</v>
      </c>
      <c r="D4" s="3">
        <v>3200</v>
      </c>
      <c r="E4" s="3">
        <v>8000</v>
      </c>
      <c r="F4" s="3">
        <v>5900</v>
      </c>
      <c r="G4" s="3">
        <v>10289</v>
      </c>
      <c r="H4" s="3">
        <v>13400</v>
      </c>
      <c r="I4" s="3">
        <v>11900</v>
      </c>
      <c r="J4" s="3">
        <v>11273</v>
      </c>
      <c r="K4" s="3">
        <v>17200</v>
      </c>
      <c r="L4" s="3">
        <v>16900</v>
      </c>
      <c r="M4" s="3">
        <v>15600</v>
      </c>
      <c r="N4" s="3">
        <v>13500</v>
      </c>
      <c r="O4" s="3">
        <v>20400</v>
      </c>
      <c r="P4" s="3">
        <v>19100</v>
      </c>
      <c r="Q4" s="3">
        <v>18300</v>
      </c>
      <c r="R4" s="3">
        <v>15500</v>
      </c>
      <c r="S4" s="3">
        <v>22900</v>
      </c>
      <c r="T4" s="3">
        <v>21200</v>
      </c>
      <c r="U4" s="3">
        <v>21200</v>
      </c>
      <c r="V4" s="3">
        <v>20100</v>
      </c>
      <c r="W4" s="23">
        <v>17600</v>
      </c>
      <c r="X4" s="21">
        <v>23500</v>
      </c>
      <c r="AA4" s="2">
        <f>SUM(C4:F4)</f>
        <v>23866</v>
      </c>
      <c r="AB4" s="2">
        <f t="shared" ref="AB4" si="1">SUM(G4:J4)</f>
        <v>46862</v>
      </c>
      <c r="AC4" s="2">
        <f t="shared" ref="AC4:AC19" si="2">SUM(K4:N4)</f>
        <v>63200</v>
      </c>
      <c r="AD4" s="2">
        <f t="shared" ref="AD4:AD15" si="3">SUM(O4:R4)</f>
        <v>73300</v>
      </c>
      <c r="AE4" s="2">
        <f t="shared" ref="AE4" si="4">SUM(S4:V4)</f>
        <v>85400</v>
      </c>
    </row>
    <row r="5" spans="1:40">
      <c r="B5" s="2" t="s">
        <v>69</v>
      </c>
      <c r="C5" s="3">
        <f>C4/C3</f>
        <v>118.4938704028021</v>
      </c>
      <c r="D5" s="3">
        <f t="shared" ref="D5:X5" si="5">D4/D3</f>
        <v>114.28571428571429</v>
      </c>
      <c r="E5" s="3">
        <f t="shared" si="5"/>
        <v>129.44983818770228</v>
      </c>
      <c r="F5" s="3">
        <f t="shared" si="5"/>
        <v>127.42980561555076</v>
      </c>
      <c r="G5" s="3">
        <f>G4/G3</f>
        <v>159.76708074534159</v>
      </c>
      <c r="H5" s="3">
        <f t="shared" ref="H5" si="6">H4/H3</f>
        <v>161.25150421179302</v>
      </c>
      <c r="I5" s="3">
        <f t="shared" ref="I5" si="7">I4/I3</f>
        <v>148.93617021276594</v>
      </c>
      <c r="J5" s="3">
        <f t="shared" ref="J5" si="8">J4/J3</f>
        <v>153.58310626702996</v>
      </c>
      <c r="K5" s="3">
        <f>K4/K3</f>
        <v>168.46229187071501</v>
      </c>
      <c r="L5" s="3">
        <f t="shared" ref="L5" si="9">L4/L3</f>
        <v>162.97010607521696</v>
      </c>
      <c r="M5" s="3">
        <f t="shared" ref="M5" si="10">M4/M3</f>
        <v>156.46940822467403</v>
      </c>
      <c r="N5" s="3">
        <f t="shared" ref="N5" si="11">N4/N3</f>
        <v>153.0612244897959</v>
      </c>
      <c r="O5" s="3">
        <f t="shared" si="5"/>
        <v>168.4558216350124</v>
      </c>
      <c r="P5" s="3">
        <f t="shared" si="5"/>
        <v>165.94265855777584</v>
      </c>
      <c r="Q5" s="3">
        <f t="shared" si="5"/>
        <v>161.66077738515901</v>
      </c>
      <c r="R5" s="3">
        <f t="shared" si="5"/>
        <v>156.88259109311741</v>
      </c>
      <c r="S5" s="3">
        <f t="shared" si="5"/>
        <v>172.6998491704374</v>
      </c>
      <c r="T5" s="3">
        <f t="shared" si="5"/>
        <v>169.46442845723422</v>
      </c>
      <c r="U5" s="3">
        <f t="shared" si="5"/>
        <v>169.46442845723422</v>
      </c>
      <c r="V5" s="3">
        <f t="shared" si="5"/>
        <v>163.68078175895766</v>
      </c>
      <c r="W5" s="23">
        <f t="shared" si="5"/>
        <v>158.55855855855856</v>
      </c>
      <c r="X5" s="23">
        <f t="shared" si="5"/>
        <v>174.85119047619048</v>
      </c>
      <c r="AA5" s="2">
        <f>AVERAGE(C5:F5)</f>
        <v>122.41480712294236</v>
      </c>
      <c r="AB5" s="2">
        <f>AVERAGE(G5:J5)</f>
        <v>155.88446535923265</v>
      </c>
      <c r="AC5" s="2">
        <f>AVERAGE(K5:N5)</f>
        <v>160.24075766510046</v>
      </c>
      <c r="AD5" s="2">
        <f>AVERAGE(O5:R5)</f>
        <v>163.23546216776617</v>
      </c>
      <c r="AE5" s="2">
        <f>AVERAGE(S5:V5)</f>
        <v>168.82737196096588</v>
      </c>
    </row>
    <row r="6" spans="1:40" s="8" customFormat="1">
      <c r="B6" s="8" t="s">
        <v>34</v>
      </c>
      <c r="C6" s="8">
        <v>841.83</v>
      </c>
      <c r="D6" s="8">
        <v>334.774</v>
      </c>
      <c r="E6" s="8">
        <v>1342.3309999999999</v>
      </c>
      <c r="F6" s="8">
        <v>859.26400000000001</v>
      </c>
      <c r="G6" s="8">
        <v>886.93600000000004</v>
      </c>
      <c r="H6" s="8">
        <v>1335</v>
      </c>
      <c r="I6" s="8">
        <v>2237.4319999999998</v>
      </c>
      <c r="J6" s="8">
        <v>1532.1959999999999</v>
      </c>
      <c r="K6" s="8">
        <v>1509</v>
      </c>
      <c r="L6" s="8">
        <v>2104</v>
      </c>
      <c r="M6" s="8">
        <v>2884</v>
      </c>
      <c r="N6" s="8">
        <f>8399-6497</f>
        <v>1902</v>
      </c>
      <c r="O6" s="8">
        <v>1818</v>
      </c>
      <c r="P6" s="8">
        <v>2484</v>
      </c>
      <c r="Q6" s="8">
        <v>3397</v>
      </c>
      <c r="R6" s="8">
        <f>9917-7699</f>
        <v>2218</v>
      </c>
      <c r="S6" s="8">
        <v>2142</v>
      </c>
      <c r="T6" s="8">
        <v>2748</v>
      </c>
      <c r="U6" s="8">
        <v>3732</v>
      </c>
      <c r="V6" s="8">
        <f>11102-8622</f>
        <v>2480</v>
      </c>
      <c r="W6" s="24">
        <v>2272</v>
      </c>
      <c r="X6" s="24">
        <v>3096</v>
      </c>
      <c r="AA6" s="8">
        <f t="shared" ref="AA6:AA19" si="12">SUM(C6:F6)</f>
        <v>3378.1990000000001</v>
      </c>
      <c r="AB6" s="8">
        <f t="shared" ref="AB6:AB19" si="13">SUM(G6:J6)</f>
        <v>5991.5640000000003</v>
      </c>
      <c r="AC6" s="8">
        <f t="shared" si="2"/>
        <v>8399</v>
      </c>
      <c r="AD6" s="8">
        <f t="shared" si="3"/>
        <v>9917</v>
      </c>
      <c r="AE6" s="8">
        <f t="shared" ref="AE6:AE15" si="14">SUM(S6:V6)</f>
        <v>11102</v>
      </c>
      <c r="AF6" s="8">
        <f>AE6*1.15</f>
        <v>12767.3</v>
      </c>
      <c r="AG6" s="8">
        <f t="shared" ref="AG6:AK6" si="15">AF6*1.15</f>
        <v>14682.394999999999</v>
      </c>
      <c r="AH6" s="8">
        <f t="shared" si="15"/>
        <v>16884.754249999998</v>
      </c>
      <c r="AI6" s="8">
        <f t="shared" si="15"/>
        <v>19417.467387499997</v>
      </c>
      <c r="AJ6" s="8">
        <f t="shared" si="15"/>
        <v>22330.087495624994</v>
      </c>
      <c r="AK6" s="8">
        <f t="shared" si="15"/>
        <v>25679.60061996874</v>
      </c>
    </row>
    <row r="7" spans="1:40">
      <c r="B7" s="2" t="s">
        <v>93</v>
      </c>
      <c r="C7" s="2">
        <v>277.77199999999999</v>
      </c>
      <c r="D7" s="2">
        <v>161.19800000000001</v>
      </c>
      <c r="E7" s="2">
        <v>227.32499999999999</v>
      </c>
      <c r="F7" s="2">
        <v>209.74700000000001</v>
      </c>
      <c r="G7" s="2">
        <v>254.51499999999999</v>
      </c>
      <c r="H7" s="2">
        <v>294.42700000000002</v>
      </c>
      <c r="I7" s="2">
        <v>311.58</v>
      </c>
      <c r="J7" s="2">
        <v>295.31099999999998</v>
      </c>
      <c r="K7" s="2">
        <v>363</v>
      </c>
      <c r="L7" s="2">
        <v>390</v>
      </c>
      <c r="M7" s="2">
        <v>401</v>
      </c>
      <c r="N7" s="2">
        <f>1499-1154</f>
        <v>345</v>
      </c>
      <c r="O7" s="2">
        <v>428</v>
      </c>
      <c r="P7" s="2">
        <v>432</v>
      </c>
      <c r="Q7" s="2">
        <v>459</v>
      </c>
      <c r="R7" s="2">
        <f>1703-1319</f>
        <v>384</v>
      </c>
      <c r="S7" s="2">
        <v>480</v>
      </c>
      <c r="T7" s="2">
        <v>506</v>
      </c>
      <c r="U7" s="2">
        <v>465</v>
      </c>
      <c r="V7" s="2">
        <f>1878-1451</f>
        <v>427</v>
      </c>
      <c r="W7" s="21">
        <v>506</v>
      </c>
      <c r="X7" s="21">
        <v>544</v>
      </c>
      <c r="AA7" s="2">
        <f t="shared" si="12"/>
        <v>876.04200000000014</v>
      </c>
      <c r="AB7" s="2">
        <f t="shared" si="13"/>
        <v>1155.8329999999999</v>
      </c>
      <c r="AC7" s="2">
        <f t="shared" si="2"/>
        <v>1499</v>
      </c>
      <c r="AD7" s="2">
        <f t="shared" si="3"/>
        <v>1703</v>
      </c>
      <c r="AE7" s="2">
        <f t="shared" si="14"/>
        <v>1878</v>
      </c>
    </row>
    <row r="8" spans="1:40">
      <c r="B8" s="2" t="s">
        <v>42</v>
      </c>
      <c r="C8" s="2">
        <f t="shared" ref="C8:W8" si="16">C6-C7</f>
        <v>564.05799999999999</v>
      </c>
      <c r="D8" s="2">
        <f t="shared" si="16"/>
        <v>173.57599999999999</v>
      </c>
      <c r="E8" s="2">
        <f t="shared" si="16"/>
        <v>1115.0059999999999</v>
      </c>
      <c r="F8" s="2">
        <f t="shared" si="16"/>
        <v>649.51700000000005</v>
      </c>
      <c r="G8" s="2">
        <f t="shared" si="16"/>
        <v>632.42100000000005</v>
      </c>
      <c r="H8" s="2">
        <f t="shared" si="16"/>
        <v>1040.5729999999999</v>
      </c>
      <c r="I8" s="2">
        <f t="shared" si="16"/>
        <v>1925.8519999999999</v>
      </c>
      <c r="J8" s="2">
        <f t="shared" si="16"/>
        <v>1236.885</v>
      </c>
      <c r="K8" s="2">
        <f t="shared" si="16"/>
        <v>1146</v>
      </c>
      <c r="L8" s="2">
        <f t="shared" si="16"/>
        <v>1714</v>
      </c>
      <c r="M8" s="2">
        <f t="shared" si="16"/>
        <v>2483</v>
      </c>
      <c r="N8" s="2">
        <f t="shared" si="16"/>
        <v>1557</v>
      </c>
      <c r="O8" s="2">
        <f t="shared" si="16"/>
        <v>1390</v>
      </c>
      <c r="P8" s="2">
        <f t="shared" si="16"/>
        <v>2052</v>
      </c>
      <c r="Q8" s="2">
        <f t="shared" si="16"/>
        <v>2938</v>
      </c>
      <c r="R8" s="2">
        <f t="shared" si="16"/>
        <v>1834</v>
      </c>
      <c r="S8" s="2">
        <f t="shared" si="16"/>
        <v>1662</v>
      </c>
      <c r="T8" s="2">
        <f t="shared" si="16"/>
        <v>2242</v>
      </c>
      <c r="U8" s="2">
        <f t="shared" si="16"/>
        <v>3267</v>
      </c>
      <c r="V8" s="2">
        <f t="shared" si="16"/>
        <v>2053</v>
      </c>
      <c r="W8" s="21">
        <f t="shared" si="16"/>
        <v>1766</v>
      </c>
      <c r="X8" s="21">
        <f t="shared" ref="X8" si="17">X6-X7</f>
        <v>2552</v>
      </c>
      <c r="AA8" s="2">
        <f t="shared" si="12"/>
        <v>2502.1570000000002</v>
      </c>
      <c r="AB8" s="2">
        <f t="shared" si="13"/>
        <v>4835.7309999999998</v>
      </c>
      <c r="AC8" s="2">
        <f t="shared" si="2"/>
        <v>6900</v>
      </c>
      <c r="AD8" s="2">
        <f t="shared" si="3"/>
        <v>8214</v>
      </c>
      <c r="AE8" s="2">
        <f t="shared" si="14"/>
        <v>9224</v>
      </c>
    </row>
    <row r="9" spans="1:40">
      <c r="B9" s="2" t="s">
        <v>45</v>
      </c>
      <c r="C9" s="2">
        <v>221.78700000000001</v>
      </c>
      <c r="D9" s="2">
        <v>160.476</v>
      </c>
      <c r="E9" s="2">
        <v>166.10599999999999</v>
      </c>
      <c r="F9" s="2">
        <v>329.53199999999998</v>
      </c>
      <c r="G9" s="2">
        <v>185.43600000000001</v>
      </c>
      <c r="H9" s="2">
        <v>208.125</v>
      </c>
      <c r="I9" s="2">
        <v>228.33</v>
      </c>
      <c r="J9" s="2">
        <v>225.166</v>
      </c>
      <c r="K9" s="2">
        <v>233</v>
      </c>
      <c r="L9" s="2">
        <v>258</v>
      </c>
      <c r="M9" s="2">
        <v>290</v>
      </c>
      <c r="N9" s="2">
        <f>1041-781</f>
        <v>260</v>
      </c>
      <c r="O9" s="2">
        <v>282</v>
      </c>
      <c r="P9" s="2">
        <v>317</v>
      </c>
      <c r="Q9" s="2">
        <v>316</v>
      </c>
      <c r="R9" s="2">
        <f>1186-915</f>
        <v>271</v>
      </c>
      <c r="S9" s="2">
        <v>285</v>
      </c>
      <c r="T9" s="2">
        <v>338</v>
      </c>
      <c r="U9" s="2">
        <v>369</v>
      </c>
      <c r="V9" s="2">
        <f>1282-992</f>
        <v>290</v>
      </c>
      <c r="W9" s="21">
        <v>303</v>
      </c>
      <c r="X9" s="21">
        <v>332</v>
      </c>
      <c r="AA9" s="2">
        <f t="shared" si="12"/>
        <v>877.90100000000007</v>
      </c>
      <c r="AB9" s="2">
        <f t="shared" si="13"/>
        <v>847.05700000000002</v>
      </c>
      <c r="AC9" s="2">
        <f t="shared" si="2"/>
        <v>1041</v>
      </c>
      <c r="AD9" s="2">
        <f t="shared" si="3"/>
        <v>1186</v>
      </c>
      <c r="AE9" s="2">
        <f t="shared" si="14"/>
        <v>1282</v>
      </c>
    </row>
    <row r="10" spans="1:40">
      <c r="B10" s="2" t="s">
        <v>40</v>
      </c>
      <c r="C10" s="2">
        <v>258.81900000000002</v>
      </c>
      <c r="D10" s="2">
        <v>217.93799999999999</v>
      </c>
      <c r="E10" s="2">
        <v>213.92</v>
      </c>
      <c r="F10" s="2">
        <v>2062.1950000000002</v>
      </c>
      <c r="G10" s="2">
        <v>363.06099999999998</v>
      </c>
      <c r="H10" s="2">
        <v>349.73399999999998</v>
      </c>
      <c r="I10" s="2">
        <v>344.41</v>
      </c>
      <c r="J10" s="2">
        <v>367.84300000000002</v>
      </c>
      <c r="K10" s="2">
        <v>363</v>
      </c>
      <c r="L10" s="2">
        <v>375</v>
      </c>
      <c r="M10" s="2">
        <v>366</v>
      </c>
      <c r="N10" s="2">
        <f>1502-1104</f>
        <v>398</v>
      </c>
      <c r="O10" s="2">
        <v>420</v>
      </c>
      <c r="P10" s="2">
        <v>451</v>
      </c>
      <c r="Q10" s="2">
        <v>419</v>
      </c>
      <c r="R10" s="2">
        <f>1722-1290</f>
        <v>432</v>
      </c>
      <c r="S10" s="2">
        <v>475</v>
      </c>
      <c r="T10" s="2">
        <v>519</v>
      </c>
      <c r="U10" s="2">
        <v>524</v>
      </c>
      <c r="V10" s="2">
        <f>2056-1518</f>
        <v>538</v>
      </c>
      <c r="W10" s="21">
        <v>568</v>
      </c>
      <c r="X10" s="21">
        <v>610</v>
      </c>
      <c r="AA10" s="2">
        <f t="shared" si="12"/>
        <v>2752.8720000000003</v>
      </c>
      <c r="AB10" s="2">
        <f t="shared" si="13"/>
        <v>1425.048</v>
      </c>
      <c r="AC10" s="2">
        <f t="shared" si="2"/>
        <v>1502</v>
      </c>
      <c r="AD10" s="2">
        <f t="shared" si="3"/>
        <v>1722</v>
      </c>
      <c r="AE10" s="2">
        <f t="shared" si="14"/>
        <v>2056</v>
      </c>
    </row>
    <row r="11" spans="1:40">
      <c r="B11" s="2" t="s">
        <v>41</v>
      </c>
      <c r="C11" s="2">
        <v>317.17899999999997</v>
      </c>
      <c r="D11" s="2">
        <v>114.837</v>
      </c>
      <c r="E11" s="2">
        <v>113.494</v>
      </c>
      <c r="F11" s="2">
        <v>629.81500000000005</v>
      </c>
      <c r="G11" s="2">
        <v>229.125</v>
      </c>
      <c r="H11" s="2">
        <v>315.32299999999998</v>
      </c>
      <c r="I11" s="2">
        <v>290.85599999999999</v>
      </c>
      <c r="J11" s="2">
        <v>351.02800000000002</v>
      </c>
      <c r="K11" s="2">
        <v>345</v>
      </c>
      <c r="L11" s="2">
        <v>379</v>
      </c>
      <c r="M11" s="2">
        <v>384</v>
      </c>
      <c r="N11" s="2">
        <f>1516-1108</f>
        <v>408</v>
      </c>
      <c r="O11" s="2">
        <v>450</v>
      </c>
      <c r="P11" s="2">
        <v>486</v>
      </c>
      <c r="Q11" s="2">
        <v>403</v>
      </c>
      <c r="R11" s="2">
        <f>1763-1339</f>
        <v>424</v>
      </c>
      <c r="S11" s="2">
        <v>514</v>
      </c>
      <c r="T11" s="2">
        <v>573</v>
      </c>
      <c r="U11" s="2">
        <v>514</v>
      </c>
      <c r="V11" s="2">
        <f>2148-1601</f>
        <v>547</v>
      </c>
      <c r="W11" s="21">
        <v>563</v>
      </c>
      <c r="X11" s="21">
        <v>691</v>
      </c>
      <c r="AA11" s="2">
        <f t="shared" si="12"/>
        <v>1175.325</v>
      </c>
      <c r="AB11" s="2">
        <f t="shared" si="13"/>
        <v>1186.3319999999999</v>
      </c>
      <c r="AC11" s="2">
        <f t="shared" si="2"/>
        <v>1516</v>
      </c>
      <c r="AD11" s="2">
        <f t="shared" si="3"/>
        <v>1763</v>
      </c>
      <c r="AE11" s="2">
        <f t="shared" si="14"/>
        <v>2148</v>
      </c>
    </row>
    <row r="12" spans="1:40">
      <c r="B12" s="2" t="s">
        <v>82</v>
      </c>
      <c r="C12" s="2">
        <v>91.762</v>
      </c>
      <c r="D12" s="2">
        <f>149.299+114.241</f>
        <v>263.54000000000002</v>
      </c>
      <c r="E12" s="2">
        <f>180.021+22.728</f>
        <v>202.749</v>
      </c>
      <c r="F12" s="2">
        <f>713.769+14.386</f>
        <v>728.15499999999997</v>
      </c>
      <c r="G12" s="2">
        <f>189.762+111.982</f>
        <v>301.74400000000003</v>
      </c>
      <c r="H12" s="2">
        <v>218.303</v>
      </c>
      <c r="I12" s="2">
        <f>210.748-0.465</f>
        <v>210.28299999999999</v>
      </c>
      <c r="J12" s="2">
        <f>216.511+0.77</f>
        <v>217.28100000000001</v>
      </c>
      <c r="K12" s="2">
        <v>210</v>
      </c>
      <c r="L12" s="2">
        <f>244+89</f>
        <v>333</v>
      </c>
      <c r="M12" s="2">
        <v>240</v>
      </c>
      <c r="N12" s="2">
        <f>950-694</f>
        <v>256</v>
      </c>
      <c r="O12" s="2">
        <v>243</v>
      </c>
      <c r="P12" s="2">
        <v>275</v>
      </c>
      <c r="Q12" s="2">
        <v>304</v>
      </c>
      <c r="R12" s="2">
        <f>2025-822</f>
        <v>1203</v>
      </c>
      <c r="S12" s="2">
        <v>287</v>
      </c>
      <c r="T12" s="2">
        <v>315</v>
      </c>
      <c r="U12" s="2">
        <v>335</v>
      </c>
      <c r="V12" s="2">
        <f>1185-937</f>
        <v>248</v>
      </c>
      <c r="W12" s="21">
        <v>294</v>
      </c>
      <c r="X12" s="21">
        <v>307</v>
      </c>
      <c r="AA12" s="2">
        <f t="shared" si="12"/>
        <v>1286.2060000000001</v>
      </c>
      <c r="AB12" s="2">
        <f t="shared" si="13"/>
        <v>947.6110000000001</v>
      </c>
      <c r="AC12" s="2">
        <f t="shared" si="2"/>
        <v>1039</v>
      </c>
      <c r="AD12" s="2">
        <f t="shared" si="3"/>
        <v>2025</v>
      </c>
      <c r="AE12" s="2">
        <f t="shared" si="14"/>
        <v>1185</v>
      </c>
    </row>
    <row r="13" spans="1:40">
      <c r="B13" s="2" t="s">
        <v>56</v>
      </c>
      <c r="C13" s="2">
        <f t="shared" ref="C13:W13" si="18">C7+C12+C11+C10+C9</f>
        <v>1167.319</v>
      </c>
      <c r="D13" s="2">
        <f t="shared" si="18"/>
        <v>917.98900000000003</v>
      </c>
      <c r="E13" s="2">
        <f t="shared" si="18"/>
        <v>923.59399999999994</v>
      </c>
      <c r="F13" s="2">
        <f t="shared" si="18"/>
        <v>3959.4440000000004</v>
      </c>
      <c r="G13" s="2">
        <f t="shared" si="18"/>
        <v>1333.8809999999999</v>
      </c>
      <c r="H13" s="2">
        <f t="shared" si="18"/>
        <v>1385.912</v>
      </c>
      <c r="I13" s="2">
        <f t="shared" si="18"/>
        <v>1385.4589999999998</v>
      </c>
      <c r="J13" s="2">
        <f t="shared" si="18"/>
        <v>1456.6289999999999</v>
      </c>
      <c r="K13" s="2">
        <f t="shared" si="18"/>
        <v>1514</v>
      </c>
      <c r="L13" s="2">
        <f t="shared" si="18"/>
        <v>1735</v>
      </c>
      <c r="M13" s="2">
        <f t="shared" si="18"/>
        <v>1681</v>
      </c>
      <c r="N13" s="2">
        <f t="shared" si="18"/>
        <v>1667</v>
      </c>
      <c r="O13" s="2">
        <f t="shared" si="18"/>
        <v>1823</v>
      </c>
      <c r="P13" s="2">
        <f t="shared" si="18"/>
        <v>1961</v>
      </c>
      <c r="Q13" s="2">
        <f t="shared" si="18"/>
        <v>1901</v>
      </c>
      <c r="R13" s="2">
        <f t="shared" si="18"/>
        <v>2714</v>
      </c>
      <c r="S13" s="2">
        <f t="shared" si="18"/>
        <v>2041</v>
      </c>
      <c r="T13" s="2">
        <f t="shared" si="18"/>
        <v>2251</v>
      </c>
      <c r="U13" s="2">
        <f t="shared" si="18"/>
        <v>2207</v>
      </c>
      <c r="V13" s="2">
        <f t="shared" si="18"/>
        <v>2050</v>
      </c>
      <c r="W13" s="21">
        <f t="shared" si="18"/>
        <v>2234</v>
      </c>
      <c r="X13" s="21">
        <f t="shared" ref="X13" si="19">X7+X12+X11+X10+X9</f>
        <v>2484</v>
      </c>
      <c r="AA13" s="2">
        <f t="shared" si="12"/>
        <v>6968.3460000000005</v>
      </c>
      <c r="AB13" s="2">
        <f t="shared" si="13"/>
        <v>5561.8809999999994</v>
      </c>
      <c r="AC13" s="2">
        <f t="shared" si="2"/>
        <v>6597</v>
      </c>
      <c r="AD13" s="2">
        <f t="shared" si="3"/>
        <v>8399</v>
      </c>
      <c r="AE13" s="2">
        <f t="shared" si="14"/>
        <v>8549</v>
      </c>
      <c r="AM13" s="8" t="s">
        <v>118</v>
      </c>
    </row>
    <row r="14" spans="1:40">
      <c r="B14" s="2" t="s">
        <v>57</v>
      </c>
      <c r="C14" s="2">
        <f t="shared" ref="C14:W14" si="20">C6-C13</f>
        <v>-325.48899999999992</v>
      </c>
      <c r="D14" s="2">
        <f t="shared" si="20"/>
        <v>-583.21500000000003</v>
      </c>
      <c r="E14" s="2">
        <f t="shared" si="20"/>
        <v>418.73699999999997</v>
      </c>
      <c r="F14" s="2">
        <f t="shared" si="20"/>
        <v>-3100.1800000000003</v>
      </c>
      <c r="G14" s="2">
        <f t="shared" si="20"/>
        <v>-446.94499999999982</v>
      </c>
      <c r="H14" s="2">
        <f t="shared" si="20"/>
        <v>-50.912000000000035</v>
      </c>
      <c r="I14" s="2">
        <f t="shared" si="20"/>
        <v>851.97299999999996</v>
      </c>
      <c r="J14" s="2">
        <f t="shared" si="20"/>
        <v>75.567000000000007</v>
      </c>
      <c r="K14" s="2">
        <f t="shared" si="20"/>
        <v>-5</v>
      </c>
      <c r="L14" s="2">
        <f t="shared" si="20"/>
        <v>369</v>
      </c>
      <c r="M14" s="2">
        <f t="shared" si="20"/>
        <v>1203</v>
      </c>
      <c r="N14" s="2">
        <f t="shared" si="20"/>
        <v>235</v>
      </c>
      <c r="O14" s="2">
        <f t="shared" si="20"/>
        <v>-5</v>
      </c>
      <c r="P14" s="2">
        <f t="shared" si="20"/>
        <v>523</v>
      </c>
      <c r="Q14" s="2">
        <f t="shared" si="20"/>
        <v>1496</v>
      </c>
      <c r="R14" s="2">
        <f t="shared" si="20"/>
        <v>-496</v>
      </c>
      <c r="S14" s="2">
        <f t="shared" si="20"/>
        <v>101</v>
      </c>
      <c r="T14" s="2">
        <f t="shared" si="20"/>
        <v>497</v>
      </c>
      <c r="U14" s="2">
        <f t="shared" si="20"/>
        <v>1525</v>
      </c>
      <c r="V14" s="2">
        <f t="shared" si="20"/>
        <v>430</v>
      </c>
      <c r="W14" s="21">
        <f t="shared" si="20"/>
        <v>38</v>
      </c>
      <c r="X14" s="21">
        <f t="shared" ref="X14" si="21">X6-X13</f>
        <v>612</v>
      </c>
      <c r="AA14" s="2">
        <f t="shared" si="12"/>
        <v>-3590.1470000000004</v>
      </c>
      <c r="AB14" s="2">
        <f t="shared" si="13"/>
        <v>429.68300000000011</v>
      </c>
      <c r="AC14" s="2">
        <f t="shared" si="2"/>
        <v>1802</v>
      </c>
      <c r="AD14" s="2">
        <f t="shared" si="3"/>
        <v>1518</v>
      </c>
      <c r="AE14" s="2">
        <f t="shared" si="14"/>
        <v>2553</v>
      </c>
      <c r="AM14" s="2" t="s">
        <v>73</v>
      </c>
      <c r="AN14" s="6">
        <f>WACC!C3</f>
        <v>0.11237200000000003</v>
      </c>
    </row>
    <row r="15" spans="1:40">
      <c r="B15" s="2" t="s">
        <v>115</v>
      </c>
      <c r="C15" s="2">
        <f>13.649+1.51</f>
        <v>15.158999999999999</v>
      </c>
      <c r="D15" s="2">
        <f>5.856-49.191</f>
        <v>-43.335000000000001</v>
      </c>
      <c r="E15" s="2">
        <f>4.325-59.143</f>
        <v>-54.817999999999998</v>
      </c>
      <c r="F15" s="2">
        <f>3.287-64.14</f>
        <v>-60.853000000000002</v>
      </c>
      <c r="G15" s="2">
        <f>3.052-421.911</f>
        <v>-418.85899999999998</v>
      </c>
      <c r="H15" s="2">
        <f>2.942-6.52</f>
        <v>-3.5779999999999994</v>
      </c>
      <c r="I15" s="2">
        <f>2.962-6.649</f>
        <v>-3.6869999999999998</v>
      </c>
      <c r="J15" s="2">
        <f>3.778-2.519</f>
        <v>1.2589999999999999</v>
      </c>
      <c r="K15" s="2">
        <v>-1</v>
      </c>
      <c r="L15" s="2">
        <f>20-8</f>
        <v>12</v>
      </c>
      <c r="M15" s="2">
        <f>59-5</f>
        <v>54</v>
      </c>
      <c r="N15" s="2">
        <f>(186-24)-(84-19)</f>
        <v>97</v>
      </c>
      <c r="O15" s="2">
        <v>146</v>
      </c>
      <c r="P15" s="2">
        <v>191</v>
      </c>
      <c r="Q15" s="2">
        <v>192</v>
      </c>
      <c r="R15" s="2">
        <f>721-529</f>
        <v>192</v>
      </c>
      <c r="S15" s="2">
        <v>202</v>
      </c>
      <c r="T15" s="2">
        <v>226</v>
      </c>
      <c r="U15" s="2">
        <v>207</v>
      </c>
      <c r="V15" s="2">
        <f>818-635</f>
        <v>183</v>
      </c>
      <c r="W15" s="21">
        <v>173</v>
      </c>
      <c r="X15" s="21">
        <v>190</v>
      </c>
      <c r="AA15" s="2">
        <f t="shared" si="12"/>
        <v>-143.84700000000001</v>
      </c>
      <c r="AB15" s="2">
        <f t="shared" si="13"/>
        <v>-424.86499999999995</v>
      </c>
      <c r="AC15" s="2">
        <f t="shared" si="2"/>
        <v>162</v>
      </c>
      <c r="AD15" s="2">
        <f t="shared" si="3"/>
        <v>721</v>
      </c>
      <c r="AE15" s="2">
        <f t="shared" si="14"/>
        <v>818</v>
      </c>
      <c r="AM15" s="2" t="s">
        <v>119</v>
      </c>
      <c r="AN15" s="7">
        <v>0.02</v>
      </c>
    </row>
    <row r="16" spans="1:40">
      <c r="B16" s="2" t="s">
        <v>116</v>
      </c>
      <c r="C16" s="2">
        <v>-46.76</v>
      </c>
      <c r="D16" s="2">
        <v>-12.848000000000001</v>
      </c>
      <c r="E16" s="2">
        <v>-56.143000000000001</v>
      </c>
      <c r="F16" s="2">
        <v>-831.46900000000005</v>
      </c>
      <c r="G16" s="2">
        <v>-300.09800000000001</v>
      </c>
      <c r="H16" s="2">
        <v>-2.1280000000000001</v>
      </c>
      <c r="I16" s="2">
        <v>2.1720000000000002</v>
      </c>
      <c r="J16" s="2">
        <v>-4.6050000000000004</v>
      </c>
      <c r="K16" s="2">
        <v>-2</v>
      </c>
      <c r="L16" s="2">
        <v>2</v>
      </c>
      <c r="M16" s="2">
        <v>13</v>
      </c>
      <c r="N16" s="2">
        <f>25-13</f>
        <v>12</v>
      </c>
      <c r="O16" s="2">
        <v>-11</v>
      </c>
      <c r="P16" s="2">
        <v>-38</v>
      </c>
      <c r="Q16" s="2">
        <v>-9</v>
      </c>
      <c r="R16" s="2">
        <f>-137+58</f>
        <v>-79</v>
      </c>
      <c r="S16" s="2">
        <v>-10</v>
      </c>
      <c r="T16" s="2">
        <v>-42</v>
      </c>
      <c r="U16" s="2">
        <v>3</v>
      </c>
      <c r="V16" s="2">
        <f>-40+49</f>
        <v>9</v>
      </c>
      <c r="W16" s="21">
        <v>-38</v>
      </c>
      <c r="X16" s="21">
        <v>-23</v>
      </c>
      <c r="AA16" s="2">
        <f t="shared" si="12"/>
        <v>-947.22</v>
      </c>
      <c r="AB16" s="2">
        <f t="shared" si="13"/>
        <v>-304.65899999999999</v>
      </c>
      <c r="AC16" s="2">
        <f t="shared" si="2"/>
        <v>25</v>
      </c>
      <c r="AD16" s="2">
        <f>SUM(O16:R16)</f>
        <v>-137</v>
      </c>
      <c r="AE16" s="2">
        <f>SUM(S16:V16)</f>
        <v>-40</v>
      </c>
      <c r="AM16" s="14" t="s">
        <v>74</v>
      </c>
      <c r="AN16" s="14">
        <f>IFERROR(NPV(AN14, AF26:AHB26), "ERROR")</f>
        <v>90727.256091229836</v>
      </c>
    </row>
    <row r="17" spans="2:579">
      <c r="B17" s="2" t="s">
        <v>83</v>
      </c>
      <c r="C17" s="2">
        <f t="shared" ref="C17:Q17" si="22">C14+C15+C16</f>
        <v>-357.08999999999992</v>
      </c>
      <c r="D17" s="2">
        <f t="shared" si="22"/>
        <v>-639.39800000000002</v>
      </c>
      <c r="E17" s="2">
        <f t="shared" si="22"/>
        <v>307.77599999999995</v>
      </c>
      <c r="F17" s="2">
        <f t="shared" si="22"/>
        <v>-3992.5020000000004</v>
      </c>
      <c r="G17" s="2">
        <f t="shared" si="22"/>
        <v>-1165.9019999999998</v>
      </c>
      <c r="H17" s="2">
        <f t="shared" si="22"/>
        <v>-56.618000000000038</v>
      </c>
      <c r="I17" s="2">
        <f t="shared" si="22"/>
        <v>850.45799999999997</v>
      </c>
      <c r="J17" s="2">
        <f t="shared" si="22"/>
        <v>72.221000000000004</v>
      </c>
      <c r="K17" s="2">
        <f t="shared" si="22"/>
        <v>-8</v>
      </c>
      <c r="L17" s="2">
        <f t="shared" si="22"/>
        <v>383</v>
      </c>
      <c r="M17" s="2">
        <f t="shared" si="22"/>
        <v>1270</v>
      </c>
      <c r="N17" s="2">
        <f t="shared" si="22"/>
        <v>344</v>
      </c>
      <c r="O17" s="2">
        <f t="shared" si="22"/>
        <v>130</v>
      </c>
      <c r="P17" s="2">
        <f t="shared" si="22"/>
        <v>676</v>
      </c>
      <c r="Q17" s="2">
        <f t="shared" si="22"/>
        <v>1679</v>
      </c>
      <c r="R17" s="2">
        <f t="shared" ref="R17:W17" si="23">R14+R15+R16</f>
        <v>-383</v>
      </c>
      <c r="S17" s="2">
        <f t="shared" si="23"/>
        <v>293</v>
      </c>
      <c r="T17" s="2">
        <f t="shared" si="23"/>
        <v>681</v>
      </c>
      <c r="U17" s="2">
        <f t="shared" si="23"/>
        <v>1735</v>
      </c>
      <c r="V17" s="2">
        <f t="shared" si="23"/>
        <v>622</v>
      </c>
      <c r="W17" s="21">
        <f t="shared" si="23"/>
        <v>173</v>
      </c>
      <c r="X17" s="21">
        <f t="shared" ref="X17" si="24">X14+X15+X16</f>
        <v>779</v>
      </c>
      <c r="AA17" s="2">
        <f t="shared" si="12"/>
        <v>-4681.2139999999999</v>
      </c>
      <c r="AB17" s="2">
        <f t="shared" si="13"/>
        <v>-299.84099999999978</v>
      </c>
      <c r="AC17" s="2">
        <f t="shared" si="2"/>
        <v>1989</v>
      </c>
      <c r="AD17" s="2">
        <f>SUM(O17:R17)</f>
        <v>2102</v>
      </c>
      <c r="AE17" s="2">
        <f>SUM(S17:V17)</f>
        <v>3331</v>
      </c>
      <c r="AM17" s="8" t="s">
        <v>75</v>
      </c>
      <c r="AN17" s="8">
        <f>AN16/Main!J4</f>
        <v>146.0986410486793</v>
      </c>
    </row>
    <row r="18" spans="2:579">
      <c r="B18" s="2" t="s">
        <v>43</v>
      </c>
      <c r="C18" s="2">
        <v>-16.484999999999999</v>
      </c>
      <c r="D18" s="2">
        <v>-63.81</v>
      </c>
      <c r="E18" s="2">
        <v>87.724000000000004</v>
      </c>
      <c r="F18" s="2">
        <f>-104.651</f>
        <v>-104.651</v>
      </c>
      <c r="G18" s="2">
        <v>6.3090000000000002</v>
      </c>
      <c r="H18" s="2">
        <v>11.233000000000001</v>
      </c>
      <c r="I18" s="2">
        <v>16.565000000000001</v>
      </c>
      <c r="J18" s="2">
        <v>17.72</v>
      </c>
      <c r="K18" s="2">
        <v>11</v>
      </c>
      <c r="L18" s="2">
        <v>4</v>
      </c>
      <c r="M18" s="2">
        <v>56</v>
      </c>
      <c r="N18" s="2">
        <f>96-71</f>
        <v>25</v>
      </c>
      <c r="O18" s="2">
        <v>13</v>
      </c>
      <c r="P18" s="2">
        <v>26</v>
      </c>
      <c r="Q18" s="2">
        <v>-2695</v>
      </c>
      <c r="R18" s="2">
        <f>-2690+2656</f>
        <v>-34</v>
      </c>
      <c r="S18" s="2">
        <v>29</v>
      </c>
      <c r="T18" s="2">
        <v>126</v>
      </c>
      <c r="U18" s="2">
        <v>367</v>
      </c>
      <c r="V18" s="2">
        <f>683-522</f>
        <v>161</v>
      </c>
      <c r="W18" s="21">
        <v>19</v>
      </c>
      <c r="X18" s="21">
        <v>137</v>
      </c>
      <c r="AA18" s="2">
        <f t="shared" si="12"/>
        <v>-97.221999999999994</v>
      </c>
      <c r="AB18" s="2">
        <f t="shared" si="13"/>
        <v>51.826999999999998</v>
      </c>
      <c r="AC18" s="2">
        <f t="shared" si="2"/>
        <v>96</v>
      </c>
      <c r="AD18" s="2">
        <f>SUM(O18:R18)</f>
        <v>-2690</v>
      </c>
      <c r="AE18" s="2">
        <f>SUM(S18:V18)</f>
        <v>683</v>
      </c>
      <c r="AM18" s="2" t="s">
        <v>84</v>
      </c>
      <c r="AN18" s="2">
        <f>Main!J3</f>
        <v>129</v>
      </c>
    </row>
    <row r="19" spans="2:579" s="8" customFormat="1">
      <c r="B19" s="8" t="s">
        <v>44</v>
      </c>
      <c r="C19" s="8">
        <f t="shared" ref="C19:Q19" si="25">C17-C18</f>
        <v>-340.6049999999999</v>
      </c>
      <c r="D19" s="8">
        <f t="shared" si="25"/>
        <v>-575.58799999999997</v>
      </c>
      <c r="E19" s="8">
        <f t="shared" si="25"/>
        <v>220.05199999999996</v>
      </c>
      <c r="F19" s="8">
        <f t="shared" si="25"/>
        <v>-3887.8510000000006</v>
      </c>
      <c r="G19" s="8">
        <f t="shared" si="25"/>
        <v>-1172.2109999999998</v>
      </c>
      <c r="H19" s="8">
        <f t="shared" si="25"/>
        <v>-67.851000000000042</v>
      </c>
      <c r="I19" s="8">
        <f t="shared" si="25"/>
        <v>833.89299999999992</v>
      </c>
      <c r="J19" s="8">
        <f t="shared" si="25"/>
        <v>54.501000000000005</v>
      </c>
      <c r="K19" s="8">
        <f t="shared" si="25"/>
        <v>-19</v>
      </c>
      <c r="L19" s="8">
        <f t="shared" si="25"/>
        <v>379</v>
      </c>
      <c r="M19" s="8">
        <f t="shared" si="25"/>
        <v>1214</v>
      </c>
      <c r="N19" s="8">
        <f t="shared" si="25"/>
        <v>319</v>
      </c>
      <c r="O19" s="8">
        <f t="shared" si="25"/>
        <v>117</v>
      </c>
      <c r="P19" s="8">
        <f t="shared" si="25"/>
        <v>650</v>
      </c>
      <c r="Q19" s="8">
        <f t="shared" si="25"/>
        <v>4374</v>
      </c>
      <c r="R19" s="8">
        <f t="shared" ref="R19:W19" si="26">R17-R18</f>
        <v>-349</v>
      </c>
      <c r="S19" s="8">
        <f t="shared" si="26"/>
        <v>264</v>
      </c>
      <c r="T19" s="8">
        <f t="shared" si="26"/>
        <v>555</v>
      </c>
      <c r="U19" s="8">
        <f t="shared" si="26"/>
        <v>1368</v>
      </c>
      <c r="V19" s="8">
        <f t="shared" si="26"/>
        <v>461</v>
      </c>
      <c r="W19" s="24">
        <f t="shared" si="26"/>
        <v>154</v>
      </c>
      <c r="X19" s="24">
        <f t="shared" ref="X19" si="27">X17-X18</f>
        <v>642</v>
      </c>
      <c r="AA19" s="8">
        <f t="shared" si="12"/>
        <v>-4583.9920000000002</v>
      </c>
      <c r="AB19" s="8">
        <f t="shared" si="13"/>
        <v>-351.66800000000001</v>
      </c>
      <c r="AC19" s="8">
        <f t="shared" si="2"/>
        <v>1893</v>
      </c>
      <c r="AD19" s="8">
        <f>SUM(O19:R19)</f>
        <v>4792</v>
      </c>
      <c r="AE19" s="8">
        <f>SUM(S19:V19)</f>
        <v>2648</v>
      </c>
      <c r="AF19" s="8">
        <f>AF6*$AE$38</f>
        <v>3045.2</v>
      </c>
      <c r="AG19" s="8">
        <f>AG6*$AE$38</f>
        <v>3501.9799999999996</v>
      </c>
      <c r="AH19" s="8">
        <f>AH6*$AE$38</f>
        <v>4027.2769999999996</v>
      </c>
      <c r="AI19" s="8">
        <f>AI6*$AE$38</f>
        <v>4631.3685499999992</v>
      </c>
      <c r="AJ19" s="8">
        <f>AJ6*$AE$38</f>
        <v>5326.0738324999984</v>
      </c>
      <c r="AK19" s="8">
        <f>AK6*$AE$38</f>
        <v>6124.9849073749974</v>
      </c>
      <c r="AM19" s="8" t="s">
        <v>130</v>
      </c>
      <c r="AN19" s="13">
        <f>(AN17-AN18)/AN18</f>
        <v>0.1325476050285217</v>
      </c>
    </row>
    <row r="20" spans="2:579" s="8" customFormat="1">
      <c r="W20" s="24"/>
      <c r="X20" s="24"/>
    </row>
    <row r="21" spans="2:579">
      <c r="B21" s="2" t="s">
        <v>1</v>
      </c>
      <c r="C21" s="2">
        <v>262.50900000000001</v>
      </c>
      <c r="D21" s="2">
        <v>263.517</v>
      </c>
      <c r="E21" s="2">
        <v>299.20600000000002</v>
      </c>
      <c r="F21" s="2">
        <v>345.755</v>
      </c>
      <c r="G21" s="2">
        <v>600.96</v>
      </c>
      <c r="H21" s="2">
        <v>611.73900000000003</v>
      </c>
      <c r="I21" s="2">
        <v>681.91600000000005</v>
      </c>
      <c r="J21" s="2">
        <v>680.89599999999996</v>
      </c>
      <c r="K21" s="2">
        <v>635</v>
      </c>
      <c r="L21" s="2">
        <v>684</v>
      </c>
      <c r="M21" s="2">
        <v>683</v>
      </c>
      <c r="N21" s="2">
        <v>680</v>
      </c>
      <c r="O21" s="2">
        <v>670</v>
      </c>
      <c r="P21" s="2">
        <v>665</v>
      </c>
      <c r="Q21" s="2">
        <v>660</v>
      </c>
      <c r="R21" s="2">
        <v>662</v>
      </c>
      <c r="S21" s="2">
        <v>654</v>
      </c>
      <c r="T21" s="2">
        <v>649</v>
      </c>
      <c r="U21" s="2">
        <v>642</v>
      </c>
      <c r="V21" s="2">
        <v>645</v>
      </c>
      <c r="W21" s="21">
        <v>632</v>
      </c>
      <c r="X21" s="21">
        <v>621</v>
      </c>
      <c r="AA21" s="2">
        <v>345.755</v>
      </c>
      <c r="AB21" s="2">
        <v>680.89599999999996</v>
      </c>
      <c r="AC21" s="2">
        <v>680</v>
      </c>
      <c r="AD21" s="2">
        <v>662</v>
      </c>
      <c r="AE21" s="2">
        <v>645</v>
      </c>
      <c r="AM21" s="8"/>
    </row>
    <row r="22" spans="2:579" s="17" customFormat="1">
      <c r="B22" s="17" t="s">
        <v>122</v>
      </c>
      <c r="D22" s="17">
        <f>(D21-C21)/D21</f>
        <v>3.8251801591547467E-3</v>
      </c>
      <c r="E22" s="17">
        <f t="shared" ref="E22:W22" si="28">(E21-D21)/E21</f>
        <v>0.11927902515323897</v>
      </c>
      <c r="F22" s="17">
        <f t="shared" si="28"/>
        <v>0.13463001258116289</v>
      </c>
      <c r="G22" s="17">
        <f t="shared" si="28"/>
        <v>0.42466220713525032</v>
      </c>
      <c r="H22" s="17">
        <f t="shared" si="28"/>
        <v>1.7620259620524433E-2</v>
      </c>
      <c r="I22" s="17">
        <f t="shared" si="28"/>
        <v>0.10291150229647056</v>
      </c>
      <c r="J22" s="17">
        <f t="shared" si="28"/>
        <v>-1.4980261302755423E-3</v>
      </c>
      <c r="K22" s="17">
        <f t="shared" si="28"/>
        <v>-7.2277165354330639E-2</v>
      </c>
      <c r="L22" s="17">
        <f t="shared" si="28"/>
        <v>7.1637426900584791E-2</v>
      </c>
      <c r="M22" s="17">
        <f t="shared" si="28"/>
        <v>-1.4641288433382138E-3</v>
      </c>
      <c r="N22" s="17">
        <f t="shared" si="28"/>
        <v>-4.4117647058823529E-3</v>
      </c>
      <c r="O22" s="17">
        <f t="shared" si="28"/>
        <v>-1.4925373134328358E-2</v>
      </c>
      <c r="P22" s="17">
        <f t="shared" si="28"/>
        <v>-7.5187969924812026E-3</v>
      </c>
      <c r="Q22" s="17">
        <f t="shared" si="28"/>
        <v>-7.575757575757576E-3</v>
      </c>
      <c r="R22" s="17">
        <f t="shared" si="28"/>
        <v>3.0211480362537764E-3</v>
      </c>
      <c r="S22" s="17">
        <f t="shared" si="28"/>
        <v>-1.2232415902140673E-2</v>
      </c>
      <c r="T22" s="17">
        <f t="shared" si="28"/>
        <v>-7.7041602465331279E-3</v>
      </c>
      <c r="U22" s="17">
        <f t="shared" si="28"/>
        <v>-1.0903426791277258E-2</v>
      </c>
      <c r="V22" s="17">
        <f t="shared" si="28"/>
        <v>4.6511627906976744E-3</v>
      </c>
      <c r="W22" s="25">
        <f t="shared" si="28"/>
        <v>-2.0569620253164556E-2</v>
      </c>
      <c r="X22" s="25">
        <f>(X21-W21)/X21</f>
        <v>-1.7713365539452495E-2</v>
      </c>
    </row>
    <row r="24" spans="2:579">
      <c r="B24" s="2" t="s">
        <v>86</v>
      </c>
      <c r="C24" s="2">
        <v>-562.9</v>
      </c>
      <c r="D24" s="2">
        <v>-256.89999999999998</v>
      </c>
      <c r="E24" s="2">
        <v>338.3</v>
      </c>
      <c r="F24" s="2">
        <v>-264.60000000000002</v>
      </c>
      <c r="G24" s="2">
        <v>618</v>
      </c>
      <c r="H24" s="2">
        <v>790</v>
      </c>
      <c r="I24" s="2">
        <v>527.79999999999995</v>
      </c>
      <c r="J24" s="2">
        <v>382</v>
      </c>
      <c r="K24" s="2">
        <v>1202</v>
      </c>
      <c r="L24" s="2">
        <v>800</v>
      </c>
      <c r="M24" s="2">
        <v>965</v>
      </c>
      <c r="N24" s="2">
        <v>463</v>
      </c>
      <c r="O24" s="2">
        <v>1587</v>
      </c>
      <c r="P24" s="2">
        <v>909</v>
      </c>
      <c r="Q24" s="2">
        <v>1325</v>
      </c>
      <c r="R24" s="2">
        <v>63</v>
      </c>
      <c r="S24" s="2">
        <v>1923</v>
      </c>
      <c r="T24" s="2">
        <v>1051</v>
      </c>
      <c r="U24" s="2">
        <v>1078</v>
      </c>
      <c r="V24" s="2">
        <v>466</v>
      </c>
      <c r="W24" s="21">
        <v>1789</v>
      </c>
      <c r="X24" s="21">
        <f>2764-1789</f>
        <v>975</v>
      </c>
      <c r="AA24" s="2">
        <f>SUM(C24:F24)</f>
        <v>-746.09999999999991</v>
      </c>
      <c r="AB24" s="2">
        <f>SUM(G24:J24)</f>
        <v>2317.8000000000002</v>
      </c>
      <c r="AC24" s="2">
        <f>SUM(K24:N24)</f>
        <v>3430</v>
      </c>
      <c r="AD24" s="2">
        <f>SUM(O24:R24)</f>
        <v>3884</v>
      </c>
      <c r="AE24" s="2">
        <f>SUM(S24:V24)</f>
        <v>4518</v>
      </c>
    </row>
    <row r="25" spans="2:579">
      <c r="B25" s="2" t="s">
        <v>87</v>
      </c>
      <c r="C25" s="2">
        <v>15.7</v>
      </c>
      <c r="D25" s="2">
        <v>6.2</v>
      </c>
      <c r="E25" s="2">
        <v>7.6</v>
      </c>
      <c r="F25" s="2">
        <v>7.9</v>
      </c>
      <c r="G25" s="2">
        <v>7.7</v>
      </c>
      <c r="H25" s="2">
        <v>7.6</v>
      </c>
      <c r="I25" s="2">
        <v>5.6</v>
      </c>
      <c r="J25" s="2">
        <v>4.4000000000000004</v>
      </c>
      <c r="K25" s="2">
        <v>6</v>
      </c>
      <c r="L25" s="2">
        <v>5</v>
      </c>
      <c r="M25" s="2">
        <v>6</v>
      </c>
      <c r="N25" s="2">
        <v>8</v>
      </c>
      <c r="O25" s="2">
        <v>6</v>
      </c>
      <c r="P25" s="2">
        <v>9</v>
      </c>
      <c r="Q25" s="2">
        <v>15</v>
      </c>
      <c r="R25" s="2">
        <v>17</v>
      </c>
      <c r="S25" s="2">
        <v>14</v>
      </c>
      <c r="T25" s="2">
        <v>8</v>
      </c>
      <c r="U25" s="2">
        <v>4</v>
      </c>
      <c r="V25" s="2">
        <v>8</v>
      </c>
      <c r="W25" s="21">
        <v>8</v>
      </c>
      <c r="X25" s="21">
        <f>31-8</f>
        <v>23</v>
      </c>
      <c r="AA25" s="2">
        <f t="shared" ref="AA25:AA26" si="29">SUM(C25:F25)</f>
        <v>37.4</v>
      </c>
      <c r="AB25" s="2">
        <f t="shared" ref="AB25:AB26" si="30">SUM(G25:J25)</f>
        <v>25.299999999999997</v>
      </c>
      <c r="AC25" s="2">
        <f t="shared" ref="AC25:AC26" si="31">SUM(K25:N25)</f>
        <v>25</v>
      </c>
      <c r="AD25" s="2">
        <f>SUM(O25:R25)</f>
        <v>47</v>
      </c>
      <c r="AE25" s="2">
        <f>SUM(S25:V25)</f>
        <v>34</v>
      </c>
    </row>
    <row r="26" spans="2:579" s="8" customFormat="1">
      <c r="B26" s="8" t="s">
        <v>85</v>
      </c>
      <c r="C26" s="8">
        <f>C24-C25</f>
        <v>-578.6</v>
      </c>
      <c r="D26" s="8">
        <f t="shared" ref="D26:N26" si="32">D24-D25</f>
        <v>-263.09999999999997</v>
      </c>
      <c r="E26" s="8">
        <f t="shared" si="32"/>
        <v>330.7</v>
      </c>
      <c r="F26" s="8">
        <f t="shared" si="32"/>
        <v>-272.5</v>
      </c>
      <c r="G26" s="8">
        <f t="shared" si="32"/>
        <v>610.29999999999995</v>
      </c>
      <c r="H26" s="8">
        <f t="shared" si="32"/>
        <v>782.4</v>
      </c>
      <c r="I26" s="8">
        <f t="shared" si="32"/>
        <v>522.19999999999993</v>
      </c>
      <c r="J26" s="8">
        <f t="shared" si="32"/>
        <v>377.6</v>
      </c>
      <c r="K26" s="8">
        <f t="shared" si="32"/>
        <v>1196</v>
      </c>
      <c r="L26" s="8">
        <f t="shared" si="32"/>
        <v>795</v>
      </c>
      <c r="M26" s="8">
        <f t="shared" si="32"/>
        <v>959</v>
      </c>
      <c r="N26" s="8">
        <f t="shared" si="32"/>
        <v>455</v>
      </c>
      <c r="O26" s="8">
        <f t="shared" ref="O26:W26" si="33">O24-O25</f>
        <v>1581</v>
      </c>
      <c r="P26" s="8">
        <f t="shared" si="33"/>
        <v>900</v>
      </c>
      <c r="Q26" s="8">
        <f t="shared" si="33"/>
        <v>1310</v>
      </c>
      <c r="R26" s="8">
        <f t="shared" si="33"/>
        <v>46</v>
      </c>
      <c r="S26" s="8">
        <f t="shared" si="33"/>
        <v>1909</v>
      </c>
      <c r="T26" s="8">
        <f t="shared" si="33"/>
        <v>1043</v>
      </c>
      <c r="U26" s="8">
        <f t="shared" si="33"/>
        <v>1074</v>
      </c>
      <c r="V26" s="8">
        <f t="shared" si="33"/>
        <v>458</v>
      </c>
      <c r="W26" s="24">
        <f t="shared" si="33"/>
        <v>1781</v>
      </c>
      <c r="X26" s="24">
        <f t="shared" ref="X26" si="34">X24-X25</f>
        <v>952</v>
      </c>
      <c r="AA26" s="8">
        <f t="shared" si="29"/>
        <v>-783.5</v>
      </c>
      <c r="AB26" s="8">
        <f t="shared" si="30"/>
        <v>2292.4999999999995</v>
      </c>
      <c r="AC26" s="8">
        <f t="shared" si="31"/>
        <v>3405</v>
      </c>
      <c r="AD26" s="8">
        <f>SUM(O26:R26)</f>
        <v>3837</v>
      </c>
      <c r="AE26" s="8">
        <f>SUM(S26:V26)</f>
        <v>4484</v>
      </c>
      <c r="AF26" s="8">
        <f>AE26*1.15</f>
        <v>5156.5999999999995</v>
      </c>
      <c r="AG26" s="8">
        <f t="shared" ref="AG26:AK26" si="35">AF26*1.15</f>
        <v>5930.0899999999992</v>
      </c>
      <c r="AH26" s="8">
        <f t="shared" si="35"/>
        <v>6819.6034999999983</v>
      </c>
      <c r="AI26" s="8">
        <f t="shared" si="35"/>
        <v>7842.5440249999974</v>
      </c>
      <c r="AJ26" s="8">
        <f t="shared" si="35"/>
        <v>9018.9256287499957</v>
      </c>
      <c r="AK26" s="8">
        <f t="shared" si="35"/>
        <v>10371.764473062494</v>
      </c>
      <c r="AL26" s="8">
        <f t="shared" ref="AL26:CW26" si="36">AK26*(1+$AN$15)</f>
        <v>10579.199762523744</v>
      </c>
      <c r="AM26" s="8">
        <f t="shared" si="36"/>
        <v>10790.783757774219</v>
      </c>
      <c r="AN26" s="8">
        <f t="shared" si="36"/>
        <v>11006.599432929705</v>
      </c>
      <c r="AO26" s="8">
        <f t="shared" si="36"/>
        <v>11226.731421588298</v>
      </c>
      <c r="AP26" s="8">
        <f t="shared" si="36"/>
        <v>11451.266050020064</v>
      </c>
      <c r="AQ26" s="8">
        <f t="shared" si="36"/>
        <v>11680.291371020465</v>
      </c>
      <c r="AR26" s="8">
        <f t="shared" si="36"/>
        <v>11913.897198440874</v>
      </c>
      <c r="AS26" s="8">
        <f t="shared" si="36"/>
        <v>12152.175142409693</v>
      </c>
      <c r="AT26" s="8">
        <f t="shared" si="36"/>
        <v>12395.218645257886</v>
      </c>
      <c r="AU26" s="8">
        <f t="shared" si="36"/>
        <v>12643.123018163044</v>
      </c>
      <c r="AV26" s="8">
        <f t="shared" si="36"/>
        <v>12895.985478526305</v>
      </c>
      <c r="AW26" s="8">
        <f t="shared" si="36"/>
        <v>13153.905188096831</v>
      </c>
      <c r="AX26" s="8">
        <f t="shared" si="36"/>
        <v>13416.983291858767</v>
      </c>
      <c r="AY26" s="8">
        <f t="shared" si="36"/>
        <v>13685.322957695942</v>
      </c>
      <c r="AZ26" s="8">
        <f t="shared" si="36"/>
        <v>13959.02941684986</v>
      </c>
      <c r="BA26" s="8">
        <f t="shared" si="36"/>
        <v>14238.210005186858</v>
      </c>
      <c r="BB26" s="8">
        <f t="shared" si="36"/>
        <v>14522.974205290595</v>
      </c>
      <c r="BC26" s="8">
        <f t="shared" si="36"/>
        <v>14813.433689396406</v>
      </c>
      <c r="BD26" s="8">
        <f t="shared" si="36"/>
        <v>15109.702363184335</v>
      </c>
      <c r="BE26" s="8">
        <f t="shared" si="36"/>
        <v>15411.896410448022</v>
      </c>
      <c r="BF26" s="8">
        <f t="shared" si="36"/>
        <v>15720.134338656982</v>
      </c>
      <c r="BG26" s="8">
        <f t="shared" si="36"/>
        <v>16034.537025430122</v>
      </c>
      <c r="BH26" s="8">
        <f t="shared" si="36"/>
        <v>16355.227765938724</v>
      </c>
      <c r="BI26" s="8">
        <f t="shared" si="36"/>
        <v>16682.332321257498</v>
      </c>
      <c r="BJ26" s="8">
        <f t="shared" si="36"/>
        <v>17015.978967682648</v>
      </c>
      <c r="BK26" s="8">
        <f t="shared" si="36"/>
        <v>17356.298547036302</v>
      </c>
      <c r="BL26" s="8">
        <f t="shared" si="36"/>
        <v>17703.42451797703</v>
      </c>
      <c r="BM26" s="8">
        <f t="shared" si="36"/>
        <v>18057.493008336569</v>
      </c>
      <c r="BN26" s="8">
        <f t="shared" si="36"/>
        <v>18418.642868503299</v>
      </c>
      <c r="BO26" s="8">
        <f t="shared" si="36"/>
        <v>18787.015725873363</v>
      </c>
      <c r="BP26" s="8">
        <f t="shared" si="36"/>
        <v>19162.756040390832</v>
      </c>
      <c r="BQ26" s="8">
        <f t="shared" si="36"/>
        <v>19546.01116119865</v>
      </c>
      <c r="BR26" s="8">
        <f t="shared" si="36"/>
        <v>19936.931384422624</v>
      </c>
      <c r="BS26" s="8">
        <f t="shared" si="36"/>
        <v>20335.670012111077</v>
      </c>
      <c r="BT26" s="8">
        <f t="shared" si="36"/>
        <v>20742.383412353298</v>
      </c>
      <c r="BU26" s="8">
        <f t="shared" si="36"/>
        <v>21157.231080600362</v>
      </c>
      <c r="BV26" s="8">
        <f t="shared" si="36"/>
        <v>21580.375702212372</v>
      </c>
      <c r="BW26" s="8">
        <f t="shared" si="36"/>
        <v>22011.98321625662</v>
      </c>
      <c r="BX26" s="8">
        <f t="shared" si="36"/>
        <v>22452.222880581754</v>
      </c>
      <c r="BY26" s="8">
        <f t="shared" si="36"/>
        <v>22901.267338193389</v>
      </c>
      <c r="BZ26" s="8">
        <f t="shared" si="36"/>
        <v>23359.292684957258</v>
      </c>
      <c r="CA26" s="8">
        <f t="shared" si="36"/>
        <v>23826.478538656404</v>
      </c>
      <c r="CB26" s="8">
        <f t="shared" si="36"/>
        <v>24303.008109429531</v>
      </c>
      <c r="CC26" s="8">
        <f t="shared" si="36"/>
        <v>24789.068271618122</v>
      </c>
      <c r="CD26" s="8">
        <f t="shared" si="36"/>
        <v>25284.849637050484</v>
      </c>
      <c r="CE26" s="8">
        <f t="shared" si="36"/>
        <v>25790.546629791494</v>
      </c>
      <c r="CF26" s="8">
        <f t="shared" si="36"/>
        <v>26306.357562387326</v>
      </c>
      <c r="CG26" s="8">
        <f t="shared" si="36"/>
        <v>26832.484713635073</v>
      </c>
      <c r="CH26" s="8">
        <f t="shared" si="36"/>
        <v>27369.134407907775</v>
      </c>
      <c r="CI26" s="8">
        <f t="shared" si="36"/>
        <v>27916.517096065931</v>
      </c>
      <c r="CJ26" s="8">
        <f t="shared" si="36"/>
        <v>28474.84743798725</v>
      </c>
      <c r="CK26" s="8">
        <f t="shared" si="36"/>
        <v>29044.344386746994</v>
      </c>
      <c r="CL26" s="8">
        <f t="shared" si="36"/>
        <v>29625.231274481936</v>
      </c>
      <c r="CM26" s="8">
        <f t="shared" si="36"/>
        <v>30217.735899971576</v>
      </c>
      <c r="CN26" s="8">
        <f t="shared" si="36"/>
        <v>30822.090617971007</v>
      </c>
      <c r="CO26" s="8">
        <f t="shared" si="36"/>
        <v>31438.53243033043</v>
      </c>
      <c r="CP26" s="8">
        <f t="shared" si="36"/>
        <v>32067.303078937039</v>
      </c>
      <c r="CQ26" s="8">
        <f t="shared" si="36"/>
        <v>32708.649140515779</v>
      </c>
      <c r="CR26" s="8">
        <f t="shared" si="36"/>
        <v>33362.822123326099</v>
      </c>
      <c r="CS26" s="8">
        <f t="shared" si="36"/>
        <v>34030.078565792624</v>
      </c>
      <c r="CT26" s="8">
        <f t="shared" si="36"/>
        <v>34710.68013710848</v>
      </c>
      <c r="CU26" s="8">
        <f t="shared" si="36"/>
        <v>35404.893739850653</v>
      </c>
      <c r="CV26" s="8">
        <f t="shared" si="36"/>
        <v>36112.991614647668</v>
      </c>
      <c r="CW26" s="8">
        <f t="shared" si="36"/>
        <v>36835.251446940623</v>
      </c>
      <c r="CX26" s="8">
        <f t="shared" ref="CX26:FI26" si="37">CW26*(1+$AN$15)</f>
        <v>37571.956475879437</v>
      </c>
      <c r="CY26" s="8">
        <f t="shared" si="37"/>
        <v>38323.395605397025</v>
      </c>
      <c r="CZ26" s="8">
        <f t="shared" si="37"/>
        <v>39089.863517504964</v>
      </c>
      <c r="DA26" s="8">
        <f t="shared" si="37"/>
        <v>39871.660787855064</v>
      </c>
      <c r="DB26" s="8">
        <f t="shared" si="37"/>
        <v>40669.094003612168</v>
      </c>
      <c r="DC26" s="8">
        <f t="shared" si="37"/>
        <v>41482.475883684412</v>
      </c>
      <c r="DD26" s="8">
        <f t="shared" si="37"/>
        <v>42312.125401358098</v>
      </c>
      <c r="DE26" s="8">
        <f t="shared" si="37"/>
        <v>43158.367909385262</v>
      </c>
      <c r="DF26" s="8">
        <f t="shared" si="37"/>
        <v>44021.535267572966</v>
      </c>
      <c r="DG26" s="8">
        <f t="shared" si="37"/>
        <v>44901.965972924423</v>
      </c>
      <c r="DH26" s="8">
        <f t="shared" si="37"/>
        <v>45800.005292382913</v>
      </c>
      <c r="DI26" s="8">
        <f t="shared" si="37"/>
        <v>46716.005398230569</v>
      </c>
      <c r="DJ26" s="8">
        <f t="shared" si="37"/>
        <v>47650.325506195179</v>
      </c>
      <c r="DK26" s="8">
        <f t="shared" si="37"/>
        <v>48603.33201631908</v>
      </c>
      <c r="DL26" s="8">
        <f t="shared" si="37"/>
        <v>49575.398656645462</v>
      </c>
      <c r="DM26" s="8">
        <f t="shared" si="37"/>
        <v>50566.906629778372</v>
      </c>
      <c r="DN26" s="8">
        <f t="shared" si="37"/>
        <v>51578.244762373943</v>
      </c>
      <c r="DO26" s="8">
        <f t="shared" si="37"/>
        <v>52609.809657621423</v>
      </c>
      <c r="DP26" s="8">
        <f t="shared" si="37"/>
        <v>53662.00585077385</v>
      </c>
      <c r="DQ26" s="8">
        <f t="shared" si="37"/>
        <v>54735.245967789328</v>
      </c>
      <c r="DR26" s="8">
        <f t="shared" si="37"/>
        <v>55829.950887145118</v>
      </c>
      <c r="DS26" s="8">
        <f t="shared" si="37"/>
        <v>56946.549904888023</v>
      </c>
      <c r="DT26" s="8">
        <f t="shared" si="37"/>
        <v>58085.480902985786</v>
      </c>
      <c r="DU26" s="8">
        <f t="shared" si="37"/>
        <v>59247.190521045501</v>
      </c>
      <c r="DV26" s="8">
        <f t="shared" si="37"/>
        <v>60432.134331466412</v>
      </c>
      <c r="DW26" s="8">
        <f t="shared" si="37"/>
        <v>61640.777018095738</v>
      </c>
      <c r="DX26" s="8">
        <f t="shared" si="37"/>
        <v>62873.592558457654</v>
      </c>
      <c r="DY26" s="8">
        <f t="shared" si="37"/>
        <v>64131.064409626808</v>
      </c>
      <c r="DZ26" s="8">
        <f t="shared" si="37"/>
        <v>65413.685697819346</v>
      </c>
      <c r="EA26" s="8">
        <f t="shared" si="37"/>
        <v>66721.959411775737</v>
      </c>
      <c r="EB26" s="8">
        <f t="shared" si="37"/>
        <v>68056.398600011249</v>
      </c>
      <c r="EC26" s="8">
        <f t="shared" si="37"/>
        <v>69417.526572011469</v>
      </c>
      <c r="ED26" s="8">
        <f t="shared" si="37"/>
        <v>70805.877103451698</v>
      </c>
      <c r="EE26" s="8">
        <f t="shared" si="37"/>
        <v>72221.994645520739</v>
      </c>
      <c r="EF26" s="8">
        <f t="shared" si="37"/>
        <v>73666.43453843116</v>
      </c>
      <c r="EG26" s="8">
        <f t="shared" si="37"/>
        <v>75139.763229199787</v>
      </c>
      <c r="EH26" s="8">
        <f t="shared" si="37"/>
        <v>76642.558493783785</v>
      </c>
      <c r="EI26" s="8">
        <f t="shared" si="37"/>
        <v>78175.409663659462</v>
      </c>
      <c r="EJ26" s="8">
        <f t="shared" si="37"/>
        <v>79738.917856932647</v>
      </c>
      <c r="EK26" s="8">
        <f t="shared" si="37"/>
        <v>81333.6962140713</v>
      </c>
      <c r="EL26" s="8">
        <f t="shared" si="37"/>
        <v>82960.370138352722</v>
      </c>
      <c r="EM26" s="8">
        <f t="shared" si="37"/>
        <v>84619.577541119783</v>
      </c>
      <c r="EN26" s="8">
        <f t="shared" si="37"/>
        <v>86311.969091942185</v>
      </c>
      <c r="EO26" s="8">
        <f t="shared" si="37"/>
        <v>88038.208473781036</v>
      </c>
      <c r="EP26" s="8">
        <f t="shared" si="37"/>
        <v>89798.972643256653</v>
      </c>
      <c r="EQ26" s="8">
        <f t="shared" si="37"/>
        <v>91594.952096121793</v>
      </c>
      <c r="ER26" s="8">
        <f t="shared" si="37"/>
        <v>93426.851138044236</v>
      </c>
      <c r="ES26" s="8">
        <f t="shared" si="37"/>
        <v>95295.388160805116</v>
      </c>
      <c r="ET26" s="8">
        <f t="shared" si="37"/>
        <v>97201.295924021222</v>
      </c>
      <c r="EU26" s="8">
        <f t="shared" si="37"/>
        <v>99145.321842501653</v>
      </c>
      <c r="EV26" s="8">
        <f t="shared" si="37"/>
        <v>101128.22827935169</v>
      </c>
      <c r="EW26" s="8">
        <f t="shared" si="37"/>
        <v>103150.79284493873</v>
      </c>
      <c r="EX26" s="8">
        <f t="shared" si="37"/>
        <v>105213.80870183751</v>
      </c>
      <c r="EY26" s="8">
        <f t="shared" si="37"/>
        <v>107318.08487587426</v>
      </c>
      <c r="EZ26" s="8">
        <f t="shared" si="37"/>
        <v>109464.44657339175</v>
      </c>
      <c r="FA26" s="8">
        <f t="shared" si="37"/>
        <v>111653.73550485958</v>
      </c>
      <c r="FB26" s="8">
        <f t="shared" si="37"/>
        <v>113886.81021495677</v>
      </c>
      <c r="FC26" s="8">
        <f t="shared" si="37"/>
        <v>116164.54641925592</v>
      </c>
      <c r="FD26" s="8">
        <f t="shared" si="37"/>
        <v>118487.83734764103</v>
      </c>
      <c r="FE26" s="8">
        <f t="shared" si="37"/>
        <v>120857.59409459386</v>
      </c>
      <c r="FF26" s="8">
        <f t="shared" si="37"/>
        <v>123274.74597648575</v>
      </c>
      <c r="FG26" s="8">
        <f t="shared" si="37"/>
        <v>125740.24089601547</v>
      </c>
      <c r="FH26" s="8">
        <f t="shared" si="37"/>
        <v>128255.04571393579</v>
      </c>
      <c r="FI26" s="8">
        <f t="shared" si="37"/>
        <v>130820.14662821451</v>
      </c>
      <c r="FJ26" s="8">
        <f t="shared" ref="FJ26:HU26" si="38">FI26*(1+$AN$15)</f>
        <v>133436.5495607788</v>
      </c>
      <c r="FK26" s="8">
        <f t="shared" si="38"/>
        <v>136105.28055199439</v>
      </c>
      <c r="FL26" s="8">
        <f t="shared" si="38"/>
        <v>138827.38616303427</v>
      </c>
      <c r="FM26" s="8">
        <f t="shared" si="38"/>
        <v>141603.93388629495</v>
      </c>
      <c r="FN26" s="8">
        <f t="shared" si="38"/>
        <v>144436.01256402084</v>
      </c>
      <c r="FO26" s="8">
        <f t="shared" si="38"/>
        <v>147324.73281530125</v>
      </c>
      <c r="FP26" s="8">
        <f t="shared" si="38"/>
        <v>150271.22747160727</v>
      </c>
      <c r="FQ26" s="8">
        <f t="shared" si="38"/>
        <v>153276.65202103942</v>
      </c>
      <c r="FR26" s="8">
        <f t="shared" si="38"/>
        <v>156342.18506146022</v>
      </c>
      <c r="FS26" s="8">
        <f t="shared" si="38"/>
        <v>159469.02876268941</v>
      </c>
      <c r="FT26" s="8">
        <f t="shared" si="38"/>
        <v>162658.40933794322</v>
      </c>
      <c r="FU26" s="8">
        <f t="shared" si="38"/>
        <v>165911.57752470209</v>
      </c>
      <c r="FV26" s="8">
        <f t="shared" si="38"/>
        <v>169229.80907519613</v>
      </c>
      <c r="FW26" s="8">
        <f t="shared" si="38"/>
        <v>172614.40525670006</v>
      </c>
      <c r="FX26" s="8">
        <f t="shared" si="38"/>
        <v>176066.69336183407</v>
      </c>
      <c r="FY26" s="8">
        <f t="shared" si="38"/>
        <v>179588.02722907075</v>
      </c>
      <c r="FZ26" s="8">
        <f t="shared" si="38"/>
        <v>183179.78777365218</v>
      </c>
      <c r="GA26" s="8">
        <f t="shared" si="38"/>
        <v>186843.38352912522</v>
      </c>
      <c r="GB26" s="8">
        <f t="shared" si="38"/>
        <v>190580.25119970774</v>
      </c>
      <c r="GC26" s="8">
        <f t="shared" si="38"/>
        <v>194391.85622370191</v>
      </c>
      <c r="GD26" s="8">
        <f t="shared" si="38"/>
        <v>198279.69334817596</v>
      </c>
      <c r="GE26" s="8">
        <f t="shared" si="38"/>
        <v>202245.28721513948</v>
      </c>
      <c r="GF26" s="8">
        <f t="shared" si="38"/>
        <v>206290.19295944227</v>
      </c>
      <c r="GG26" s="8">
        <f t="shared" si="38"/>
        <v>210415.99681863113</v>
      </c>
      <c r="GH26" s="8">
        <f t="shared" si="38"/>
        <v>214624.31675500376</v>
      </c>
      <c r="GI26" s="8">
        <f t="shared" si="38"/>
        <v>218916.80309010384</v>
      </c>
      <c r="GJ26" s="8">
        <f t="shared" si="38"/>
        <v>223295.13915190593</v>
      </c>
      <c r="GK26" s="8">
        <f t="shared" si="38"/>
        <v>227761.04193494405</v>
      </c>
      <c r="GL26" s="8">
        <f t="shared" si="38"/>
        <v>232316.26277364293</v>
      </c>
      <c r="GM26" s="8">
        <f t="shared" si="38"/>
        <v>236962.58802911578</v>
      </c>
      <c r="GN26" s="8">
        <f t="shared" si="38"/>
        <v>241701.8397896981</v>
      </c>
      <c r="GO26" s="8">
        <f t="shared" si="38"/>
        <v>246535.87658549208</v>
      </c>
      <c r="GP26" s="8">
        <f t="shared" si="38"/>
        <v>251466.59411720192</v>
      </c>
      <c r="GQ26" s="8">
        <f t="shared" si="38"/>
        <v>256495.92599954596</v>
      </c>
      <c r="GR26" s="8">
        <f t="shared" si="38"/>
        <v>261625.84451953688</v>
      </c>
      <c r="GS26" s="8">
        <f t="shared" si="38"/>
        <v>266858.3614099276</v>
      </c>
      <c r="GT26" s="8">
        <f t="shared" si="38"/>
        <v>272195.52863812615</v>
      </c>
      <c r="GU26" s="8">
        <f t="shared" si="38"/>
        <v>277639.4392108887</v>
      </c>
      <c r="GV26" s="8">
        <f t="shared" si="38"/>
        <v>283192.22799510648</v>
      </c>
      <c r="GW26" s="8">
        <f t="shared" si="38"/>
        <v>288856.07255500864</v>
      </c>
      <c r="GX26" s="8">
        <f t="shared" si="38"/>
        <v>294633.1940061088</v>
      </c>
      <c r="GY26" s="8">
        <f t="shared" si="38"/>
        <v>300525.85788623098</v>
      </c>
      <c r="GZ26" s="8">
        <f t="shared" si="38"/>
        <v>306536.37504395563</v>
      </c>
      <c r="HA26" s="8">
        <f t="shared" si="38"/>
        <v>312667.10254483472</v>
      </c>
      <c r="HB26" s="8">
        <f t="shared" si="38"/>
        <v>318920.44459573145</v>
      </c>
      <c r="HC26" s="8">
        <f t="shared" si="38"/>
        <v>325298.85348764609</v>
      </c>
      <c r="HD26" s="8">
        <f t="shared" si="38"/>
        <v>331804.83055739902</v>
      </c>
      <c r="HE26" s="8">
        <f t="shared" si="38"/>
        <v>338440.927168547</v>
      </c>
      <c r="HF26" s="8">
        <f t="shared" si="38"/>
        <v>345209.74571191793</v>
      </c>
      <c r="HG26" s="8">
        <f t="shared" si="38"/>
        <v>352113.94062615628</v>
      </c>
      <c r="HH26" s="8">
        <f t="shared" si="38"/>
        <v>359156.2194386794</v>
      </c>
      <c r="HI26" s="8">
        <f t="shared" si="38"/>
        <v>366339.34382745298</v>
      </c>
      <c r="HJ26" s="8">
        <f t="shared" si="38"/>
        <v>373666.13070400205</v>
      </c>
      <c r="HK26" s="8">
        <f t="shared" si="38"/>
        <v>381139.45331808209</v>
      </c>
      <c r="HL26" s="8">
        <f t="shared" si="38"/>
        <v>388762.24238444376</v>
      </c>
      <c r="HM26" s="8">
        <f t="shared" si="38"/>
        <v>396537.48723213264</v>
      </c>
      <c r="HN26" s="8">
        <f t="shared" si="38"/>
        <v>404468.23697677528</v>
      </c>
      <c r="HO26" s="8">
        <f t="shared" si="38"/>
        <v>412557.60171631078</v>
      </c>
      <c r="HP26" s="8">
        <f t="shared" si="38"/>
        <v>420808.753750637</v>
      </c>
      <c r="HQ26" s="8">
        <f t="shared" si="38"/>
        <v>429224.92882564972</v>
      </c>
      <c r="HR26" s="8">
        <f t="shared" si="38"/>
        <v>437809.42740216275</v>
      </c>
      <c r="HS26" s="8">
        <f t="shared" si="38"/>
        <v>446565.615950206</v>
      </c>
      <c r="HT26" s="8">
        <f t="shared" si="38"/>
        <v>455496.92826921016</v>
      </c>
      <c r="HU26" s="8">
        <f t="shared" si="38"/>
        <v>464606.86683459434</v>
      </c>
      <c r="HV26" s="8">
        <f t="shared" ref="HV26:KG26" si="39">HU26*(1+$AN$15)</f>
        <v>473899.00417128624</v>
      </c>
      <c r="HW26" s="8">
        <f t="shared" si="39"/>
        <v>483376.98425471201</v>
      </c>
      <c r="HX26" s="8">
        <f t="shared" si="39"/>
        <v>493044.52393980627</v>
      </c>
      <c r="HY26" s="8">
        <f t="shared" si="39"/>
        <v>502905.41441860242</v>
      </c>
      <c r="HZ26" s="8">
        <f t="shared" si="39"/>
        <v>512963.52270697447</v>
      </c>
      <c r="IA26" s="8">
        <f t="shared" si="39"/>
        <v>523222.79316111398</v>
      </c>
      <c r="IB26" s="8">
        <f t="shared" si="39"/>
        <v>533687.24902433623</v>
      </c>
      <c r="IC26" s="8">
        <f t="shared" si="39"/>
        <v>544360.99400482292</v>
      </c>
      <c r="ID26" s="8">
        <f t="shared" si="39"/>
        <v>555248.21388491942</v>
      </c>
      <c r="IE26" s="8">
        <f t="shared" si="39"/>
        <v>566353.17816261784</v>
      </c>
      <c r="IF26" s="8">
        <f t="shared" si="39"/>
        <v>577680.24172587018</v>
      </c>
      <c r="IG26" s="8">
        <f t="shared" si="39"/>
        <v>589233.84656038764</v>
      </c>
      <c r="IH26" s="8">
        <f t="shared" si="39"/>
        <v>601018.52349159541</v>
      </c>
      <c r="II26" s="8">
        <f t="shared" si="39"/>
        <v>613038.89396142727</v>
      </c>
      <c r="IJ26" s="8">
        <f t="shared" si="39"/>
        <v>625299.67184065585</v>
      </c>
      <c r="IK26" s="8">
        <f t="shared" si="39"/>
        <v>637805.66527746897</v>
      </c>
      <c r="IL26" s="8">
        <f t="shared" si="39"/>
        <v>650561.77858301834</v>
      </c>
      <c r="IM26" s="8">
        <f t="shared" si="39"/>
        <v>663573.01415467868</v>
      </c>
      <c r="IN26" s="8">
        <f t="shared" si="39"/>
        <v>676844.4744377723</v>
      </c>
      <c r="IO26" s="8">
        <f t="shared" si="39"/>
        <v>690381.36392652779</v>
      </c>
      <c r="IP26" s="8">
        <f t="shared" si="39"/>
        <v>704188.99120505841</v>
      </c>
      <c r="IQ26" s="8">
        <f t="shared" si="39"/>
        <v>718272.77102915954</v>
      </c>
      <c r="IR26" s="8">
        <f t="shared" si="39"/>
        <v>732638.2264497428</v>
      </c>
      <c r="IS26" s="8">
        <f t="shared" si="39"/>
        <v>747290.99097873771</v>
      </c>
      <c r="IT26" s="8">
        <f t="shared" si="39"/>
        <v>762236.81079831242</v>
      </c>
      <c r="IU26" s="8">
        <f t="shared" si="39"/>
        <v>777481.54701427871</v>
      </c>
      <c r="IV26" s="8">
        <f t="shared" si="39"/>
        <v>793031.17795456434</v>
      </c>
      <c r="IW26" s="8">
        <f t="shared" si="39"/>
        <v>808891.80151365569</v>
      </c>
      <c r="IX26" s="8">
        <f t="shared" si="39"/>
        <v>825069.63754392881</v>
      </c>
      <c r="IY26" s="8">
        <f t="shared" si="39"/>
        <v>841571.03029480739</v>
      </c>
      <c r="IZ26" s="8">
        <f t="shared" si="39"/>
        <v>858402.45090070355</v>
      </c>
      <c r="JA26" s="8">
        <f t="shared" si="39"/>
        <v>875570.49991871766</v>
      </c>
      <c r="JB26" s="8">
        <f t="shared" si="39"/>
        <v>893081.90991709207</v>
      </c>
      <c r="JC26" s="8">
        <f t="shared" si="39"/>
        <v>910943.54811543389</v>
      </c>
      <c r="JD26" s="8">
        <f t="shared" si="39"/>
        <v>929162.41907774261</v>
      </c>
      <c r="JE26" s="8">
        <f t="shared" si="39"/>
        <v>947745.66745929746</v>
      </c>
      <c r="JF26" s="8">
        <f t="shared" si="39"/>
        <v>966700.58080848341</v>
      </c>
      <c r="JG26" s="8">
        <f t="shared" si="39"/>
        <v>986034.59242465312</v>
      </c>
      <c r="JH26" s="8">
        <f t="shared" si="39"/>
        <v>1005755.2842731462</v>
      </c>
      <c r="JI26" s="8">
        <f t="shared" si="39"/>
        <v>1025870.3899586091</v>
      </c>
      <c r="JJ26" s="8">
        <f t="shared" si="39"/>
        <v>1046387.7977577813</v>
      </c>
      <c r="JK26" s="8">
        <f t="shared" si="39"/>
        <v>1067315.553712937</v>
      </c>
      <c r="JL26" s="8">
        <f t="shared" si="39"/>
        <v>1088661.8647871958</v>
      </c>
      <c r="JM26" s="8">
        <f t="shared" si="39"/>
        <v>1110435.1020829398</v>
      </c>
      <c r="JN26" s="8">
        <f t="shared" si="39"/>
        <v>1132643.8041245986</v>
      </c>
      <c r="JO26" s="8">
        <f t="shared" si="39"/>
        <v>1155296.6802070907</v>
      </c>
      <c r="JP26" s="8">
        <f t="shared" si="39"/>
        <v>1178402.6138112326</v>
      </c>
      <c r="JQ26" s="8">
        <f t="shared" si="39"/>
        <v>1201970.6660874572</v>
      </c>
      <c r="JR26" s="8">
        <f t="shared" si="39"/>
        <v>1226010.0794092063</v>
      </c>
      <c r="JS26" s="8">
        <f t="shared" si="39"/>
        <v>1250530.2809973904</v>
      </c>
      <c r="JT26" s="8">
        <f t="shared" si="39"/>
        <v>1275540.8866173383</v>
      </c>
      <c r="JU26" s="8">
        <f t="shared" si="39"/>
        <v>1301051.704349685</v>
      </c>
      <c r="JV26" s="8">
        <f t="shared" si="39"/>
        <v>1327072.7384366787</v>
      </c>
      <c r="JW26" s="8">
        <f t="shared" si="39"/>
        <v>1353614.1932054122</v>
      </c>
      <c r="JX26" s="8">
        <f t="shared" si="39"/>
        <v>1380686.4770695206</v>
      </c>
      <c r="JY26" s="8">
        <f t="shared" si="39"/>
        <v>1408300.2066109111</v>
      </c>
      <c r="JZ26" s="8">
        <f t="shared" si="39"/>
        <v>1436466.2107431293</v>
      </c>
      <c r="KA26" s="8">
        <f t="shared" si="39"/>
        <v>1465195.5349579919</v>
      </c>
      <c r="KB26" s="8">
        <f t="shared" si="39"/>
        <v>1494499.4456571518</v>
      </c>
      <c r="KC26" s="8">
        <f t="shared" si="39"/>
        <v>1524389.4345702948</v>
      </c>
      <c r="KD26" s="8">
        <f t="shared" si="39"/>
        <v>1554877.2232617007</v>
      </c>
      <c r="KE26" s="8">
        <f t="shared" si="39"/>
        <v>1585974.7677269347</v>
      </c>
      <c r="KF26" s="8">
        <f t="shared" si="39"/>
        <v>1617694.2630814735</v>
      </c>
      <c r="KG26" s="8">
        <f t="shared" si="39"/>
        <v>1650048.148343103</v>
      </c>
      <c r="KH26" s="8">
        <f t="shared" ref="KH26:MS26" si="40">KG26*(1+$AN$15)</f>
        <v>1683049.1113099651</v>
      </c>
      <c r="KI26" s="8">
        <f t="shared" si="40"/>
        <v>1716710.0935361644</v>
      </c>
      <c r="KJ26" s="8">
        <f t="shared" si="40"/>
        <v>1751044.2954068878</v>
      </c>
      <c r="KK26" s="8">
        <f t="shared" si="40"/>
        <v>1786065.1813150255</v>
      </c>
      <c r="KL26" s="8">
        <f t="shared" si="40"/>
        <v>1821786.4849413261</v>
      </c>
      <c r="KM26" s="8">
        <f t="shared" si="40"/>
        <v>1858222.2146401526</v>
      </c>
      <c r="KN26" s="8">
        <f t="shared" si="40"/>
        <v>1895386.6589329557</v>
      </c>
      <c r="KO26" s="8">
        <f t="shared" si="40"/>
        <v>1933294.3921116148</v>
      </c>
      <c r="KP26" s="8">
        <f t="shared" si="40"/>
        <v>1971960.2799538472</v>
      </c>
      <c r="KQ26" s="8">
        <f t="shared" si="40"/>
        <v>2011399.4855529242</v>
      </c>
      <c r="KR26" s="8">
        <f t="shared" si="40"/>
        <v>2051627.4752639828</v>
      </c>
      <c r="KS26" s="8">
        <f t="shared" si="40"/>
        <v>2092660.0247692624</v>
      </c>
      <c r="KT26" s="8">
        <f t="shared" si="40"/>
        <v>2134513.2252646475</v>
      </c>
      <c r="KU26" s="8">
        <f t="shared" si="40"/>
        <v>2177203.4897699407</v>
      </c>
      <c r="KV26" s="8">
        <f t="shared" si="40"/>
        <v>2220747.5595653397</v>
      </c>
      <c r="KW26" s="8">
        <f t="shared" si="40"/>
        <v>2265162.5107566467</v>
      </c>
      <c r="KX26" s="8">
        <f t="shared" si="40"/>
        <v>2310465.7609717799</v>
      </c>
      <c r="KY26" s="8">
        <f t="shared" si="40"/>
        <v>2356675.0761912158</v>
      </c>
      <c r="KZ26" s="8">
        <f t="shared" si="40"/>
        <v>2403808.5777150402</v>
      </c>
      <c r="LA26" s="8">
        <f t="shared" si="40"/>
        <v>2451884.7492693411</v>
      </c>
      <c r="LB26" s="8">
        <f t="shared" si="40"/>
        <v>2500922.444254728</v>
      </c>
      <c r="LC26" s="8">
        <f t="shared" si="40"/>
        <v>2550940.8931398224</v>
      </c>
      <c r="LD26" s="8">
        <f t="shared" si="40"/>
        <v>2601959.711002619</v>
      </c>
      <c r="LE26" s="8">
        <f t="shared" si="40"/>
        <v>2653998.9052226716</v>
      </c>
      <c r="LF26" s="8">
        <f t="shared" si="40"/>
        <v>2707078.8833271251</v>
      </c>
      <c r="LG26" s="8">
        <f t="shared" si="40"/>
        <v>2761220.4609936676</v>
      </c>
      <c r="LH26" s="8">
        <f t="shared" si="40"/>
        <v>2816444.8702135412</v>
      </c>
      <c r="LI26" s="8">
        <f t="shared" si="40"/>
        <v>2872773.7676178119</v>
      </c>
      <c r="LJ26" s="8">
        <f t="shared" si="40"/>
        <v>2930229.2429701681</v>
      </c>
      <c r="LK26" s="8">
        <f t="shared" si="40"/>
        <v>2988833.8278295714</v>
      </c>
      <c r="LL26" s="8">
        <f t="shared" si="40"/>
        <v>3048610.5043861629</v>
      </c>
      <c r="LM26" s="8">
        <f t="shared" si="40"/>
        <v>3109582.7144738859</v>
      </c>
      <c r="LN26" s="8">
        <f t="shared" si="40"/>
        <v>3171774.3687633639</v>
      </c>
      <c r="LO26" s="8">
        <f t="shared" si="40"/>
        <v>3235209.8561386312</v>
      </c>
      <c r="LP26" s="8">
        <f t="shared" si="40"/>
        <v>3299914.0532614039</v>
      </c>
      <c r="LQ26" s="8">
        <f t="shared" si="40"/>
        <v>3365912.3343266319</v>
      </c>
      <c r="LR26" s="8">
        <f t="shared" si="40"/>
        <v>3433230.5810131645</v>
      </c>
      <c r="LS26" s="8">
        <f t="shared" si="40"/>
        <v>3501895.1926334277</v>
      </c>
      <c r="LT26" s="8">
        <f t="shared" si="40"/>
        <v>3571933.0964860963</v>
      </c>
      <c r="LU26" s="8">
        <f t="shared" si="40"/>
        <v>3643371.7584158182</v>
      </c>
      <c r="LV26" s="8">
        <f t="shared" si="40"/>
        <v>3716239.1935841348</v>
      </c>
      <c r="LW26" s="8">
        <f t="shared" si="40"/>
        <v>3790563.9774558176</v>
      </c>
      <c r="LX26" s="8">
        <f t="shared" si="40"/>
        <v>3866375.2570049339</v>
      </c>
      <c r="LY26" s="8">
        <f t="shared" si="40"/>
        <v>3943702.7621450326</v>
      </c>
      <c r="LZ26" s="8">
        <f t="shared" si="40"/>
        <v>4022576.8173879334</v>
      </c>
      <c r="MA26" s="8">
        <f t="shared" si="40"/>
        <v>4103028.3537356923</v>
      </c>
      <c r="MB26" s="8">
        <f t="shared" si="40"/>
        <v>4185088.9208104061</v>
      </c>
      <c r="MC26" s="8">
        <f t="shared" si="40"/>
        <v>4268790.6992266141</v>
      </c>
      <c r="MD26" s="8">
        <f t="shared" si="40"/>
        <v>4354166.513211146</v>
      </c>
      <c r="ME26" s="8">
        <f t="shared" si="40"/>
        <v>4441249.8434753688</v>
      </c>
      <c r="MF26" s="8">
        <f t="shared" si="40"/>
        <v>4530074.8403448761</v>
      </c>
      <c r="MG26" s="8">
        <f t="shared" si="40"/>
        <v>4620676.3371517733</v>
      </c>
      <c r="MH26" s="8">
        <f t="shared" si="40"/>
        <v>4713089.863894809</v>
      </c>
      <c r="MI26" s="8">
        <f t="shared" si="40"/>
        <v>4807351.6611727057</v>
      </c>
      <c r="MJ26" s="8">
        <f t="shared" si="40"/>
        <v>4903498.6943961596</v>
      </c>
      <c r="MK26" s="8">
        <f t="shared" si="40"/>
        <v>5001568.6682840828</v>
      </c>
      <c r="ML26" s="8">
        <f t="shared" si="40"/>
        <v>5101600.0416497644</v>
      </c>
      <c r="MM26" s="8">
        <f t="shared" si="40"/>
        <v>5203632.0424827598</v>
      </c>
      <c r="MN26" s="8">
        <f t="shared" si="40"/>
        <v>5307704.6833324153</v>
      </c>
      <c r="MO26" s="8">
        <f t="shared" si="40"/>
        <v>5413858.7769990638</v>
      </c>
      <c r="MP26" s="8">
        <f t="shared" si="40"/>
        <v>5522135.9525390454</v>
      </c>
      <c r="MQ26" s="8">
        <f t="shared" si="40"/>
        <v>5632578.6715898262</v>
      </c>
      <c r="MR26" s="8">
        <f t="shared" si="40"/>
        <v>5745230.2450216226</v>
      </c>
      <c r="MS26" s="8">
        <f t="shared" si="40"/>
        <v>5860134.8499220554</v>
      </c>
      <c r="MT26" s="8">
        <f t="shared" ref="MT26:PE26" si="41">MS26*(1+$AN$15)</f>
        <v>5977337.546920497</v>
      </c>
      <c r="MU26" s="8">
        <f t="shared" si="41"/>
        <v>6096884.2978589069</v>
      </c>
      <c r="MV26" s="8">
        <f t="shared" si="41"/>
        <v>6218821.9838160854</v>
      </c>
      <c r="MW26" s="8">
        <f t="shared" si="41"/>
        <v>6343198.4234924074</v>
      </c>
      <c r="MX26" s="8">
        <f t="shared" si="41"/>
        <v>6470062.3919622554</v>
      </c>
      <c r="MY26" s="8">
        <f t="shared" si="41"/>
        <v>6599463.6398015004</v>
      </c>
      <c r="MZ26" s="8">
        <f t="shared" si="41"/>
        <v>6731452.9125975305</v>
      </c>
      <c r="NA26" s="8">
        <f t="shared" si="41"/>
        <v>6866081.9708494814</v>
      </c>
      <c r="NB26" s="8">
        <f t="shared" si="41"/>
        <v>7003403.6102664713</v>
      </c>
      <c r="NC26" s="8">
        <f t="shared" si="41"/>
        <v>7143471.6824718006</v>
      </c>
      <c r="ND26" s="8">
        <f t="shared" si="41"/>
        <v>7286341.1161212372</v>
      </c>
      <c r="NE26" s="8">
        <f t="shared" si="41"/>
        <v>7432067.9384436617</v>
      </c>
      <c r="NF26" s="8">
        <f t="shared" si="41"/>
        <v>7580709.2972125346</v>
      </c>
      <c r="NG26" s="8">
        <f t="shared" si="41"/>
        <v>7732323.4831567854</v>
      </c>
      <c r="NH26" s="8">
        <f t="shared" si="41"/>
        <v>7886969.9528199211</v>
      </c>
      <c r="NI26" s="8">
        <f t="shared" si="41"/>
        <v>8044709.3518763194</v>
      </c>
      <c r="NJ26" s="8">
        <f t="shared" si="41"/>
        <v>8205603.538913846</v>
      </c>
      <c r="NK26" s="8">
        <f t="shared" si="41"/>
        <v>8369715.6096921228</v>
      </c>
      <c r="NL26" s="8">
        <f t="shared" si="41"/>
        <v>8537109.9218859654</v>
      </c>
      <c r="NM26" s="8">
        <f t="shared" si="41"/>
        <v>8707852.1203236841</v>
      </c>
      <c r="NN26" s="8">
        <f t="shared" si="41"/>
        <v>8882009.1627301574</v>
      </c>
      <c r="NO26" s="8">
        <f t="shared" si="41"/>
        <v>9059649.3459847607</v>
      </c>
      <c r="NP26" s="8">
        <f t="shared" si="41"/>
        <v>9240842.3329044562</v>
      </c>
      <c r="NQ26" s="8">
        <f t="shared" si="41"/>
        <v>9425659.1795625463</v>
      </c>
      <c r="NR26" s="8">
        <f t="shared" si="41"/>
        <v>9614172.3631537966</v>
      </c>
      <c r="NS26" s="8">
        <f t="shared" si="41"/>
        <v>9806455.8104168735</v>
      </c>
      <c r="NT26" s="8">
        <f t="shared" si="41"/>
        <v>10002584.926625211</v>
      </c>
      <c r="NU26" s="8">
        <f t="shared" si="41"/>
        <v>10202636.625157716</v>
      </c>
      <c r="NV26" s="8">
        <f t="shared" si="41"/>
        <v>10406689.357660871</v>
      </c>
      <c r="NW26" s="8">
        <f t="shared" si="41"/>
        <v>10614823.144814089</v>
      </c>
      <c r="NX26" s="8">
        <f t="shared" si="41"/>
        <v>10827119.607710371</v>
      </c>
      <c r="NY26" s="8">
        <f t="shared" si="41"/>
        <v>11043661.999864578</v>
      </c>
      <c r="NZ26" s="8">
        <f t="shared" si="41"/>
        <v>11264535.23986187</v>
      </c>
      <c r="OA26" s="8">
        <f t="shared" si="41"/>
        <v>11489825.944659108</v>
      </c>
      <c r="OB26" s="8">
        <f t="shared" si="41"/>
        <v>11719622.463552291</v>
      </c>
      <c r="OC26" s="8">
        <f t="shared" si="41"/>
        <v>11954014.912823336</v>
      </c>
      <c r="OD26" s="8">
        <f t="shared" si="41"/>
        <v>12193095.211079802</v>
      </c>
      <c r="OE26" s="8">
        <f t="shared" si="41"/>
        <v>12436957.115301399</v>
      </c>
      <c r="OF26" s="8">
        <f t="shared" si="41"/>
        <v>12685696.257607426</v>
      </c>
      <c r="OG26" s="8">
        <f t="shared" si="41"/>
        <v>12939410.182759576</v>
      </c>
      <c r="OH26" s="8">
        <f t="shared" si="41"/>
        <v>13198198.386414768</v>
      </c>
      <c r="OI26" s="8">
        <f t="shared" si="41"/>
        <v>13462162.354143064</v>
      </c>
      <c r="OJ26" s="8">
        <f t="shared" si="41"/>
        <v>13731405.601225926</v>
      </c>
      <c r="OK26" s="8">
        <f t="shared" si="41"/>
        <v>14006033.713250445</v>
      </c>
      <c r="OL26" s="8">
        <f t="shared" si="41"/>
        <v>14286154.387515454</v>
      </c>
      <c r="OM26" s="8">
        <f t="shared" si="41"/>
        <v>14571877.475265764</v>
      </c>
      <c r="ON26" s="8">
        <f t="shared" si="41"/>
        <v>14863315.024771079</v>
      </c>
      <c r="OO26" s="8">
        <f t="shared" si="41"/>
        <v>15160581.325266501</v>
      </c>
      <c r="OP26" s="8">
        <f t="shared" si="41"/>
        <v>15463792.951771831</v>
      </c>
      <c r="OQ26" s="8">
        <f t="shared" si="41"/>
        <v>15773068.810807267</v>
      </c>
      <c r="OR26" s="8">
        <f t="shared" si="41"/>
        <v>16088530.187023412</v>
      </c>
      <c r="OS26" s="8">
        <f t="shared" si="41"/>
        <v>16410300.790763881</v>
      </c>
      <c r="OT26" s="8">
        <f t="shared" si="41"/>
        <v>16738506.80657916</v>
      </c>
      <c r="OU26" s="8">
        <f t="shared" si="41"/>
        <v>17073276.942710742</v>
      </c>
      <c r="OV26" s="8">
        <f t="shared" si="41"/>
        <v>17414742.481564958</v>
      </c>
      <c r="OW26" s="8">
        <f t="shared" si="41"/>
        <v>17763037.331196256</v>
      </c>
      <c r="OX26" s="8">
        <f t="shared" si="41"/>
        <v>18118298.077820182</v>
      </c>
      <c r="OY26" s="8">
        <f t="shared" si="41"/>
        <v>18480664.039376587</v>
      </c>
      <c r="OZ26" s="8">
        <f t="shared" si="41"/>
        <v>18850277.320164118</v>
      </c>
      <c r="PA26" s="8">
        <f t="shared" si="41"/>
        <v>19227282.866567399</v>
      </c>
      <c r="PB26" s="8">
        <f t="shared" si="41"/>
        <v>19611828.523898747</v>
      </c>
      <c r="PC26" s="8">
        <f t="shared" si="41"/>
        <v>20004065.09437672</v>
      </c>
      <c r="PD26" s="8">
        <f t="shared" si="41"/>
        <v>20404146.396264255</v>
      </c>
      <c r="PE26" s="8">
        <f t="shared" si="41"/>
        <v>20812229.32418954</v>
      </c>
      <c r="PF26" s="8">
        <f t="shared" ref="PF26:RQ26" si="42">PE26*(1+$AN$15)</f>
        <v>21228473.910673331</v>
      </c>
      <c r="PG26" s="8">
        <f t="shared" si="42"/>
        <v>21653043.388886798</v>
      </c>
      <c r="PH26" s="8">
        <f t="shared" si="42"/>
        <v>22086104.256664533</v>
      </c>
      <c r="PI26" s="8">
        <f t="shared" si="42"/>
        <v>22527826.341797825</v>
      </c>
      <c r="PJ26" s="8">
        <f t="shared" si="42"/>
        <v>22978382.868633781</v>
      </c>
      <c r="PK26" s="8">
        <f t="shared" si="42"/>
        <v>23437950.526006456</v>
      </c>
      <c r="PL26" s="8">
        <f t="shared" si="42"/>
        <v>23906709.536526587</v>
      </c>
      <c r="PM26" s="8">
        <f t="shared" si="42"/>
        <v>24384843.727257118</v>
      </c>
      <c r="PN26" s="8">
        <f t="shared" si="42"/>
        <v>24872540.60180226</v>
      </c>
      <c r="PO26" s="8">
        <f t="shared" si="42"/>
        <v>25369991.413838305</v>
      </c>
      <c r="PP26" s="8">
        <f t="shared" si="42"/>
        <v>25877391.242115073</v>
      </c>
      <c r="PQ26" s="8">
        <f t="shared" si="42"/>
        <v>26394939.066957373</v>
      </c>
      <c r="PR26" s="8">
        <f t="shared" si="42"/>
        <v>26922837.848296519</v>
      </c>
      <c r="PS26" s="8">
        <f t="shared" si="42"/>
        <v>27461294.605262451</v>
      </c>
      <c r="PT26" s="8">
        <f t="shared" si="42"/>
        <v>28010520.497367699</v>
      </c>
      <c r="PU26" s="8">
        <f t="shared" si="42"/>
        <v>28570730.907315053</v>
      </c>
      <c r="PV26" s="8">
        <f t="shared" si="42"/>
        <v>29142145.525461353</v>
      </c>
      <c r="PW26" s="8">
        <f t="shared" si="42"/>
        <v>29724988.435970582</v>
      </c>
      <c r="PX26" s="8">
        <f t="shared" si="42"/>
        <v>30319488.204689994</v>
      </c>
      <c r="PY26" s="8">
        <f t="shared" si="42"/>
        <v>30925877.968783796</v>
      </c>
      <c r="PZ26" s="8">
        <f t="shared" si="42"/>
        <v>31544395.528159473</v>
      </c>
      <c r="QA26" s="8">
        <f t="shared" si="42"/>
        <v>32175283.438722663</v>
      </c>
      <c r="QB26" s="8">
        <f t="shared" si="42"/>
        <v>32818789.107497115</v>
      </c>
      <c r="QC26" s="8">
        <f t="shared" si="42"/>
        <v>33475164.889647059</v>
      </c>
      <c r="QD26" s="8">
        <f t="shared" si="42"/>
        <v>34144668.18744</v>
      </c>
      <c r="QE26" s="8">
        <f t="shared" si="42"/>
        <v>34827561.551188804</v>
      </c>
      <c r="QF26" s="8">
        <f t="shared" si="42"/>
        <v>35524112.782212578</v>
      </c>
      <c r="QG26" s="8">
        <f t="shared" si="42"/>
        <v>36234595.037856832</v>
      </c>
      <c r="QH26" s="8">
        <f t="shared" si="42"/>
        <v>36959286.938613966</v>
      </c>
      <c r="QI26" s="8">
        <f t="shared" si="42"/>
        <v>37698472.677386247</v>
      </c>
      <c r="QJ26" s="8">
        <f t="shared" si="42"/>
        <v>38452442.13093397</v>
      </c>
      <c r="QK26" s="8">
        <f t="shared" si="42"/>
        <v>39221490.973552652</v>
      </c>
      <c r="QL26" s="8">
        <f t="shared" si="42"/>
        <v>40005920.793023705</v>
      </c>
      <c r="QM26" s="8">
        <f t="shared" si="42"/>
        <v>40806039.20888418</v>
      </c>
      <c r="QN26" s="8">
        <f t="shared" si="42"/>
        <v>41622159.993061863</v>
      </c>
      <c r="QO26" s="8">
        <f t="shared" si="42"/>
        <v>42454603.192923099</v>
      </c>
      <c r="QP26" s="8">
        <f t="shared" si="42"/>
        <v>43303695.256781563</v>
      </c>
      <c r="QQ26" s="8">
        <f t="shared" si="42"/>
        <v>44169769.161917195</v>
      </c>
      <c r="QR26" s="8">
        <f t="shared" si="42"/>
        <v>45053164.54515554</v>
      </c>
      <c r="QS26" s="8">
        <f t="shared" si="42"/>
        <v>45954227.836058654</v>
      </c>
      <c r="QT26" s="8">
        <f t="shared" si="42"/>
        <v>46873312.392779827</v>
      </c>
      <c r="QU26" s="8">
        <f t="shared" si="42"/>
        <v>47810778.640635423</v>
      </c>
      <c r="QV26" s="8">
        <f t="shared" si="42"/>
        <v>48766994.21344813</v>
      </c>
      <c r="QW26" s="8">
        <f t="shared" si="42"/>
        <v>49742334.097717091</v>
      </c>
      <c r="QX26" s="8">
        <f t="shared" si="42"/>
        <v>50737180.779671431</v>
      </c>
      <c r="QY26" s="8">
        <f t="shared" si="42"/>
        <v>51751924.395264857</v>
      </c>
      <c r="QZ26" s="8">
        <f t="shared" si="42"/>
        <v>52786962.883170158</v>
      </c>
      <c r="RA26" s="8">
        <f t="shared" si="42"/>
        <v>53842702.140833564</v>
      </c>
      <c r="RB26" s="8">
        <f t="shared" si="42"/>
        <v>54919556.183650233</v>
      </c>
      <c r="RC26" s="8">
        <f t="shared" si="42"/>
        <v>56017947.30732324</v>
      </c>
      <c r="RD26" s="8">
        <f t="shared" si="42"/>
        <v>57138306.253469706</v>
      </c>
      <c r="RE26" s="8">
        <f t="shared" si="42"/>
        <v>58281072.3785391</v>
      </c>
      <c r="RF26" s="8">
        <f t="shared" si="42"/>
        <v>59446693.826109886</v>
      </c>
      <c r="RG26" s="8">
        <f t="shared" si="42"/>
        <v>60635627.702632084</v>
      </c>
      <c r="RH26" s="8">
        <f t="shared" si="42"/>
        <v>61848340.256684728</v>
      </c>
      <c r="RI26" s="8">
        <f t="shared" si="42"/>
        <v>63085307.061818421</v>
      </c>
      <c r="RJ26" s="8">
        <f t="shared" si="42"/>
        <v>64347013.203054793</v>
      </c>
      <c r="RK26" s="8">
        <f t="shared" si="42"/>
        <v>65633953.467115887</v>
      </c>
      <c r="RL26" s="8">
        <f t="shared" si="42"/>
        <v>66946632.536458202</v>
      </c>
      <c r="RM26" s="8">
        <f t="shared" si="42"/>
        <v>68285565.187187374</v>
      </c>
      <c r="RN26" s="8">
        <f t="shared" si="42"/>
        <v>69651276.490931123</v>
      </c>
      <c r="RO26" s="8">
        <f t="shared" si="42"/>
        <v>71044302.020749748</v>
      </c>
      <c r="RP26" s="8">
        <f t="shared" si="42"/>
        <v>72465188.061164737</v>
      </c>
      <c r="RQ26" s="8">
        <f t="shared" si="42"/>
        <v>73914491.822388038</v>
      </c>
      <c r="RR26" s="8">
        <f t="shared" ref="RR26:UC26" si="43">RQ26*(1+$AN$15)</f>
        <v>75392781.658835799</v>
      </c>
      <c r="RS26" s="8">
        <f t="shared" si="43"/>
        <v>76900637.292012513</v>
      </c>
      <c r="RT26" s="8">
        <f t="shared" si="43"/>
        <v>78438650.037852764</v>
      </c>
      <c r="RU26" s="8">
        <f t="shared" si="43"/>
        <v>80007423.038609818</v>
      </c>
      <c r="RV26" s="8">
        <f t="shared" si="43"/>
        <v>81607571.499382019</v>
      </c>
      <c r="RW26" s="8">
        <f t="shared" si="43"/>
        <v>83239722.929369658</v>
      </c>
      <c r="RX26" s="8">
        <f t="shared" si="43"/>
        <v>84904517.387957051</v>
      </c>
      <c r="RY26" s="8">
        <f t="shared" si="43"/>
        <v>86602607.735716194</v>
      </c>
      <c r="RZ26" s="8">
        <f t="shared" si="43"/>
        <v>88334659.890430525</v>
      </c>
      <c r="SA26" s="8">
        <f t="shared" si="43"/>
        <v>90101353.088239133</v>
      </c>
      <c r="SB26" s="8">
        <f t="shared" si="43"/>
        <v>91903380.150003925</v>
      </c>
      <c r="SC26" s="8">
        <f t="shared" si="43"/>
        <v>93741447.753004</v>
      </c>
      <c r="SD26" s="8">
        <f t="shared" si="43"/>
        <v>95616276.708064079</v>
      </c>
      <c r="SE26" s="8">
        <f t="shared" si="43"/>
        <v>97528602.242225364</v>
      </c>
      <c r="SF26" s="8">
        <f t="shared" si="43"/>
        <v>99479174.287069872</v>
      </c>
      <c r="SG26" s="8">
        <f t="shared" si="43"/>
        <v>101468757.77281126</v>
      </c>
      <c r="SH26" s="8">
        <f t="shared" si="43"/>
        <v>103498132.92826749</v>
      </c>
      <c r="SI26" s="8">
        <f t="shared" si="43"/>
        <v>105568095.58683285</v>
      </c>
      <c r="SJ26" s="8">
        <f t="shared" si="43"/>
        <v>107679457.4985695</v>
      </c>
      <c r="SK26" s="8">
        <f t="shared" si="43"/>
        <v>109833046.6485409</v>
      </c>
      <c r="SL26" s="8">
        <f t="shared" si="43"/>
        <v>112029707.58151172</v>
      </c>
      <c r="SM26" s="8">
        <f t="shared" si="43"/>
        <v>114270301.73314196</v>
      </c>
      <c r="SN26" s="8">
        <f t="shared" si="43"/>
        <v>116555707.7678048</v>
      </c>
      <c r="SO26" s="8">
        <f t="shared" si="43"/>
        <v>118886821.9231609</v>
      </c>
      <c r="SP26" s="8">
        <f t="shared" si="43"/>
        <v>121264558.36162412</v>
      </c>
      <c r="SQ26" s="8">
        <f t="shared" si="43"/>
        <v>123689849.52885661</v>
      </c>
      <c r="SR26" s="8">
        <f t="shared" si="43"/>
        <v>126163646.51943374</v>
      </c>
      <c r="SS26" s="8">
        <f t="shared" si="43"/>
        <v>128686919.44982241</v>
      </c>
      <c r="ST26" s="8">
        <f t="shared" si="43"/>
        <v>131260657.83881886</v>
      </c>
      <c r="SU26" s="8">
        <f t="shared" si="43"/>
        <v>133885870.99559525</v>
      </c>
      <c r="SV26" s="8">
        <f t="shared" si="43"/>
        <v>136563588.41550717</v>
      </c>
      <c r="SW26" s="8">
        <f t="shared" si="43"/>
        <v>139294860.18381733</v>
      </c>
      <c r="SX26" s="8">
        <f t="shared" si="43"/>
        <v>142080757.38749367</v>
      </c>
      <c r="SY26" s="8">
        <f t="shared" si="43"/>
        <v>144922372.53524354</v>
      </c>
      <c r="SZ26" s="8">
        <f t="shared" si="43"/>
        <v>147820819.98594841</v>
      </c>
      <c r="TA26" s="8">
        <f t="shared" si="43"/>
        <v>150777236.38566738</v>
      </c>
      <c r="TB26" s="8">
        <f t="shared" si="43"/>
        <v>153792781.11338073</v>
      </c>
      <c r="TC26" s="8">
        <f t="shared" si="43"/>
        <v>156868636.73564833</v>
      </c>
      <c r="TD26" s="8">
        <f t="shared" si="43"/>
        <v>160006009.47036129</v>
      </c>
      <c r="TE26" s="8">
        <f t="shared" si="43"/>
        <v>163206129.65976852</v>
      </c>
      <c r="TF26" s="8">
        <f t="shared" si="43"/>
        <v>166470252.2529639</v>
      </c>
      <c r="TG26" s="8">
        <f t="shared" si="43"/>
        <v>169799657.29802319</v>
      </c>
      <c r="TH26" s="8">
        <f t="shared" si="43"/>
        <v>173195650.44398367</v>
      </c>
      <c r="TI26" s="8">
        <f t="shared" si="43"/>
        <v>176659563.45286337</v>
      </c>
      <c r="TJ26" s="8">
        <f t="shared" si="43"/>
        <v>180192754.72192064</v>
      </c>
      <c r="TK26" s="8">
        <f t="shared" si="43"/>
        <v>183796609.81635904</v>
      </c>
      <c r="TL26" s="8">
        <f t="shared" si="43"/>
        <v>187472542.01268622</v>
      </c>
      <c r="TM26" s="8">
        <f t="shared" si="43"/>
        <v>191221992.85293996</v>
      </c>
      <c r="TN26" s="8">
        <f t="shared" si="43"/>
        <v>195046432.70999876</v>
      </c>
      <c r="TO26" s="8">
        <f t="shared" si="43"/>
        <v>198947361.36419874</v>
      </c>
      <c r="TP26" s="8">
        <f t="shared" si="43"/>
        <v>202926308.59148273</v>
      </c>
      <c r="TQ26" s="8">
        <f t="shared" si="43"/>
        <v>206984834.7633124</v>
      </c>
      <c r="TR26" s="8">
        <f t="shared" si="43"/>
        <v>211124531.45857865</v>
      </c>
      <c r="TS26" s="8">
        <f t="shared" si="43"/>
        <v>215347022.08775023</v>
      </c>
      <c r="TT26" s="8">
        <f t="shared" si="43"/>
        <v>219653962.52950522</v>
      </c>
      <c r="TU26" s="8">
        <f t="shared" si="43"/>
        <v>224047041.78009534</v>
      </c>
      <c r="TV26" s="8">
        <f t="shared" si="43"/>
        <v>228527982.61569723</v>
      </c>
      <c r="TW26" s="8">
        <f t="shared" si="43"/>
        <v>233098542.26801118</v>
      </c>
      <c r="TX26" s="8">
        <f t="shared" si="43"/>
        <v>237760513.1133714</v>
      </c>
      <c r="TY26" s="8">
        <f t="shared" si="43"/>
        <v>242515723.37563884</v>
      </c>
      <c r="TZ26" s="8">
        <f t="shared" si="43"/>
        <v>247366037.84315163</v>
      </c>
      <c r="UA26" s="8">
        <f t="shared" si="43"/>
        <v>252313358.60001466</v>
      </c>
      <c r="UB26" s="8">
        <f t="shared" si="43"/>
        <v>257359625.77201495</v>
      </c>
      <c r="UC26" s="8">
        <f t="shared" si="43"/>
        <v>262506818.28745526</v>
      </c>
      <c r="UD26" s="8">
        <f t="shared" ref="UD26:VG26" si="44">UC26*(1+$AN$15)</f>
        <v>267756954.65320438</v>
      </c>
      <c r="UE26" s="8">
        <f t="shared" si="44"/>
        <v>273112093.74626845</v>
      </c>
      <c r="UF26" s="8">
        <f t="shared" si="44"/>
        <v>278574335.62119383</v>
      </c>
      <c r="UG26" s="8">
        <f t="shared" si="44"/>
        <v>284145822.33361769</v>
      </c>
      <c r="UH26" s="8">
        <f t="shared" si="44"/>
        <v>289828738.78029007</v>
      </c>
      <c r="UI26" s="8">
        <f t="shared" si="44"/>
        <v>295625313.55589586</v>
      </c>
      <c r="UJ26" s="8">
        <f t="shared" si="44"/>
        <v>301537819.82701379</v>
      </c>
      <c r="UK26" s="8">
        <f t="shared" si="44"/>
        <v>307568576.22355407</v>
      </c>
      <c r="UL26" s="8">
        <f t="shared" si="44"/>
        <v>313719947.74802518</v>
      </c>
      <c r="UM26" s="8">
        <f t="shared" si="44"/>
        <v>319994346.7029857</v>
      </c>
      <c r="UN26" s="8">
        <f t="shared" si="44"/>
        <v>326394233.63704544</v>
      </c>
      <c r="UO26" s="8">
        <f t="shared" si="44"/>
        <v>332922118.30978638</v>
      </c>
      <c r="UP26" s="8">
        <f t="shared" si="44"/>
        <v>339580560.67598212</v>
      </c>
      <c r="UQ26" s="8">
        <f t="shared" si="44"/>
        <v>346372171.88950175</v>
      </c>
      <c r="UR26" s="8">
        <f t="shared" si="44"/>
        <v>353299615.32729179</v>
      </c>
      <c r="US26" s="8">
        <f t="shared" si="44"/>
        <v>360365607.63383764</v>
      </c>
      <c r="UT26" s="8">
        <f t="shared" si="44"/>
        <v>367572919.7865144</v>
      </c>
      <c r="UU26" s="8">
        <f t="shared" si="44"/>
        <v>374924378.18224472</v>
      </c>
      <c r="UV26" s="8">
        <f t="shared" si="44"/>
        <v>382422865.7458896</v>
      </c>
      <c r="UW26" s="8">
        <f t="shared" si="44"/>
        <v>390071323.06080741</v>
      </c>
      <c r="UX26" s="8">
        <f t="shared" si="44"/>
        <v>397872749.52202356</v>
      </c>
      <c r="UY26" s="8">
        <f t="shared" si="44"/>
        <v>405830204.51246405</v>
      </c>
      <c r="UZ26" s="8">
        <f t="shared" si="44"/>
        <v>413946808.60271335</v>
      </c>
      <c r="VA26" s="8">
        <f t="shared" si="44"/>
        <v>422225744.77476764</v>
      </c>
      <c r="VB26" s="8">
        <f t="shared" si="44"/>
        <v>430670259.67026299</v>
      </c>
      <c r="VC26" s="8">
        <f t="shared" si="44"/>
        <v>439283664.86366826</v>
      </c>
      <c r="VD26" s="8">
        <f t="shared" si="44"/>
        <v>448069338.16094166</v>
      </c>
      <c r="VE26" s="8">
        <f t="shared" si="44"/>
        <v>457030724.92416048</v>
      </c>
      <c r="VF26" s="8">
        <f t="shared" si="44"/>
        <v>466171339.42264372</v>
      </c>
      <c r="VG26" s="8">
        <f t="shared" si="44"/>
        <v>475494766.21109658</v>
      </c>
    </row>
    <row r="28" spans="2:579" s="8" customFormat="1">
      <c r="B28" s="8" t="s">
        <v>65</v>
      </c>
      <c r="G28" s="13">
        <f>(G6-C6)/C6</f>
        <v>5.358088925317462E-2</v>
      </c>
      <c r="H28" s="13">
        <f>(H6-D6)/D6</f>
        <v>2.9877648801878283</v>
      </c>
      <c r="I28" s="13">
        <f>(I6-E6)/E6</f>
        <v>0.66682584250829335</v>
      </c>
      <c r="J28" s="13">
        <f>(J6-F6)/F6</f>
        <v>0.78314929986593163</v>
      </c>
      <c r="K28" s="13">
        <f>(K6-G6)/G6</f>
        <v>0.70136289427873033</v>
      </c>
      <c r="L28" s="13">
        <f>(L6-H6)/H6</f>
        <v>0.57602996254681649</v>
      </c>
      <c r="M28" s="13">
        <f>(M6-I6)/I6</f>
        <v>0.28897772088716006</v>
      </c>
      <c r="N28" s="13">
        <f>(N6-J6)/J6</f>
        <v>0.24135554459090097</v>
      </c>
      <c r="O28" s="13">
        <f>(O6-K6)/K6</f>
        <v>0.2047713717693837</v>
      </c>
      <c r="P28" s="13">
        <f>(P6-L6)/L6</f>
        <v>0.1806083650190114</v>
      </c>
      <c r="Q28" s="13">
        <f>(Q6-M6)/M6</f>
        <v>0.17787794729542303</v>
      </c>
      <c r="R28" s="13">
        <f>(R6-N6)/N6</f>
        <v>0.16614090431125131</v>
      </c>
      <c r="S28" s="13">
        <f>(S6-O6)/O6</f>
        <v>0.17821782178217821</v>
      </c>
      <c r="T28" s="13">
        <f>(T6-P6)/P6</f>
        <v>0.10628019323671498</v>
      </c>
      <c r="U28" s="13">
        <f>(U6-Q6)/Q6</f>
        <v>9.8616426258463355E-2</v>
      </c>
      <c r="V28" s="13">
        <f>(V6-R6)/R6</f>
        <v>0.11812443642921551</v>
      </c>
      <c r="W28" s="26">
        <f>(W6-S6)/S6</f>
        <v>6.069094304388422E-2</v>
      </c>
      <c r="X28" s="26">
        <f>(X6-T6)/T6</f>
        <v>0.12663755458515283</v>
      </c>
      <c r="AA28" s="13"/>
      <c r="AB28" s="13">
        <f>(AB6-AA6)/AA6</f>
        <v>0.77359711491241345</v>
      </c>
      <c r="AC28" s="13">
        <f>(AC6-AB6)/AB6</f>
        <v>0.40180427013714609</v>
      </c>
      <c r="AD28" s="13">
        <f>(AD6-AC6)/AC6</f>
        <v>0.18073580188117633</v>
      </c>
      <c r="AE28" s="13">
        <f>(AE6-AD6)/AD6</f>
        <v>0.11949178178884744</v>
      </c>
    </row>
    <row r="29" spans="2:579">
      <c r="B29" s="2" t="s">
        <v>66</v>
      </c>
      <c r="G29" s="6">
        <f>(G19-C19)/C19</f>
        <v>2.4415554674769897</v>
      </c>
      <c r="H29" s="6">
        <f>(H19-D19)/D19</f>
        <v>-0.88211880720237379</v>
      </c>
      <c r="I29" s="6">
        <f>(I19-E19)/E19</f>
        <v>2.7895270208859726</v>
      </c>
      <c r="J29" s="6">
        <f>(J19-F19)/F19</f>
        <v>-1.0140182841369179</v>
      </c>
      <c r="K29" s="6">
        <f>(K19-G19)/G19</f>
        <v>-0.98379131402111053</v>
      </c>
      <c r="L29" s="6">
        <f>(L19-H19)/H19</f>
        <v>-6.5857688169665849</v>
      </c>
      <c r="M29" s="6">
        <f>(M19-I19)/I19</f>
        <v>0.45582226976362689</v>
      </c>
      <c r="N29" s="6">
        <f>(N19-J19)/J19</f>
        <v>4.8531036127777476</v>
      </c>
      <c r="O29" s="6">
        <f>(O19-K19)/K19</f>
        <v>-7.1578947368421053</v>
      </c>
      <c r="P29" s="6">
        <f>(P19-L19)/L19</f>
        <v>0.71503957783641159</v>
      </c>
      <c r="Q29" s="6">
        <f>(Q19-M19)/M19</f>
        <v>2.6029654036243821</v>
      </c>
      <c r="R29" s="6">
        <f>(R19-N19)/N19</f>
        <v>-2.0940438871473352</v>
      </c>
      <c r="S29" s="6">
        <f>(S19-O19)/O19</f>
        <v>1.2564102564102564</v>
      </c>
      <c r="T29" s="6">
        <f>(T19-P19)/P19</f>
        <v>-0.14615384615384616</v>
      </c>
      <c r="U29" s="6">
        <f>(U19-Q19)/Q19</f>
        <v>-0.68724279835390945</v>
      </c>
      <c r="V29" s="6">
        <f>(V19-R19)/R19</f>
        <v>-2.3209169054441259</v>
      </c>
      <c r="W29" s="27">
        <f>(W19-S19)/S19</f>
        <v>-0.41666666666666669</v>
      </c>
      <c r="X29" s="27">
        <f>(X19-T19)/T19</f>
        <v>0.15675675675675677</v>
      </c>
      <c r="AA29" s="6"/>
      <c r="AB29" s="6">
        <f>(AB19-AA19)/AA19</f>
        <v>-0.92328346122768112</v>
      </c>
      <c r="AC29" s="6">
        <f>(AC19-AB19)/AB19</f>
        <v>-6.3829179794578979</v>
      </c>
      <c r="AD29" s="6">
        <f>(AD19-AC19)/AC19</f>
        <v>1.5314315900686741</v>
      </c>
      <c r="AE29" s="6">
        <f>(AE19-AD19)/AD19</f>
        <v>-0.44741235392320533</v>
      </c>
    </row>
    <row r="30" spans="2:579" s="8" customFormat="1">
      <c r="B30" s="8" t="s">
        <v>95</v>
      </c>
      <c r="G30" s="13">
        <f>(G26-C26)/ABS(C26)</f>
        <v>2.0547874179052887</v>
      </c>
      <c r="H30" s="13">
        <f t="shared" ref="H30:X30" si="45">(H26-D26)/ABS(D26)</f>
        <v>3.9737742303306733</v>
      </c>
      <c r="I30" s="13">
        <f t="shared" si="45"/>
        <v>0.57907469005140599</v>
      </c>
      <c r="J30" s="13">
        <f t="shared" si="45"/>
        <v>2.3856880733944954</v>
      </c>
      <c r="K30" s="13">
        <f t="shared" si="45"/>
        <v>0.95969195477633962</v>
      </c>
      <c r="L30" s="13">
        <f t="shared" si="45"/>
        <v>1.6104294478527636E-2</v>
      </c>
      <c r="M30" s="13">
        <f t="shared" si="45"/>
        <v>0.83646112600536215</v>
      </c>
      <c r="N30" s="13">
        <f t="shared" si="45"/>
        <v>0.20497881355932196</v>
      </c>
      <c r="O30" s="13">
        <f t="shared" si="45"/>
        <v>0.32190635451505017</v>
      </c>
      <c r="P30" s="13">
        <f t="shared" si="45"/>
        <v>0.13207547169811321</v>
      </c>
      <c r="Q30" s="13">
        <f t="shared" si="45"/>
        <v>0.36600625651720542</v>
      </c>
      <c r="R30" s="13">
        <f t="shared" si="45"/>
        <v>-0.89890109890109893</v>
      </c>
      <c r="S30" s="13">
        <f t="shared" si="45"/>
        <v>0.20746363061353573</v>
      </c>
      <c r="T30" s="13">
        <f t="shared" si="45"/>
        <v>0.15888888888888889</v>
      </c>
      <c r="U30" s="13">
        <f t="shared" si="45"/>
        <v>-0.18015267175572519</v>
      </c>
      <c r="V30" s="13">
        <f t="shared" si="45"/>
        <v>8.9565217391304355</v>
      </c>
      <c r="W30" s="26">
        <f t="shared" si="45"/>
        <v>-6.7050811943425881E-2</v>
      </c>
      <c r="X30" s="26">
        <f t="shared" si="45"/>
        <v>-8.7248322147651006E-2</v>
      </c>
      <c r="AA30" s="13"/>
      <c r="AB30" s="13">
        <f>(AB26-AA26)/ABS(AA26)</f>
        <v>3.9259731971920862</v>
      </c>
      <c r="AC30" s="13">
        <f t="shared" ref="AC30:AE30" si="46">(AC26-AB26)/ABS(AB26)</f>
        <v>0.48527808069792833</v>
      </c>
      <c r="AD30" s="13">
        <f t="shared" si="46"/>
        <v>0.12687224669603525</v>
      </c>
      <c r="AE30" s="13">
        <f t="shared" si="46"/>
        <v>0.16862131873859787</v>
      </c>
    </row>
    <row r="31" spans="2:579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27"/>
      <c r="X31" s="27"/>
      <c r="AA31" s="6"/>
    </row>
    <row r="32" spans="2:579">
      <c r="B32" s="2" t="s">
        <v>70</v>
      </c>
      <c r="G32" s="6">
        <f>(G3-C3)/C3</f>
        <v>0.12784588441331005</v>
      </c>
      <c r="H32" s="6">
        <f>(H3-D3)/D3</f>
        <v>1.9678571428571427</v>
      </c>
      <c r="I32" s="6">
        <f>(I3-E3)/E3</f>
        <v>0.2928802588996765</v>
      </c>
      <c r="J32" s="6">
        <f>(J3-F3)/F3</f>
        <v>0.58531317494600454</v>
      </c>
      <c r="K32" s="6">
        <f>(K3-G3)/G3</f>
        <v>0.58540372670807428</v>
      </c>
      <c r="L32" s="6">
        <f>(L3-H3)/H3</f>
        <v>0.24789410348977148</v>
      </c>
      <c r="M32" s="6">
        <f>(M3-I3)/I3</f>
        <v>0.24780976220275339</v>
      </c>
      <c r="N32" s="6">
        <f>(N3-J3)/J3</f>
        <v>0.20163487738419614</v>
      </c>
      <c r="O32" s="6">
        <f>(O3-K3)/K3</f>
        <v>0.1860920666013712</v>
      </c>
      <c r="P32" s="6">
        <f>(P3-L3)/L3</f>
        <v>0.10993249758919953</v>
      </c>
      <c r="Q32" s="6">
        <f>(Q3-M3)/M3</f>
        <v>0.13540621865596791</v>
      </c>
      <c r="R32" s="6">
        <f>(R3-N3)/N3</f>
        <v>0.12018140589569154</v>
      </c>
      <c r="S32" s="6">
        <f>(S3-O3)/O3</f>
        <v>9.4962840627580522E-2</v>
      </c>
      <c r="T32" s="6">
        <f>(T3-P3)/P3</f>
        <v>8.6880973066898348E-2</v>
      </c>
      <c r="U32" s="6">
        <f>(U3-Q3)/Q3</f>
        <v>0.10512367491166071</v>
      </c>
      <c r="V32" s="6">
        <f>(V3-R3)/R3</f>
        <v>0.24291497975708504</v>
      </c>
      <c r="W32" s="27">
        <f>(W3-S3)/S3</f>
        <v>-0.16289592760180993</v>
      </c>
      <c r="X32" s="27">
        <f>(X3-T3)/T3</f>
        <v>7.4340527577937743E-2</v>
      </c>
      <c r="AA32" s="6"/>
      <c r="AB32" s="6">
        <f>(AB3-AA3)/AA3</f>
        <v>0.55693581780538315</v>
      </c>
      <c r="AC32" s="6">
        <f>(AC3-AB3)/AB3</f>
        <v>0.30884308510638286</v>
      </c>
      <c r="AD32" s="6">
        <f>(AD3-AC3)/AC3</f>
        <v>0.13843027686055373</v>
      </c>
      <c r="AE32" s="6">
        <f>(AE3-AD3)/AD3</f>
        <v>0.12806782686300755</v>
      </c>
    </row>
    <row r="33" spans="2:34" s="14" customFormat="1">
      <c r="B33" s="14" t="s">
        <v>71</v>
      </c>
      <c r="G33" s="15">
        <f>(G4-C4)/C4</f>
        <v>0.52069169376293234</v>
      </c>
      <c r="H33" s="15">
        <f>(H4-D4)/D4</f>
        <v>3.1875</v>
      </c>
      <c r="I33" s="15">
        <f>(I4-E4)/E4</f>
        <v>0.48749999999999999</v>
      </c>
      <c r="J33" s="15">
        <f>(J4-F4)/F4</f>
        <v>0.91067796610169494</v>
      </c>
      <c r="K33" s="15">
        <f>(K4-G4)/G4</f>
        <v>0.67168821071046747</v>
      </c>
      <c r="L33" s="15">
        <f>(L4-H4)/H4</f>
        <v>0.26119402985074625</v>
      </c>
      <c r="M33" s="15">
        <f>(M4-I4)/I4</f>
        <v>0.31092436974789917</v>
      </c>
      <c r="N33" s="15">
        <f>(N4-J4)/J4</f>
        <v>0.19755167213696442</v>
      </c>
      <c r="O33" s="15">
        <f>(O4-K4)/K4</f>
        <v>0.18604651162790697</v>
      </c>
      <c r="P33" s="15">
        <f>(P4-L4)/L4</f>
        <v>0.13017751479289941</v>
      </c>
      <c r="Q33" s="15">
        <f>(Q4-M4)/M4</f>
        <v>0.17307692307692307</v>
      </c>
      <c r="R33" s="15">
        <f>(R4-N4)/N4</f>
        <v>0.14814814814814814</v>
      </c>
      <c r="S33" s="15">
        <f>(S4-O4)/O4</f>
        <v>0.12254901960784313</v>
      </c>
      <c r="T33" s="15">
        <f>(T4-P4)/P4</f>
        <v>0.1099476439790576</v>
      </c>
      <c r="U33" s="15">
        <f>(U4-Q4)/Q4</f>
        <v>0.15846994535519127</v>
      </c>
      <c r="V33" s="15">
        <f>(V4-R4)/R4</f>
        <v>0.29677419354838708</v>
      </c>
      <c r="W33" s="28">
        <f>(W4-S4)/S4</f>
        <v>-0.23144104803493451</v>
      </c>
      <c r="X33" s="28">
        <f>(X4-T4)/T4</f>
        <v>0.10849056603773585</v>
      </c>
      <c r="AA33" s="15"/>
      <c r="AB33" s="15">
        <f>(AB4-AA4)/AA4</f>
        <v>0.96354646777842956</v>
      </c>
      <c r="AC33" s="15">
        <f>(AC4-AB4)/AB4</f>
        <v>0.34864068968460588</v>
      </c>
      <c r="AD33" s="15">
        <f>(AD4-AC4)/AC4</f>
        <v>0.15981012658227847</v>
      </c>
      <c r="AE33" s="15">
        <f>(AE4-AD4)/AD4</f>
        <v>0.165075034106412</v>
      </c>
    </row>
    <row r="34" spans="2:34">
      <c r="B34" s="2" t="s">
        <v>72</v>
      </c>
      <c r="G34" s="6">
        <f>(G5-C5)/C5</f>
        <v>0.34831515083638848</v>
      </c>
      <c r="H34" s="6">
        <f>(H5-D5)/D5</f>
        <v>0.41095066185318885</v>
      </c>
      <c r="I34" s="6">
        <f>(I5-E5)/E5</f>
        <v>0.15053191489361675</v>
      </c>
      <c r="J34" s="6">
        <f>(J5-F5)/F5</f>
        <v>0.20523691867177743</v>
      </c>
      <c r="K34" s="6">
        <f>(K5-G5)/G5</f>
        <v>5.4424297451068936E-2</v>
      </c>
      <c r="L34" s="6">
        <f>(L5-H5)/H5</f>
        <v>1.0657896630636534E-2</v>
      </c>
      <c r="M34" s="6">
        <f>(M5-I5)/I5</f>
        <v>5.058031236566856E-2</v>
      </c>
      <c r="N34" s="6">
        <f>(N5-J5)/J5</f>
        <v>-3.3980415549525237E-3</v>
      </c>
      <c r="O34" s="6">
        <f>(O5-K5)/K5</f>
        <v>-3.8407620071875675E-5</v>
      </c>
      <c r="P34" s="6">
        <f>(P5-L5)/L5</f>
        <v>1.8239863458068408E-2</v>
      </c>
      <c r="Q34" s="6">
        <f>(Q5-M5)/M5</f>
        <v>3.3178173416689272E-2</v>
      </c>
      <c r="R34" s="6">
        <f>(R5-N5)/N5</f>
        <v>2.4966261808367186E-2</v>
      </c>
      <c r="S34" s="6">
        <f>(S5-O5)/O5</f>
        <v>2.5193712477449413E-2</v>
      </c>
      <c r="T34" s="6">
        <f>(T5-P5)/P5</f>
        <v>2.1222812326055458E-2</v>
      </c>
      <c r="U34" s="6">
        <f>(U5-Q5)/Q5</f>
        <v>4.8271765101580003E-2</v>
      </c>
      <c r="V34" s="6">
        <f>(V5-R5)/R5</f>
        <v>4.3332983082904314E-2</v>
      </c>
      <c r="W34" s="27">
        <f>(W5-S5)/S5</f>
        <v>-8.1883630355246054E-2</v>
      </c>
      <c r="X34" s="27">
        <f>(X5-T5)/T5</f>
        <v>3.1786977762803224E-2</v>
      </c>
      <c r="AA34" s="6"/>
      <c r="AB34" s="6">
        <f>(AB5-AA5)/AA5</f>
        <v>0.27341184471806901</v>
      </c>
      <c r="AC34" s="6">
        <f>(AC5-AB5)/AB5</f>
        <v>2.794564741155459E-2</v>
      </c>
      <c r="AD34" s="6">
        <f>(AD5-AC5)/AC5</f>
        <v>1.8688781470470681E-2</v>
      </c>
      <c r="AE34" s="6">
        <f>(AE5-AD5)/AD5</f>
        <v>3.4256709411908226E-2</v>
      </c>
    </row>
    <row r="36" spans="2:34">
      <c r="B36" s="2" t="s">
        <v>49</v>
      </c>
      <c r="C36" s="6">
        <f>C8/C6</f>
        <v>0.67003789363648236</v>
      </c>
      <c r="D36" s="6">
        <f>D8/D6</f>
        <v>0.51848709875916288</v>
      </c>
      <c r="E36" s="6">
        <f>E8/E6</f>
        <v>0.83064907239719554</v>
      </c>
      <c r="F36" s="6">
        <f>F8/F6</f>
        <v>0.75589923469387765</v>
      </c>
      <c r="G36" s="6">
        <f>G8/G6</f>
        <v>0.71304017426285549</v>
      </c>
      <c r="H36" s="6">
        <f>H8/H6</f>
        <v>0.77945543071161039</v>
      </c>
      <c r="I36" s="6">
        <f>I8/I6</f>
        <v>0.86074213652079712</v>
      </c>
      <c r="J36" s="6">
        <f>J8/J6</f>
        <v>0.80726290892287933</v>
      </c>
      <c r="K36" s="6">
        <f>K8/K6</f>
        <v>0.75944333996023861</v>
      </c>
      <c r="L36" s="6">
        <f>L8/L6</f>
        <v>0.81463878326996197</v>
      </c>
      <c r="M36" s="6">
        <f>M8/M6</f>
        <v>0.86095700416088761</v>
      </c>
      <c r="N36" s="6">
        <f>N8/N6</f>
        <v>0.81861198738170349</v>
      </c>
      <c r="O36" s="6">
        <f>O8/O6</f>
        <v>0.76457645764576454</v>
      </c>
      <c r="P36" s="6">
        <f>P8/P6</f>
        <v>0.82608695652173914</v>
      </c>
      <c r="Q36" s="6">
        <f>Q8/Q6</f>
        <v>0.8648807771563144</v>
      </c>
      <c r="R36" s="6">
        <f>R8/R6</f>
        <v>0.82687105500450853</v>
      </c>
      <c r="S36" s="6">
        <f>S8/S6</f>
        <v>0.77591036414565828</v>
      </c>
      <c r="T36" s="6">
        <f>T8/T6</f>
        <v>0.81586608442503639</v>
      </c>
      <c r="U36" s="6">
        <f>U8/U6</f>
        <v>0.87540192926045013</v>
      </c>
      <c r="V36" s="6">
        <f>V8/V6</f>
        <v>0.82782258064516134</v>
      </c>
      <c r="W36" s="27">
        <f>W8/W6</f>
        <v>0.77728873239436624</v>
      </c>
      <c r="X36" s="27">
        <f>X8/X6</f>
        <v>0.82428940568475451</v>
      </c>
      <c r="AA36" s="6">
        <f>AA8/AA6</f>
        <v>0.74067779902841724</v>
      </c>
      <c r="AB36" s="6">
        <f>AB8/AB6</f>
        <v>0.80708993511543892</v>
      </c>
      <c r="AC36" s="6">
        <f>AC8/AC6</f>
        <v>0.82152637218716518</v>
      </c>
      <c r="AD36" s="6">
        <f>AD8/AD6</f>
        <v>0.82827467984269432</v>
      </c>
      <c r="AE36" s="6">
        <f>AE8/AE6</f>
        <v>0.83084128985768335</v>
      </c>
    </row>
    <row r="37" spans="2:34">
      <c r="B37" s="2" t="s">
        <v>50</v>
      </c>
      <c r="C37" s="6">
        <f>C14/C6</f>
        <v>-0.38664457194445423</v>
      </c>
      <c r="D37" s="6">
        <f>D14/D6</f>
        <v>-1.7421155764784602</v>
      </c>
      <c r="E37" s="6">
        <f>E14/E6</f>
        <v>0.31194764927577473</v>
      </c>
      <c r="F37" s="6">
        <f>F14/F6</f>
        <v>-3.6079481975271865</v>
      </c>
      <c r="G37" s="6">
        <f>G14/G6</f>
        <v>-0.50392023776236372</v>
      </c>
      <c r="H37" s="6">
        <f>H14/H6</f>
        <v>-3.8136329588015008E-2</v>
      </c>
      <c r="I37" s="6">
        <f>I14/I6</f>
        <v>0.38078162822378514</v>
      </c>
      <c r="J37" s="6">
        <f>J14/J6</f>
        <v>4.931940822192462E-2</v>
      </c>
      <c r="K37" s="6">
        <f>K14/K6</f>
        <v>-3.3134526176275677E-3</v>
      </c>
      <c r="L37" s="6">
        <f>L14/L6</f>
        <v>0.17538022813688212</v>
      </c>
      <c r="M37" s="6">
        <f>M14/M6</f>
        <v>0.41712898751733701</v>
      </c>
      <c r="N37" s="6">
        <f>N14/N6</f>
        <v>0.12355415352260778</v>
      </c>
      <c r="O37" s="6">
        <f>O14/O6</f>
        <v>-2.7502750275027505E-3</v>
      </c>
      <c r="P37" s="6">
        <f>P14/P6</f>
        <v>0.21054750402576489</v>
      </c>
      <c r="Q37" s="6">
        <f>Q14/Q6</f>
        <v>0.44038857815719751</v>
      </c>
      <c r="R37" s="6">
        <f>R14/R6</f>
        <v>-0.22362488728584309</v>
      </c>
      <c r="S37" s="6">
        <f>S14/S6</f>
        <v>4.7152194211017739E-2</v>
      </c>
      <c r="T37" s="6">
        <f>T14/T6</f>
        <v>0.18085880640465793</v>
      </c>
      <c r="U37" s="6">
        <f>U14/U6</f>
        <v>0.40862808145766344</v>
      </c>
      <c r="V37" s="6">
        <f>V14/V6</f>
        <v>0.17338709677419356</v>
      </c>
      <c r="W37" s="27">
        <f>W14/W6</f>
        <v>1.6725352112676055E-2</v>
      </c>
      <c r="X37" s="27">
        <f>X14/X6</f>
        <v>0.19767441860465115</v>
      </c>
      <c r="AA37" s="6">
        <f>AA14/AA6</f>
        <v>-1.062739939239814</v>
      </c>
      <c r="AB37" s="6">
        <f>AB14/AB6</f>
        <v>7.1714664151129842E-2</v>
      </c>
      <c r="AC37" s="6">
        <f>AC14/AC6</f>
        <v>0.21454935111322776</v>
      </c>
      <c r="AD37" s="6">
        <f>AD14/AD6</f>
        <v>0.15307048502571341</v>
      </c>
      <c r="AE37" s="6">
        <f>AE14/AE6</f>
        <v>0.2299585660241398</v>
      </c>
    </row>
    <row r="38" spans="2:34">
      <c r="B38" s="2" t="s">
        <v>51</v>
      </c>
      <c r="C38" s="6">
        <f>C19/C6</f>
        <v>-0.4046006913509852</v>
      </c>
      <c r="D38" s="6">
        <f>D19/D6</f>
        <v>-1.7193330425899263</v>
      </c>
      <c r="E38" s="6">
        <f>E19/E6</f>
        <v>0.16393274088134743</v>
      </c>
      <c r="F38" s="6">
        <f>F19/F6</f>
        <v>-4.5246292175629383</v>
      </c>
      <c r="G38" s="6">
        <f>G19/G6</f>
        <v>-1.3216410203216464</v>
      </c>
      <c r="H38" s="6">
        <f>H19/H6</f>
        <v>-5.0824719101123628E-2</v>
      </c>
      <c r="I38" s="6">
        <f>I19/I6</f>
        <v>0.37270093571558821</v>
      </c>
      <c r="J38" s="6">
        <f>J19/J6</f>
        <v>3.5570514477260097E-2</v>
      </c>
      <c r="K38" s="6">
        <f>K19/K6</f>
        <v>-1.2591119946984758E-2</v>
      </c>
      <c r="L38" s="6">
        <f>L19/L6</f>
        <v>0.18013307984790874</v>
      </c>
      <c r="M38" s="6">
        <f>M19/M6</f>
        <v>0.42094313453536752</v>
      </c>
      <c r="N38" s="6">
        <f>N19/N6</f>
        <v>0.16771819137749738</v>
      </c>
      <c r="O38" s="6">
        <f>O19/O6</f>
        <v>6.4356435643564358E-2</v>
      </c>
      <c r="P38" s="6">
        <f>P19/P6</f>
        <v>0.26167471819645732</v>
      </c>
      <c r="Q38" s="6">
        <f>Q19/Q6</f>
        <v>1.2876067118045333</v>
      </c>
      <c r="R38" s="6">
        <f>R19/R6</f>
        <v>-0.15734896302975654</v>
      </c>
      <c r="S38" s="6">
        <f>S19/S6</f>
        <v>0.12324929971988796</v>
      </c>
      <c r="T38" s="6">
        <f>T19/T6</f>
        <v>0.20196506550218341</v>
      </c>
      <c r="U38" s="6">
        <f>U19/U6</f>
        <v>0.36655948553054662</v>
      </c>
      <c r="V38" s="6">
        <f>V19/V6</f>
        <v>0.18588709677419354</v>
      </c>
      <c r="W38" s="27">
        <f>W19/W6</f>
        <v>6.7781690140845077E-2</v>
      </c>
      <c r="X38" s="27">
        <f>X19/X6</f>
        <v>0.20736434108527133</v>
      </c>
      <c r="AA38" s="6">
        <f>AA19/AA6</f>
        <v>-1.3569336797506601</v>
      </c>
      <c r="AB38" s="6">
        <f>AB19/AB6</f>
        <v>-5.8693856896129291E-2</v>
      </c>
      <c r="AC38" s="6">
        <f>AC19/AC6</f>
        <v>0.22538397428265269</v>
      </c>
      <c r="AD38" s="6">
        <f>AD19/AD6</f>
        <v>0.48321064838156702</v>
      </c>
      <c r="AE38" s="6">
        <f>AE19/AE6</f>
        <v>0.23851558277787785</v>
      </c>
    </row>
    <row r="39" spans="2:34" s="8" customFormat="1">
      <c r="B39" s="8" t="s">
        <v>76</v>
      </c>
      <c r="C39" s="13">
        <f>C6/C4</f>
        <v>0.1244206325746379</v>
      </c>
      <c r="D39" s="13">
        <f>D6/D4</f>
        <v>0.104616875</v>
      </c>
      <c r="E39" s="13">
        <f>E6/E4</f>
        <v>0.16779137499999999</v>
      </c>
      <c r="F39" s="13">
        <f>F6/F4</f>
        <v>0.14563796610169491</v>
      </c>
      <c r="G39" s="13">
        <f>G6/G4</f>
        <v>8.6202352026436002E-2</v>
      </c>
      <c r="H39" s="13">
        <f>H6/H4</f>
        <v>9.9626865671641793E-2</v>
      </c>
      <c r="I39" s="13">
        <f>I6/I4</f>
        <v>0.18801949579831931</v>
      </c>
      <c r="J39" s="13">
        <f>J6/J4</f>
        <v>0.1359173245808569</v>
      </c>
      <c r="K39" s="13">
        <f>K6/K4</f>
        <v>8.7732558139534886E-2</v>
      </c>
      <c r="L39" s="13">
        <f>L6/L4</f>
        <v>0.12449704142011835</v>
      </c>
      <c r="M39" s="13">
        <f>M6/M4</f>
        <v>0.18487179487179486</v>
      </c>
      <c r="N39" s="13">
        <f>N6/N4</f>
        <v>0.1408888888888889</v>
      </c>
      <c r="O39" s="13">
        <f>O6/O4</f>
        <v>8.9117647058823524E-2</v>
      </c>
      <c r="P39" s="13">
        <f>P6/P4</f>
        <v>0.13005235602094239</v>
      </c>
      <c r="Q39" s="13">
        <f>Q6/Q4</f>
        <v>0.18562841530054644</v>
      </c>
      <c r="R39" s="13">
        <f>R6/R4</f>
        <v>0.14309677419354838</v>
      </c>
      <c r="S39" s="13">
        <f>S6/S4</f>
        <v>9.3537117903930128E-2</v>
      </c>
      <c r="T39" s="13">
        <f>T6/T4</f>
        <v>0.12962264150943395</v>
      </c>
      <c r="U39" s="13">
        <f>U6/U4</f>
        <v>0.1760377358490566</v>
      </c>
      <c r="V39" s="13">
        <f>V6/V4</f>
        <v>0.12338308457711443</v>
      </c>
      <c r="W39" s="26">
        <f>W6/W4</f>
        <v>0.12909090909090909</v>
      </c>
      <c r="X39" s="26">
        <f>X6/X4</f>
        <v>0.13174468085106383</v>
      </c>
      <c r="AA39" s="13">
        <f>AA6/AA4</f>
        <v>0.14154860470962877</v>
      </c>
      <c r="AB39" s="13">
        <f>AB6/AB4</f>
        <v>0.12785549058939014</v>
      </c>
      <c r="AC39" s="13">
        <f>AC6/AC4</f>
        <v>0.13289556962025317</v>
      </c>
      <c r="AD39" s="13">
        <f>AD6/AD4</f>
        <v>0.13529331514324694</v>
      </c>
      <c r="AE39" s="13">
        <f>AE6/AE4</f>
        <v>0.13</v>
      </c>
    </row>
    <row r="41" spans="2:34">
      <c r="B41" s="2" t="s">
        <v>52</v>
      </c>
      <c r="C41" s="1">
        <f>C19/C21</f>
        <v>-1.2974983714844057</v>
      </c>
      <c r="D41" s="1">
        <f>D19/D21</f>
        <v>-2.18425376730913</v>
      </c>
      <c r="E41" s="1">
        <f>E19/E21</f>
        <v>0.73545316604613531</v>
      </c>
      <c r="F41" s="1">
        <f>F19/F21</f>
        <v>-11.244525748000754</v>
      </c>
      <c r="G41" s="1">
        <f>G19/G21</f>
        <v>-1.950564097444089</v>
      </c>
      <c r="H41" s="1">
        <f>H19/H21</f>
        <v>-0.11091494902237725</v>
      </c>
      <c r="I41" s="1">
        <f>I19/I21</f>
        <v>1.2228676259246005</v>
      </c>
      <c r="J41" s="1">
        <f>J19/J21</f>
        <v>8.0043060907980079E-2</v>
      </c>
      <c r="K41" s="1">
        <f>K19/K21</f>
        <v>-2.9921259842519685E-2</v>
      </c>
      <c r="L41" s="1">
        <f>L19/L21</f>
        <v>0.55409356725146197</v>
      </c>
      <c r="M41" s="1">
        <f>M19/M21</f>
        <v>1.7774524158125915</v>
      </c>
      <c r="N41" s="1">
        <f>N19/N21</f>
        <v>0.46911764705882353</v>
      </c>
      <c r="O41" s="1">
        <f>O19/O21</f>
        <v>0.17462686567164179</v>
      </c>
      <c r="P41" s="1">
        <f>P19/P21</f>
        <v>0.97744360902255634</v>
      </c>
      <c r="Q41" s="1">
        <f>Q19/Q21</f>
        <v>6.627272727272727</v>
      </c>
      <c r="R41" s="1">
        <f>R19/R21</f>
        <v>-0.52719033232628398</v>
      </c>
      <c r="S41" s="1">
        <f>S19/S21</f>
        <v>0.40366972477064222</v>
      </c>
      <c r="T41" s="1">
        <f>T19/T21</f>
        <v>0.85516178736517723</v>
      </c>
      <c r="U41" s="1">
        <f>U19/U21</f>
        <v>2.1308411214953269</v>
      </c>
      <c r="V41" s="1">
        <f>V19/V21</f>
        <v>0.71472868217054264</v>
      </c>
      <c r="W41" s="29">
        <f>W19/W21</f>
        <v>0.24367088607594936</v>
      </c>
      <c r="X41" s="29">
        <f>X19/X21</f>
        <v>1.0338164251207729</v>
      </c>
      <c r="AA41" s="1">
        <f>AA19/AA21</f>
        <v>-13.25791962516811</v>
      </c>
      <c r="AB41" s="1">
        <f>AB19/AB21</f>
        <v>-0.51647828743302948</v>
      </c>
      <c r="AC41" s="1">
        <f>AC19/AC21</f>
        <v>2.7838235294117646</v>
      </c>
      <c r="AD41" s="1">
        <f>AD19/AD21</f>
        <v>7.238670694864048</v>
      </c>
      <c r="AE41" s="1">
        <f>AE19/AE21</f>
        <v>4.1054263565891471</v>
      </c>
    </row>
    <row r="42" spans="2:34">
      <c r="B42" s="2" t="s">
        <v>53</v>
      </c>
      <c r="C42" s="1">
        <f>Main!$J$5/Model!C19</f>
        <v>-235.19619500594536</v>
      </c>
      <c r="D42" s="1">
        <f>Main!$J$5/Model!D19</f>
        <v>-139.17767569858998</v>
      </c>
      <c r="E42" s="1">
        <f>Main!$J$5/Model!E19</f>
        <v>364.04577099958198</v>
      </c>
      <c r="F42" s="1">
        <f>Main!$J$5/Model!F19</f>
        <v>-20.604956311340118</v>
      </c>
      <c r="G42" s="1">
        <f>Main!$J$5/Model!G19</f>
        <v>-68.34008553067666</v>
      </c>
      <c r="H42" s="1">
        <f>Main!$J$5/Model!H19</f>
        <v>-1180.6605650616787</v>
      </c>
      <c r="I42" s="1">
        <f>Main!$J$5/Model!I19</f>
        <v>96.066281885085985</v>
      </c>
      <c r="J42" s="1">
        <f>Main!$J$5/Model!J19</f>
        <v>1469.8629382947101</v>
      </c>
      <c r="K42" s="1">
        <f>Main!$J$5/Model!K19</f>
        <v>-4216.2631578947367</v>
      </c>
      <c r="L42" s="1">
        <f>Main!$J$5/Model!L19</f>
        <v>211.36939313984169</v>
      </c>
      <c r="M42" s="1">
        <f>Main!$J$5/Model!M19</f>
        <v>65.987644151565078</v>
      </c>
      <c r="N42" s="1">
        <f>Main!$J$5/Model!N19</f>
        <v>251.12539184952979</v>
      </c>
      <c r="O42" s="1">
        <f>Main!$J$5/Model!O19</f>
        <v>684.69230769230774</v>
      </c>
      <c r="P42" s="1">
        <f>Main!$J$5/Model!P19</f>
        <v>123.24461538461539</v>
      </c>
      <c r="Q42" s="1">
        <f>Main!$J$5/Model!Q19</f>
        <v>18.314814814814813</v>
      </c>
      <c r="R42" s="1">
        <f>Main!$J$5/Model!R19</f>
        <v>-229.53868194842406</v>
      </c>
      <c r="S42" s="1">
        <f>Main!$J$5/Model!S19</f>
        <v>303.44318181818181</v>
      </c>
      <c r="T42" s="1">
        <f>Main!$J$5/Model!T19</f>
        <v>144.34054054054053</v>
      </c>
      <c r="U42" s="1">
        <f>Main!$J$5/Model!U19</f>
        <v>58.559210526315788</v>
      </c>
      <c r="V42" s="1">
        <f>Main!$J$5/Model!V19</f>
        <v>173.77223427331887</v>
      </c>
      <c r="W42" s="29">
        <f>Main!$J$5/Model!W19</f>
        <v>520.18831168831173</v>
      </c>
      <c r="X42" s="29">
        <f>Main!$J$5/Model!X19</f>
        <v>124.78037383177571</v>
      </c>
      <c r="AA42" s="1">
        <f>Main!$J$5/Model!AA19</f>
        <v>-17.475815839120138</v>
      </c>
      <c r="AB42" s="1">
        <f>Main!$J$5/Model!AB19</f>
        <v>-227.79724057918264</v>
      </c>
      <c r="AC42" s="1">
        <f>Main!$J$5/Model!AC19</f>
        <v>42.318541996830426</v>
      </c>
      <c r="AD42" s="1">
        <f>Main!$J$5/Model!AD19</f>
        <v>16.717237061769616</v>
      </c>
      <c r="AE42" s="1">
        <f>Main!$J$5/Model!AE19</f>
        <v>30.252643504531722</v>
      </c>
    </row>
    <row r="44" spans="2:34">
      <c r="M44" s="7"/>
      <c r="AH44" s="6"/>
    </row>
    <row r="45" spans="2:34">
      <c r="B45" s="8" t="s">
        <v>123</v>
      </c>
    </row>
    <row r="46" spans="2:34">
      <c r="B46" s="2" t="s">
        <v>124</v>
      </c>
      <c r="M46" s="7"/>
      <c r="AD46" s="2">
        <v>20645</v>
      </c>
      <c r="AE46" s="2">
        <v>20959</v>
      </c>
    </row>
    <row r="47" spans="2:34">
      <c r="B47" s="2" t="s">
        <v>125</v>
      </c>
      <c r="H47" s="17"/>
      <c r="M47" s="7"/>
      <c r="AD47" s="2">
        <v>12480</v>
      </c>
      <c r="AE47" s="2">
        <v>12547</v>
      </c>
    </row>
    <row r="48" spans="2:34">
      <c r="B48" s="2" t="s">
        <v>126</v>
      </c>
      <c r="Y48" s="7"/>
      <c r="AA48" s="6"/>
      <c r="AD48" s="2">
        <v>8165</v>
      </c>
      <c r="AE48" s="2">
        <v>8412</v>
      </c>
    </row>
    <row r="49" spans="2:35">
      <c r="B49" s="2" t="s">
        <v>128</v>
      </c>
      <c r="AD49" s="2">
        <f>AD48/AD21</f>
        <v>12.333836858006043</v>
      </c>
      <c r="AE49" s="2">
        <f>AE48/AE21</f>
        <v>13.041860465116279</v>
      </c>
      <c r="AI49" s="14"/>
    </row>
    <row r="52" spans="2:35">
      <c r="O52" s="6"/>
    </row>
    <row r="53" spans="2:35">
      <c r="AH53" s="7"/>
    </row>
  </sheetData>
  <hyperlinks>
    <hyperlink ref="A1" location="Main!A1" display="Main" xr:uid="{D890A2DF-3B4F-DC4F-9D33-E157518EB6FE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0004-40B4-4872-AA14-5907BAA2D76E}">
  <dimension ref="B3:H18"/>
  <sheetViews>
    <sheetView zoomScale="115" zoomScaleNormal="115" workbookViewId="0">
      <selection activeCell="B13" sqref="B13"/>
    </sheetView>
  </sheetViews>
  <sheetFormatPr defaultColWidth="12.140625" defaultRowHeight="12.75"/>
  <cols>
    <col min="1" max="1" width="12.140625" style="18"/>
    <col min="2" max="2" width="20.85546875" style="18" customWidth="1"/>
    <col min="3" max="3" width="12.7109375" style="18" customWidth="1"/>
    <col min="4" max="16384" width="12.140625" style="18"/>
  </cols>
  <sheetData>
    <row r="3" spans="2:8">
      <c r="B3" s="5" t="s">
        <v>96</v>
      </c>
      <c r="C3" s="13">
        <f>C5</f>
        <v>0.11237200000000003</v>
      </c>
    </row>
    <row r="4" spans="2:8">
      <c r="H4" s="18" t="s">
        <v>97</v>
      </c>
    </row>
    <row r="5" spans="2:8">
      <c r="B5" s="5" t="s">
        <v>98</v>
      </c>
      <c r="C5" s="15">
        <f>C6+C7*(C8-C6)</f>
        <v>0.11237200000000003</v>
      </c>
      <c r="H5" s="18" t="s">
        <v>99</v>
      </c>
    </row>
    <row r="6" spans="2:8">
      <c r="B6" s="18" t="s">
        <v>100</v>
      </c>
      <c r="C6" s="19">
        <v>0.04</v>
      </c>
    </row>
    <row r="7" spans="2:8">
      <c r="B7" s="18" t="s">
        <v>101</v>
      </c>
      <c r="C7" s="18">
        <v>1.1100000000000001</v>
      </c>
      <c r="H7" s="14" t="s">
        <v>102</v>
      </c>
    </row>
    <row r="8" spans="2:8">
      <c r="B8" s="18" t="s">
        <v>103</v>
      </c>
      <c r="C8" s="15">
        <v>0.1052</v>
      </c>
    </row>
    <row r="9" spans="2:8">
      <c r="H9" s="18" t="s">
        <v>104</v>
      </c>
    </row>
    <row r="10" spans="2:8">
      <c r="B10" s="8" t="s">
        <v>105</v>
      </c>
      <c r="C10" s="15">
        <v>0</v>
      </c>
    </row>
    <row r="11" spans="2:8">
      <c r="B11" s="14" t="s">
        <v>117</v>
      </c>
      <c r="C11" s="14"/>
      <c r="H11" s="18" t="s">
        <v>106</v>
      </c>
    </row>
    <row r="12" spans="2:8">
      <c r="B12" s="14"/>
      <c r="C12" s="14"/>
    </row>
    <row r="13" spans="2:8">
      <c r="C13" s="19"/>
      <c r="H13" s="18" t="s">
        <v>107</v>
      </c>
    </row>
    <row r="14" spans="2:8">
      <c r="B14" s="14"/>
      <c r="C14" s="14"/>
      <c r="H14" s="18" t="s">
        <v>108</v>
      </c>
    </row>
    <row r="15" spans="2:8">
      <c r="B15" s="14"/>
      <c r="C15" s="14"/>
      <c r="H15" s="18" t="s">
        <v>109</v>
      </c>
    </row>
    <row r="16" spans="2:8">
      <c r="B16" s="14"/>
      <c r="C16" s="14"/>
      <c r="H16" s="18" t="s">
        <v>110</v>
      </c>
    </row>
    <row r="17" spans="2:8">
      <c r="B17" s="14"/>
      <c r="C17" s="14"/>
      <c r="H17" s="18" t="s">
        <v>111</v>
      </c>
    </row>
    <row r="18" spans="2:8">
      <c r="B18" s="14"/>
      <c r="C18" s="14"/>
      <c r="H18" s="1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Parkhomenko</dc:creator>
  <cp:lastModifiedBy>Dmytro Parkhomenko</cp:lastModifiedBy>
  <dcterms:created xsi:type="dcterms:W3CDTF">2025-06-16T17:06:21Z</dcterms:created>
  <dcterms:modified xsi:type="dcterms:W3CDTF">2025-10-28T18:14:57Z</dcterms:modified>
</cp:coreProperties>
</file>